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ghEPp8MYTq/8ORSYVjfcO4HKKJog=="/>
    </ext>
  </extLst>
</workbook>
</file>

<file path=xl/sharedStrings.xml><?xml version="1.0" encoding="utf-8"?>
<sst xmlns="http://schemas.openxmlformats.org/spreadsheetml/2006/main" count="7011" uniqueCount="2726">
  <si>
    <t>note</t>
  </si>
  <si>
    <t>auteur</t>
  </si>
  <si>
    <t>avis</t>
  </si>
  <si>
    <t>assureur</t>
  </si>
  <si>
    <t>produit</t>
  </si>
  <si>
    <t>type</t>
  </si>
  <si>
    <t>date_publication</t>
  </si>
  <si>
    <t>date_exp</t>
  </si>
  <si>
    <t>avis_en</t>
  </si>
  <si>
    <t>avis_cor</t>
  </si>
  <si>
    <t>avis_cor_en</t>
  </si>
  <si>
    <t>moi1402-95809</t>
  </si>
  <si>
    <t>Ne savent même pas défendre un conducteur quand il n'est pas en tort. Témoins qui atteste que c'est la voiture qui a fait un écart sur moi. Et la complémentaire remboursement équipement c'est de la M..... Un casque de 2 mais rembourser à seulement 45% de sa valeur.
Une HONTE DE SE DIRE LA MUTUELLE DES MOTARDS</t>
  </si>
  <si>
    <t>Mutuelle des Motards</t>
  </si>
  <si>
    <t>moto</t>
  </si>
  <si>
    <t>train</t>
  </si>
  <si>
    <t>01/08/2020</t>
  </si>
  <si>
    <t>ostend-a-105003</t>
  </si>
  <si>
    <t xml:space="preserve">Bonjour,
Je trouve extrêmement frustrant, le fait que malgré mon bonus et ma deuxième année consécutive chez vous, le prix de mon assurance auto soit rester le même que l'an dernier.
J'envisage de prospecter la concurrence.. </t>
  </si>
  <si>
    <t>Direct Assurance</t>
  </si>
  <si>
    <t>auto</t>
  </si>
  <si>
    <t>01/03/2021</t>
  </si>
  <si>
    <t>steph-ane--101843</t>
  </si>
  <si>
    <t>Les prélèvements se passent à merveille, les conditions commerciales varient en fonction du changement du francisé. Un sans franchise racheté en cas de sinistre responsable, quelque soit le nombre de sinistres, aujourd'hui c'est au bon vouloir du franchisé. Plus confiance en cette assurance</t>
  </si>
  <si>
    <t>AXA</t>
  </si>
  <si>
    <t>24/12/2020</t>
  </si>
  <si>
    <t>01/12/2020</t>
  </si>
  <si>
    <t>chircard2--114089</t>
  </si>
  <si>
    <t xml:space="preserve">Service client compliqué. Demande de retour de police faite il y a cela maintenant 3 mois. Après un mois sans aucune nouvelle et après avoir adressé les documents aucune nouvelle (pas d'accusé de réception). La première fois on me dit que mes documents ont été  a priori bien été reçus, que je devrais recevoir un courrier et que cela va prendre un mois de délai. Le courrier n'arrivant pas, je fais des appels répétés de relance toutes les semaines et là on m'annonce deux mois de délai pour finalement au bout de 2 mois m'annoncer un délai de trois mois. Ce jour, étant maintenant à 3 mois, nouvel appel de ma part, une personne très aimable me répond qu'elle ne sait pas où en est mon dossier et qu'elle transmet ma demande et qu'elle ne peut pas m'en dire plus. Je lui demande si elle a une trace de mes appels précédents, elle me répond que non. Je lui demande si je peux avoir un interlocuteur qui serait plus à même de me renseigner et là encore ce n'est pas possible.  Je trouve cela assez inhumain. Je ne comprends pas comment on peut laisser les personnes comme cela dans l'attente. </t>
  </si>
  <si>
    <t>MetLife</t>
  </si>
  <si>
    <t>credit</t>
  </si>
  <si>
    <t>18/05/2021</t>
  </si>
  <si>
    <t>01/05/2021</t>
  </si>
  <si>
    <t>fernandes-j-115388</t>
  </si>
  <si>
    <t>Prix très attractif merci très efficace les explications sont très simples et facile le site est très accessible et facile de navigation j’espère que tout se passera aussi bien jusqu’à la fin.</t>
  </si>
  <si>
    <t>L'olivier Assurance</t>
  </si>
  <si>
    <t>31/05/2021</t>
  </si>
  <si>
    <t>lauric-64616</t>
  </si>
  <si>
    <t xml:space="preserve">NUL de chez Nul !
à éviter !!!
le prix est en adéquation est bas comme leur niveau de professionnalisme, fuyez cette assurance comme la peste, </t>
  </si>
  <si>
    <t>08/06/2018</t>
  </si>
  <si>
    <t>01/06/2018</t>
  </si>
  <si>
    <t>aurelia-b-123167</t>
  </si>
  <si>
    <t>je suis très satisfaite de la qualité des services proposés. peut être qu'un petit geste commercial aurait été la cerise sur le gateau, compte tenu du fait que nous avons la quasi totalité de nos biens qui sont assurés chez vous depuis un long moment...</t>
  </si>
  <si>
    <t>GMF</t>
  </si>
  <si>
    <t>12/07/2021</t>
  </si>
  <si>
    <t>01/07/2021</t>
  </si>
  <si>
    <t>vicpat83-57905</t>
  </si>
  <si>
    <t>trop de pub mensonger il vous fond un max de ristourne pour rentrer au sein de leur assurance ,mes ils oublient de vous dire que l’année d’après vous payer plein pots et quand vous avez 5 assurance chez eux sa commence a coûter très cher donc des mal façon a revoir</t>
  </si>
  <si>
    <t>AMV</t>
  </si>
  <si>
    <t>09/10/2017</t>
  </si>
  <si>
    <t>01/10/2017</t>
  </si>
  <si>
    <t>flegendre-61640</t>
  </si>
  <si>
    <t>Bonjour.
un avis mitigé. Dépannage et assistance 2 fois sans problèmes.
Côté assistance juridique pour un achat de voiture en Allemagne. Moteur cassé après 6000 km.
Mauvais suivi de GMF qui me dit après 1 an révolu qu'il faut que j'envoie un recommandé. Heureusement que je n'ai pas attendu leur conseil sinon mon dossier était mort.
Sous traité a dekra Allemagne qui sous traité a un avocat qui lui ne connait pas le dossier . Se présente juste à l'heure de l'audience sans discuter avec moi. Fournis des expertises françaises non traduite donc pas recevable et qui lors de la suspension d'audience me demande ce que je veux vraiment mais m'explique que ce n'est plus possible parce qu'il fallait le demande AVANT le début de l'audience. 
L'affaire n'est pas terminée.
Dernier incident vandalisme non couvert par un contrat tout risque. C'est quoi le sens du mot tout risque en Français.
Donc pour ces défauts de conseils et de traitement, je ne renouvellerais pas pour la voiture que je viens de racheter.</t>
  </si>
  <si>
    <t>01/09/2020</t>
  </si>
  <si>
    <t>alain-96850</t>
  </si>
  <si>
    <t>auccuns problemes au niveau reaction apres l accident prise en charge par l assurance pret d une voiture passage de lexpet remboursement du vehicule aucune fausse note tres satisfait rapport qualité prix services tres satisfesant seul bemol l attente au telephone</t>
  </si>
  <si>
    <t>Pacifica</t>
  </si>
  <si>
    <t>31/08/2020</t>
  </si>
  <si>
    <t>mc-coy57-71622</t>
  </si>
  <si>
    <t>Qualité du service médiocre pour le prix payé (je parle de la qualité du service et non des garanties qui sont correctes)</t>
  </si>
  <si>
    <t>Mercer</t>
  </si>
  <si>
    <t>sante</t>
  </si>
  <si>
    <t>25/02/2019</t>
  </si>
  <si>
    <t>01/02/2019</t>
  </si>
  <si>
    <t>mathilde-b-125149</t>
  </si>
  <si>
    <t>J'attends de voir la suite : l'accessibilité des services, les réponses des services, les envois des numéros importants etc... Les prix sont Pour l'instant satisfaisants, nous verrons par la suite si les services sont bons. Difficile de dire en amont</t>
  </si>
  <si>
    <t>28/07/2021</t>
  </si>
  <si>
    <t>hnl-68939</t>
  </si>
  <si>
    <t>un remboursement en attente depuis juillet 2018  malgré avoir eu quasiment tout le personnel du services clients direct assurance, marie, el madhi, nathalie, zouheir, toraya nouha, khalil, guilloux, encore marie , plus d'une dizaines de mails, plus les appels, bref je fais appel à mon avocat car depuis septembre seulement mon dossier a été tansmis au service comptabilité et toujours aucun remboursement au 27 novembre 2018.</t>
  </si>
  <si>
    <t>27/11/2018</t>
  </si>
  <si>
    <t>01/11/2018</t>
  </si>
  <si>
    <t>fayt-d-116562</t>
  </si>
  <si>
    <t xml:space="preserve">Je suis satisfaite du service 
Rapide, simple et pratique. Nous avons eu une personne à l'écoute et qui nous conseil bien sur nos besoins.
Je recommande cette assurance a tout le monde </t>
  </si>
  <si>
    <t>10/06/2021</t>
  </si>
  <si>
    <t>01/06/2021</t>
  </si>
  <si>
    <t>loune-99723</t>
  </si>
  <si>
    <t xml:space="preserve">Treq contente car :
- attente pas trop longue (3 mn environ)
- Reponses tres claires
- personne tres aimable
- tres bien aidee alors sue je me sentais toute perdue, en prenant le temps d’ecouter toutes mes demandes
Merci :)
</t>
  </si>
  <si>
    <t>Génération</t>
  </si>
  <si>
    <t>06/11/2020</t>
  </si>
  <si>
    <t>01/11/2020</t>
  </si>
  <si>
    <t>tigefranck-69006</t>
  </si>
  <si>
    <t>Je suis assuré depuis novembre 2012 chez eux. Les tarifs sont un peu plus cher que la concurrence, mais le service est là, on ne paie pas une simple carte verte!!!
En juin dernier, j'ai été percuté à l'arrière par un véhicule qui m'a projeté sur le véhicule qui me précédait. Résultat: Double sinistre non responsable avec de gros dégats sur mon véhicule.
Un mois plus tard, mon véhicule a été réparé chez un garage partenaire, donc aucune avance de frais!
De plus, un véhicule de prêt m'a été alloué durant les 10 jours d'immobilisation de mon véhicule.
Travail impeccable.
Véhicule restitué nettoyé.
Franchement rien à redire concernant cette assurance!</t>
  </si>
  <si>
    <t>21/07/2020</t>
  </si>
  <si>
    <t>01/07/2020</t>
  </si>
  <si>
    <t>alain-69300</t>
  </si>
  <si>
    <t>BONJOUR JE N ARRIVE PAS A ME CONNECTE A LA PAGE  https://wsneoliane.mutua.fr/AD_identification.php.https://wsneoliane.mutua.fr/AD_identification.php.https://wsneoliane.mutua.fr/AD_identification.php.https://wsneoliane.mutua.fr/AD_identification.php</t>
  </si>
  <si>
    <t>Néoliane Santé</t>
  </si>
  <si>
    <t>11/12/2018</t>
  </si>
  <si>
    <t>01/12/2018</t>
  </si>
  <si>
    <t>geai-b-109304</t>
  </si>
  <si>
    <t>Bonjour, je suis venu chez vous par hasard et vous m'avez si bien renseigné que j'ai décidé de rester avec vous .Merci pour votre accueil, vous avez répondu à mes attentes .</t>
  </si>
  <si>
    <t>06/04/2021</t>
  </si>
  <si>
    <t>01/04/2021</t>
  </si>
  <si>
    <t>laurentro-65434</t>
  </si>
  <si>
    <t>Accident moto non responsable début Avril.
Moto envoyée chez l'expert, réparable économiquement et techniquement.
Puis des semaines pour la récupérer, la MAAF l'avait faite partir en casse, jetée dans une benne, alors même que j'avais demandé sa restitution en l'état pour la faire réparer et signé en ce sens les papiers.
Moto livrée chez moi défoncée par la benne, système de frein cassé, nombreux dégâts supplémentaires par rapport à l'expertise de l'accident.
Un nouvel expert passe, est partisan avec la MAAF même dans son rapport qu'il met plus d'un mois à donner.
Mais tout de même reconnait de nouveaux dégats mais décharge la maaf parlant de son sous traitant ( ce qui est la meme chose au final ).
Depuis, pas de réponses de la MAAF si ce n'est une proposition scandaleuse à 1600 euros de remboursement pour une moto non utilisable.
Malgré mes nombreuses demandes, le volet corporel n'est pas traité.
Si vous souhaitez une assurance dont tout doit se régler devant une juridiction, allez chez la MAAF</t>
  </si>
  <si>
    <t>MAAF</t>
  </si>
  <si>
    <t>12/07/2018</t>
  </si>
  <si>
    <t>01/07/2018</t>
  </si>
  <si>
    <t>riririri-111132</t>
  </si>
  <si>
    <t>Accident non fautif ( un véhicule me rentre dedans en marche arrière).
Constat remplis par le fautif je me dit qu'il n'y aura pas de problème mais noooon j'ai décidé de prendre cette assurance de M€;): pour le prix et ba j'aurais pas du ! 5 semaines que la voiture est au garage !!!!!!!!!!!! Malgré que je ne soit pas fautif il faut patienté !!!!! Être réactif il ne le sont pas du tout mais pour prélever sur votre compte 2/3Jours avant la date prévue sa il le font très bien! Vous voulez Un conseil qui vous fera gagner du temps? Ne regarder pas le prix avant de prendre une assurance mais regarder le service client avant tout. Car j'ai connus pas mal d'assurance et je peut vous dire que celle-là c'est la PiRE !!!!!!!</t>
  </si>
  <si>
    <t>Active Assurances</t>
  </si>
  <si>
    <t>21/04/2021</t>
  </si>
  <si>
    <t>sophie-p-121223</t>
  </si>
  <si>
    <t>D'excellents services, une très bonne écoute, une grande réactivité, cela fait plus de 20 ans que je suis affiliée à la GMF et je suis ravie de cette compagnie.</t>
  </si>
  <si>
    <t>25/06/2021</t>
  </si>
  <si>
    <t>samir-b-133658</t>
  </si>
  <si>
    <t>ASSURE EN LIGNE RAPIDEMENT RETOUR INFOS CONSEIL ASSUREUR A L ECOUTE ET ENVOI DES DOCUMENTS SIMPLIFIES ET ASSURE SANS SE DEPLACER LORSQUE L ON EFFECTUE SA DEMANDE EN LIGNE.</t>
  </si>
  <si>
    <t>20/09/2021</t>
  </si>
  <si>
    <t>01/09/2021</t>
  </si>
  <si>
    <t>maxcoco14-101688</t>
  </si>
  <si>
    <t>6 MOIS .... 6 MOIS que j'attends en vain que AG2R modifie une erreur informatique ... une coquille dans mon jour de naissance  ... MAILS, APPELS .... en vain ....  ET UNE SEULE REPONSE "il faut attendre une réponse du service informatique"....
 ... 6 MOIS d'attente, de relances et d'épuisement pour accéder à mon compte épargne RETRAITE : UNE HONTE .... 
ALORS OUI FUYEZ ... FUYEZ 
pour ma part obligée d'ATTENDRE MALGRE MOI ....</t>
  </si>
  <si>
    <t>Ag2r La Mondiale</t>
  </si>
  <si>
    <t>20/12/2020</t>
  </si>
  <si>
    <t>rayan-102127</t>
  </si>
  <si>
    <t>Bonjour..
Je suis motard et soignant lors du premier confinement Club 14 a promis un gilet airbag aux motards soignant. Je n'est jamais reçu ce gilet malgré mon inscription !!
Leur réponse: il n'en reste plus. Merci club 14.</t>
  </si>
  <si>
    <t>04/01/2021</t>
  </si>
  <si>
    <t>01/01/2021</t>
  </si>
  <si>
    <t>liloula-96305</t>
  </si>
  <si>
    <t xml:space="preserve">Attention information aux propriétaire de véhicule neuf : ne prenez pas Direct Assurance car en cas de panne de votre véhicule, ce sera le constructeur qui se chargera du dépannage car le service assistance m à dit je cite "nous avons des consignes sur les voitures neuves, pas de prise en charge de nos services pour éviter des litiges avec le constructeur" OK... Merci Direct Assurance. </t>
  </si>
  <si>
    <t>14/08/2020</t>
  </si>
  <si>
    <t>marie-102490</t>
  </si>
  <si>
    <t>Je suis assurée depuis plus de 15 ans chez eux. le 18 aout 2020 j'ai eu un sinistre électrique du à la foudre! depuis je suis sans chauffage....sauf qu'aujourd'hui il fait entre 12 et 15 dans ma maison....et rien n'avance....personne ne vous rappelle...;malgré mes mails successif, mes relance sur leu site mes appels......4h pour arriver à avoir quelqu'un au téléphone!!!! C'est purement honteux de parler de mutualisme!!!! on devait plutôt parler de non assitance à personne en danger!</t>
  </si>
  <si>
    <t>habitation</t>
  </si>
  <si>
    <t>12/01/2021</t>
  </si>
  <si>
    <t>keith-70714</t>
  </si>
  <si>
    <t>Client depuis plus de 2 ans, je suis ravi du tarif proposé chaque année.
J'ai reçu à l'époque ma carte verte très rapidement après avoir envoyé les documents demandés.
J'ai toujours été bien renseigné par des personnes agréables et compétentes.
Les garanties proposées répondent à mes besoins
Je recommande vivement l'olivier !</t>
  </si>
  <si>
    <t>29/01/2019</t>
  </si>
  <si>
    <t>01/01/2019</t>
  </si>
  <si>
    <t>kosowski-k-136530</t>
  </si>
  <si>
    <t xml:space="preserve">très satisfaite des prix, conseils et services 
de plus j'ai pu recontacter la personne qui m'a prise en charge la première fois c'est donc un plus . </t>
  </si>
  <si>
    <t>07/10/2021</t>
  </si>
  <si>
    <t>01/10/2021</t>
  </si>
  <si>
    <t>nat-96569</t>
  </si>
  <si>
    <t>Aucun suivi client digne de ce nom...
Après plusieurs semaines d'échange mail et téléphone, l'envoi des documents, certains 3 fois toujours aucun règlement des sommes dues au titre de l'assurance vie de ma maman.
Cet assureur joue volontairement la montre...</t>
  </si>
  <si>
    <t>Afer</t>
  </si>
  <si>
    <t>vie</t>
  </si>
  <si>
    <t>22/08/2020</t>
  </si>
  <si>
    <t>prou-c-109294</t>
  </si>
  <si>
    <t>Simple et pratique, les prix sont corrects par rapport aux autres.
La personne au téléphone a été très efficace.
J'espère ne pas avoir de mauvaises surprises par la suite.</t>
  </si>
  <si>
    <t>ole-70483</t>
  </si>
  <si>
    <t>A éviter à tout prix malgré les tarifs attractifs si vous ne voulez pas regretter et payer bien plus les années qui suivent ! 
Mon conjoint a été résilié suite à trois sinistres non responsables ( deux bris de glace et un matériel). Et oui, car la Maaf ne tolère apparemment qu'un sinistre en moyenne par personne sur 3 ans ! Evidemment, nous payons pour nous prémunir de risque que bien-sur nous devons éviter d'avoir (Nous jouons à récupérer les cailloux sur notre pare-brise quand nous roulons c'est rigolo) ...  
Après cette résiliation vient la déconvenue, aucun autre assureur ne veut vous prendre en charge, pas du fait du taux de sinistralité puisqu'ils sont non responsables, mais parce que vous avez été RESILIE ! 
Obligation de s'assurer via des réassureurs aux prix hallucinants (70 euro par mois pour un tiers minables avec une franchise énorme pour le second conducteur (2000 euro pour un jeune conducteur et 500 pour un confirmé). Résultats, je ne peux plus utiliser le véhicule de mon conjoint (pourvu que je ne tombe pas en panne !) et bien évidemment ce tarif nous sera appliqué pour 3 ans, le temps que la résiliation soit obsolète ! 
Que vous ayez des politiques internes sur des quotas minables, c'est extrêmement décevant mais nous aurions avec plaisir passé notre chemin et aurions souscrit des contrats avec des partenaires plus intéressants !
Au lieu de cela, vous choisissez de pénaliser vos anciens assurés rémunérateurs en leur faisant un joli cadeau empoisonné pour les 3 prochaines années ! 
Résultat, mieux vaut payer 10 euro de plus par mois ailleurs que se retrouver majoré de 30 euro mensuels sur trois années ! 
Passez votre chemin et faites confiance à un autre organisme !</t>
  </si>
  <si>
    <t>23/01/2019</t>
  </si>
  <si>
    <t>melliti-c-110144</t>
  </si>
  <si>
    <t>Clair,precis,bon accueil téléphonique ,j'ai trouvé moins cher ,neanmoins, l'interface de l'espace client est claires personnes que j'ai eu au téléphone parlent correctement et l'on comprend tout</t>
  </si>
  <si>
    <t>12/04/2021</t>
  </si>
  <si>
    <t>non-116441</t>
  </si>
  <si>
    <t xml:space="preserve">Ayant signalé un bris de glace au mois de mars, envoyé la facture et les pièces demandées début avril, je ne suis toujours pas remboursé (on est le 9 juin !!!).
Après d'innombrables appels, le vendredi 4 juin on m'infirme par téléphone que mon dossier est complet et que je serais remboursé début de semaine prochaine.
Ce mardi 8 juin : mais de l'Olivier ou l'on me réclame le "bon de livraison de la pièce remplacée". TROIS MOIS après ma déclaration.
C'est mon dernier contrat et celui de mes enfants avec l'Olivier (chat échaudé ...)
Cdlt 
</t>
  </si>
  <si>
    <t>09/06/2021</t>
  </si>
  <si>
    <t>gerard-123293</t>
  </si>
  <si>
    <t xml:space="preserve">Direct assurance a augmenté comme ça sans raison particulière mon assurance de 15% unilatéralement .alors que je suis un bon conducteur 50% de bonus pas de sinistrés depuis plusieurs années.ils auraient plutôt dû me faire une remise considérant les enfermements Covid et toutes les restrictions de couvre feu
</t>
  </si>
  <si>
    <t>13/07/2021</t>
  </si>
  <si>
    <t>sevolivan-76679</t>
  </si>
  <si>
    <t>20 ans à la maaf. 5 contrats. 2 réparations de pare-brise en 2017 et 2019. 1 accident léger responsable. Malgré un quarantenaire avec ZERO accident depuis 20 ans. La maaf refuse d'assurer la nouvelle voiture. On croit rêver!!!!!!!!! Mettre des franchises exorbitantes, virer les sociétaires fidèles comme de la .... c'est ignoble! Je compte bien virer tous mes contrats ailleurs! 20 ans de fidélité en fumée avec un appel téléphonique pour nous l annoncer alors qu on allait signer le devis du call center!!!!! En dessous de tout la maaf!</t>
  </si>
  <si>
    <t>11/06/2019</t>
  </si>
  <si>
    <t>01/06/2019</t>
  </si>
  <si>
    <t>virginie-p-133211</t>
  </si>
  <si>
    <t>Je suis ravie de cette offre, j'achète direct. Je recommande.. VIvement fin octobre.. Merci Direct Assurance. J'y étais il y a un an et je regrette d'être partie</t>
  </si>
  <si>
    <t>17/09/2021</t>
  </si>
  <si>
    <t>sergio-97915</t>
  </si>
  <si>
    <t>1er :  véhicule Nissan :J.ai transféré l’assurance du Nissan sur une jeep que je venais d’acheter puis j’ai voulu réassurer le Nissan on m’a répondu « impossible » assuré chez direct assurance depuis des années. J’ai du refaire un dossier tous risques ( comme l’ancien)accepté puis 6 mois plus tard modifier sans mon accord . J’ai eu un problème de radiateur pendant la canicule et un litige avec le garagiste et ils m’ont envoyé chez « Que choisir ? » on ne peut rien pour vous....
J’ai mis le dossier entre les mains d’un avocat qui m’a déclaré n’avoir aucune réponse de votre part ( a plusieurs reprises). Ma voiture n’est toujours pas réparée..1 an...
 2ème : habitation : pendant 6 mois vous m’avez débité deux contrats d’assurance avant que je m’en aperçoive 
Cela fait beaucoup. Mon avocat cherchant toujours à vous joindre j.. j’attends pour changer de fournisseur.</t>
  </si>
  <si>
    <t>28/09/2020</t>
  </si>
  <si>
    <t>habibou-d-130039</t>
  </si>
  <si>
    <t xml:space="preserve">Je suis satisfait du service aujourd'hui,  je viens juste de m'assurer donc je ne peux pas dire plus, le futur nous dira. Si les engagements sont respectés bien sûr que je serais le plus satisfait </t>
  </si>
  <si>
    <t>29/08/2021</t>
  </si>
  <si>
    <t>01/08/2021</t>
  </si>
  <si>
    <t>papyrol-88092</t>
  </si>
  <si>
    <t xml:space="preserve">Tremblement de Terre à Montélimar,dans la Drome, quatre mois après toujours aucun remboursement pour un sinistre inférieur à 3000 euros. je vais donc changer d'assureur rapidement </t>
  </si>
  <si>
    <t>07/03/2020</t>
  </si>
  <si>
    <t>01/03/2020</t>
  </si>
  <si>
    <t>giovanni-c-129190</t>
  </si>
  <si>
    <t>Impeccable...
cette assurance correspond à mes attentes.
elle pratique des prix attractifs.
je fais pour le même usage 70% d'économie.
En espérant ne jamais avoir a m'en servir.</t>
  </si>
  <si>
    <t>APRIL Moto</t>
  </si>
  <si>
    <t>23/08/2021</t>
  </si>
  <si>
    <t>armand-b-126356</t>
  </si>
  <si>
    <t>Je suis satisfait du service proposé , les prix me conviennent parfaitement par rapport à mon ancien assureur. Je recommanderais Direct assurance à mes amis qui seront dans le besoin.</t>
  </si>
  <si>
    <t>04/08/2021</t>
  </si>
  <si>
    <t>dl11-90145</t>
  </si>
  <si>
    <t xml:space="preserve">Je suis assuré depuis de nombreuses années à la mutuelle des motards. 
En ce moment pour 4 motos. 
Je dois en acheter une cinquième cette semaine et personne ne me répond,  ni ne me rappelle, ni au téléphone ni par mail.
Je vais être obligé de souscrire un contrat auprès d'une autre assurance. 
Car les autres assurance répondent elles ! 
C'est lamentable, je suis tellement déçu par cette mutuelle en laquelle je croyais. </t>
  </si>
  <si>
    <t>03/06/2020</t>
  </si>
  <si>
    <t>01/06/2020</t>
  </si>
  <si>
    <t>jean-pierre--l-122770</t>
  </si>
  <si>
    <t>Je suis satisfait des prestations.
Jai un dégât des eaux  à déclarer .
je vais pouvoir juger de la qualité du suivit de ce dossier ..Cela  sera déterminant  pour mon avis définitif.
Bien cordialement .</t>
  </si>
  <si>
    <t>08/07/2021</t>
  </si>
  <si>
    <t>apolo202030-78316</t>
  </si>
  <si>
    <t>Sans commentaire, l assurance  doit être  au service  des clients et non de les piégés  en choisissant l option qui convient à  l assurance. L opinion de client sa compte aussi chose que DA ignore.</t>
  </si>
  <si>
    <t>09/08/2019</t>
  </si>
  <si>
    <t>01/08/2019</t>
  </si>
  <si>
    <t>johnsl-64274</t>
  </si>
  <si>
    <t>Bonjour,
Accident non responsable depuis 18 Mai et nous sommes 29 Mais, j'attends toujours le passage de leur expert, il devrait passer hier, j'ai bloqué la journée et y a rien, personne ne passe... je suis au chômage technique depuis le 18 Mai...Pas de nouvelles rien...J'essaye d'appeler je tombe sur une messagerie " nos bureaux sont exceptionnellement fermés ", je vais bientôt perdre mes clients, mon travail....Je ne sais plus quoi faire...</t>
  </si>
  <si>
    <t>29/05/2018</t>
  </si>
  <si>
    <t>01/05/2018</t>
  </si>
  <si>
    <t>cbp1-103054</t>
  </si>
  <si>
    <t>attention, assurance pas de suivi d'un sinistre depuis le 01/06/2019, des questions sans réponses, très difficile d'avoir un interlocuteur, robot vocal, bref assurance fantome et pourtant 40 années de cotisations</t>
  </si>
  <si>
    <t>Matmut</t>
  </si>
  <si>
    <t>21/01/2021</t>
  </si>
  <si>
    <t>potelle-l-117147</t>
  </si>
  <si>
    <t>Rapidité et surtout très bonne disponibilité. Je suis contente d’avoir une couverture tout risque pour ma première voiture à un prix pas trop élevé comparé aux autres assurances.</t>
  </si>
  <si>
    <t>15/06/2021</t>
  </si>
  <si>
    <t>dilantheo74-52356</t>
  </si>
  <si>
    <t>bonjour;suite a probleme de sante j ai du passer dans les mains de differents specialiste pour que le diagnostic couperet tombe!!MYOPATHIE avec le risque de finir en fauteuil roulant!!mise en invalidite par la cpam reconnu par la MDPH.J ai fait ma declaration aupres de la cardiff qui suite a la visite d un medecin 'expert" m annonce par courrier de la non prise en charge de cet invalidite et de l arret des paiements au 1er mars!!Donc quel interet de prendre une assurance invalidite si les organismes nationaux,les medecins;les specialistes la reconnaissent mais pas cette assurance!!</t>
  </si>
  <si>
    <t>Cardif</t>
  </si>
  <si>
    <t>13/02/2017</t>
  </si>
  <si>
    <t>01/02/2017</t>
  </si>
  <si>
    <t>ctf67-66089</t>
  </si>
  <si>
    <t xml:space="preserve">Après plus de 5 ans je n'ai jamais rencontré le moindre problèmes. Les remboursements sont assez rapides, de plus la possibilité d'envoyer les factures, ordonnance et feuille de soins par internet accélère la procédure de prise en charge.
Toutes les amis que j'ai parrainé sont totalement satisfait.
Bien entendu avant la souscription il convient de lire le contrat et surtout d'adapter celui ci a vos besoins car plusieurs niveaux de couverture sont disponibles.
</t>
  </si>
  <si>
    <t>SantéVet</t>
  </si>
  <si>
    <t>animaux</t>
  </si>
  <si>
    <t>09/08/2018</t>
  </si>
  <si>
    <t>01/08/2018</t>
  </si>
  <si>
    <t>martine-113470</t>
  </si>
  <si>
    <t xml:space="preserve">Ça fait 4 mois que nous attendons notre d'indemnisations, suite à un incident d une tierce personne qui est rentré dans notre mur d'habitation nôtre habitation est éventré, la Matmut Ne nous soutien absolument pas, je vous conseille d'éviter absolument cet assureur, car la Matmut elle n'assure pas du tout... </t>
  </si>
  <si>
    <t>12/05/2021</t>
  </si>
  <si>
    <t>cdric69170-67740</t>
  </si>
  <si>
    <t>Ballade téléphonique réponses vagues et sans interet questions sans cesse répétées à croire qu il travaille sur papier.Ils m envoient un Courrier daté sur 24 juillet posté le 04 octobre</t>
  </si>
  <si>
    <t>prevoyance</t>
  </si>
  <si>
    <t>16/10/2018</t>
  </si>
  <si>
    <t>01/10/2018</t>
  </si>
  <si>
    <t>dupre-j-117684</t>
  </si>
  <si>
    <t xml:space="preserve">Prix et service au top en espérant que cela va durer dans le temps très bon accueil téléphonique et le rendez-vous à l’heure cela devient de plus en plus rare surtout ne changez rien </t>
  </si>
  <si>
    <t>21/06/2021</t>
  </si>
  <si>
    <t>sussan-f-134769</t>
  </si>
  <si>
    <t>Le prix m'a convenu pour un jeune conducteur.
Il est par contre excessif si l'on rajoute un conducteur secondaire.
Le service téléphonique est plutôt assez rapide à répondre.</t>
  </si>
  <si>
    <t>28/09/2021</t>
  </si>
  <si>
    <t>laura11-88958</t>
  </si>
  <si>
    <t xml:space="preserve">La pire mutuelle.
Assurée via un contrat collectif, 30 euros prélevé tous les mois sur ma fiche de paie et l'employeur donne aussi 30 euros. Service client inexistant, difficile à joindre au téléphone, espace personnel en ligne très mal fait et bordélique, énormément de délai pour les remboursement cela fait plus de 2 mois que j'attends un remboursement pour des lunettes.
Dernière chose, ils ont radié mon contrat le 31 janvier je l'ai su début Mars suite à une rupture conventionnelle amies que j'avais le droit à la portabilité. À fuir la Mgen !! </t>
  </si>
  <si>
    <t>Mgen</t>
  </si>
  <si>
    <t>08/03/2021</t>
  </si>
  <si>
    <t>vincent-b-133543</t>
  </si>
  <si>
    <t>Bonjour, vos prix satisfaisants, mais je n'ai pas plus d'info sur le service pour le moment, car je viens juste de prendre une assurance auto.
Bonne soirée</t>
  </si>
  <si>
    <t>19/09/2021</t>
  </si>
  <si>
    <t>jacques-p-105569</t>
  </si>
  <si>
    <t>Simple et pratique.... mais ça se complique en cas de sinistre: le personnel n'est pas qualifié et les discussions s'eternisent. L'expression "nous avoir à l'usure" prend tout son sens, et il faut batailler ferme.
Mais peut-être qu'on en a toujours pour son argent : pas cher = mauvais service après vebte!</t>
  </si>
  <si>
    <t>05/03/2021</t>
  </si>
  <si>
    <t>celine--n-124446</t>
  </si>
  <si>
    <t xml:space="preserve">Je suis Satisfaite du service et des choix proposés. C'est Rapide, efficace et simple, nous savons ce à quoi nous souscrivons avec clareté. Rien à redire </t>
  </si>
  <si>
    <t>23/07/2021</t>
  </si>
  <si>
    <t>jqev-99458</t>
  </si>
  <si>
    <t xml:space="preserve">5 ans que j'essaye d'annuler le prelemevement de mon assurance pret qui n'est plus en cours. Aucun retour malgré l'envoi des documents demandé. C'est désolant. </t>
  </si>
  <si>
    <t>31/10/2020</t>
  </si>
  <si>
    <t>01/10/2020</t>
  </si>
  <si>
    <t>didier76160-65801</t>
  </si>
  <si>
    <t>appel d'offre intéressant pour vous appâter la première année...puis hausse de 14 % la première année !!! sur 5 ans de cotisation, hausse de 26 % sans aucune information , ni explication !!! sans aucune modification de mon contrat de base, ni sinistre !!!  je pense sérieusement m'être fait avoir...à faire suivre à vos contacts</t>
  </si>
  <si>
    <t>26/07/2018</t>
  </si>
  <si>
    <t>jplecatcheur-62383</t>
  </si>
  <si>
    <t>trés bon contact  sérieux service client ,compétent  toujours de bons conseils avenant et courtoit</t>
  </si>
  <si>
    <t>Santiane</t>
  </si>
  <si>
    <t>15/03/2018</t>
  </si>
  <si>
    <t>01/03/2018</t>
  </si>
  <si>
    <t>jmb2paris-81057</t>
  </si>
  <si>
    <t xml:space="preserve">impossible de résilier, obliger de faire appel à un médiateur, </t>
  </si>
  <si>
    <t>16/11/2019</t>
  </si>
  <si>
    <t>01/11/2019</t>
  </si>
  <si>
    <t>mike-104292</t>
  </si>
  <si>
    <t xml:space="preserve">Interlocutrice charmante, très à l'écoute de ma demande, la solutionne très rapidement avec une réponse qui me convient.
Donc rien à dire, c'est parfait;
D'ailleurs cela fait 48 ans que je suis adhérent, c'est dire si je suis satisfait !!!  </t>
  </si>
  <si>
    <t>MGP</t>
  </si>
  <si>
    <t>16/02/2021</t>
  </si>
  <si>
    <t>01/02/2021</t>
  </si>
  <si>
    <t>enpanne-57180</t>
  </si>
  <si>
    <t>A éviter 
On vous dit ce que vous voulez entendre et on clôture l'appel. Mais personne ne gère votre dossier et il est très difficile de faire avancer les choses.
L'assistance a mis 15 jours à livrer mon véhicule dans un garage agréé. C'est moi qui ai du gérer.
Suite à un sinistre non responsable qui date du 17 aout, ma voiture est toujours en attente de validation par l'expert qui propose des pièces d'occasion sur un véhicule qui cote 10 K ...
Personne ne s'affole d'un dossier qui traine et on ne vous rappelle jamais. 
En cas de sinistre prévoyez beaucoup de café, et ayez un forfait téléphonique illimité parce que vous êtes seul face à des gens et des process qui vous baladent.</t>
  </si>
  <si>
    <t>08/09/2017</t>
  </si>
  <si>
    <t>01/09/2017</t>
  </si>
  <si>
    <t>canaguier-s-112845</t>
  </si>
  <si>
    <t>JE SUIS SATISFAIT DU SERVICE AINSI QUE DES DEVIS FOURNIS. REPONSE RAPIDE ET EXPLICATIONS CLAIRES. LES TARIFS SONT TRES CORRECTS, TRANSACTION RAPIDE ET EFFICACE</t>
  </si>
  <si>
    <t>06/05/2021</t>
  </si>
  <si>
    <t>gau-c-127065</t>
  </si>
  <si>
    <t>A cause d'une simple erreur de photocopie de permis de conduire, je suis passé de 800 euros à 1300 euros de cotisation annuelle...sans pouvoir argumenter. Affligeant.</t>
  </si>
  <si>
    <t>14/10/2021</t>
  </si>
  <si>
    <t>victorio-87171</t>
  </si>
  <si>
    <t xml:space="preserve"> Depuis 23 ans chez courtier providency à Lyon et toujours que des bonnes expériences. Une équipe dynamique, sympathique et compétente!</t>
  </si>
  <si>
    <t>Cegema Assurances</t>
  </si>
  <si>
    <t>14/02/2020</t>
  </si>
  <si>
    <t>01/02/2020</t>
  </si>
  <si>
    <t>ophe--112422</t>
  </si>
  <si>
    <t xml:space="preserve">En arrêt depuis le mois de juillet 2020, je n’ai toujours rien perçu en complément de salaire. 
Mon employeur ne me répond pas concernant ma prévoyance. Que faire? </t>
  </si>
  <si>
    <t>03/05/2021</t>
  </si>
  <si>
    <t>patrice-v-128992</t>
  </si>
  <si>
    <t>Prix attractif, simple et rapide.
J'en ferai la promotion autour de moi dans la mesure ou ce qui prévu se confirme. J'espère qu'à l'usage je n'aurai pas à regreter mon choix.</t>
  </si>
  <si>
    <t>22/08/2021</t>
  </si>
  <si>
    <t>jacqueline-b-117119</t>
  </si>
  <si>
    <t xml:space="preserve">pourrait mieux faire pour les tarifs , pas d informations sur les tarifs ,nous ne sommes jamais au courant si nous pouvons avoir une baisse sur les prix </t>
  </si>
  <si>
    <t>sandy-64956</t>
  </si>
  <si>
    <t>Conseiller très agréable, de bon conseils et un bon service</t>
  </si>
  <si>
    <t>21/06/2018</t>
  </si>
  <si>
    <t>darne-55129</t>
  </si>
  <si>
    <t>La Macif est incapable (et le mot est faible) de fournir une attestation d'assurance au nom de mon épouse alors que nous sommes mariés et assurer tous les deux sur les contrats habitation et véhicules.</t>
  </si>
  <si>
    <t>MACIF</t>
  </si>
  <si>
    <t>04/06/2017</t>
  </si>
  <si>
    <t>01/06/2017</t>
  </si>
  <si>
    <t>syl-62294</t>
  </si>
  <si>
    <t xml:space="preserve">Bonjour je suis actuellement en arret maladie depuis juin 2017 j'ai donc demandé si l'assurance prenait en charge les mensualités de mon emprunt il mon répondu oui et on envoyé un dossier à faire remplir au médecin que j'ai renvoyé .il devait soit disant gelé les mensualités en attendant leur réponse pendant deux mois mais ce n'a pas été le cas . tout sa pour me donné un avis négatif .beaucoup de papiers et d'énergies pour rien ont est là que pour payé </t>
  </si>
  <si>
    <t>22/03/2018</t>
  </si>
  <si>
    <t>thfontai-64151</t>
  </si>
  <si>
    <t>Érika très professionnelle
Compliqué de pouvoir changer de destinataire</t>
  </si>
  <si>
    <t>23/05/2018</t>
  </si>
  <si>
    <t>raph-77615</t>
  </si>
  <si>
    <t>Service client DEPLORABLE.</t>
  </si>
  <si>
    <t>15/07/2019</t>
  </si>
  <si>
    <t>01/07/2019</t>
  </si>
  <si>
    <t>gianmarco-53403</t>
  </si>
  <si>
    <t>les prix me convienne, et le service est bien assuré, il n'y a rien a dire, bonne assurance, je n'ai pas essayé les services mais je pense que c'est bien et sérieux</t>
  </si>
  <si>
    <t>fieng-d-128379</t>
  </si>
  <si>
    <t xml:space="preserve">Superbe conseillère ! Gentille et aimable, félicitations pour vos équipes prêts à répondre à toute vos question avec une sympathie incroyable ! 
Bonne journée à tous ! </t>
  </si>
  <si>
    <t>17/08/2021</t>
  </si>
  <si>
    <t>anne974-65419</t>
  </si>
  <si>
    <t xml:space="preserve">Exerçant une profession libérale encore cliente chez SwissLife et cliente pendant de nombreuses années les cotisations n’ont fait qu’augmenter fortement d’années en années.
Tout allait bien et SwissLife n’a jamais manqué de me prélever au jour prévu. 
Je payais cher en me pensant bien assurée jusqu’au jour ou suite à un événement traumatisant j’ai fait une dépression nerveuse m’empêchant d’exercer la profession que j’aime mais qui est aussi très  éprouvante physiquement et moralement pendant environs 3 mois.
Mon sentiment : SwissLife a tout fait pour essayer de ne pas m’indemniser. 
Pour finalement obtenir les indemnités auxquelles j’avais droit, il a fallu de très nombreux mails, courriers et appels téléphoniques épuisants dans mon état de fatigue physique et morale.
Baladée de service en service, Il m’aura finalement était obligée de m’adresser à un conseiller juridique ainsi qu’au médiateur des assurances pour y arriver. Sans soutien extérieur je n’y serai certainement jamais parvenue.
Aujourd’hui mes contrats sont encore en cours mais j’ai pris les devants pour les résilier bien avant leurs échéances.
Un employé de SwissLife s’est excusé par téléphone en reconnaissant de nombreux disfonctionnements mais n’a jamais voulu le faire par courrier comme je le lui avais demandé.
Un seul conseil : ne gaspillez plus votre argent, oubliez SwissLife et si vous êtes encore sous contrat, fuyez dès que possible.
</t>
  </si>
  <si>
    <t>SwissLife</t>
  </si>
  <si>
    <t>11/07/2018</t>
  </si>
  <si>
    <t>matheo-g-116534</t>
  </si>
  <si>
    <t xml:space="preserve">Service à l'écoute, les professionnels à disposition sont compétents et très professionnels et les prix attractifs ! Je recommande fortement, la facilitation d'assurance est facile est intuitive. Super. </t>
  </si>
  <si>
    <t>vanessa--v-134797</t>
  </si>
  <si>
    <t>Satisfait ça prend 5 minutes et assurance la moins cher que j'ai trouvé pour un jeune chauffeur.  Toutes les autres assurances était au double du prix que j'ai ici pour mon contrat</t>
  </si>
  <si>
    <t>nicou-60726</t>
  </si>
  <si>
    <t xml:space="preserve">Lors de mon dernier devis d'optique de septembre, le remboursement est practiquement de moitié par rapport au remboursement de mes anciennes lunettes, je demande des explications au conseiller de Génération, qui me dit il vous faut  appeler la plateforme qui gère les remboursements, et quand j'arrive enfin à les avoir je leur explique que je n'ai pas changé de tranche, que chaque année je paye plus cher, pourquoi je suis si peu remboursé, la personne me repond que je dois appelé Génération pour qu'il voit avec mon contrat, car je n'ai pas choisi un opticien partenaire, du coup elle peut pas me renseigner, je rappelle Génération mais entre temps les bureaux ont fermé.
Je vous prie de croire que demain matin, je les rappelle et si je n'arrive pas à me renseigner convenablement, dans la foulée, je chercherai une autre mutuelle.
</t>
  </si>
  <si>
    <t>19/09/2020</t>
  </si>
  <si>
    <t>claude-r-112950</t>
  </si>
  <si>
    <t>pour l'instant tout va bien! pas de difficulté particulier
l'enquête est beaucoup trop longue trop de demande d'information alors que nous sommes sur notre espace.</t>
  </si>
  <si>
    <t>07/05/2021</t>
  </si>
  <si>
    <t>ktudi-105114</t>
  </si>
  <si>
    <t>Un très grand merci à Pacifia pour nous avoir aider dans les différentes démarches suite  un dégât des eaux. De la prise en charge jusqu'à la des travaux.</t>
  </si>
  <si>
    <t>02/03/2021</t>
  </si>
  <si>
    <t>david95530-61366</t>
  </si>
  <si>
    <t xml:space="preserve">Bonjour,
Suite aux intempéries, j'ai du prolonger mes vacances d'une journée.
J'ai rencontré sur mon lieu de vacances une personne assuré à la Macif dans la même situation.
Elle m'a informé que la nuit supplémentaire était prise en charge par la MACIF dans le cadre de l'assistance.
J'ai donc voulu profiter de ce remboursement sauf que la personne en ligne a refusé la prise en charge, peut être préfère t'il prendre en charge un accident ?
La MACIF pratique donc une politique à la carte .
Client depuis plus de 15ans et sans sinistre depuis bien longtemps... , je n'oublierais pas ce point de détail pour ma prochaine échéance au mois d'avril.
Encore une assurance qui vous assure qu'en tout va bien. ah oui le montant de la prolongation 86€ de mon séjour , ma cotisation annuel est de +1200€
</t>
  </si>
  <si>
    <t>12/02/2018</t>
  </si>
  <si>
    <t>01/02/2018</t>
  </si>
  <si>
    <t>chrisrib-116518</t>
  </si>
  <si>
    <t>Bonjour, assurance à fuir absolument. 2 ans pour avoir un retour de leur part suite à un accident, 2 ans pendant lequel mon véhicule a été immobilisé tout en continuant à payer mes cotisations. Le service client est nul, personnes n'est capable d'apporter des réponses clairs, c'est une tanné pour les avoir au téléphone, ils sont juste là pour encaisser les cotisations pour Zéro service. 
Privilégié n'importe quelle autre assurance, cela ne pourra pas être pire</t>
  </si>
  <si>
    <t>miranda-l-112407</t>
  </si>
  <si>
    <t xml:space="preserve">je suis satisfait du service 
le prix est correct
le service clients est bon à l'écoute des assurés 
néanmoins une application sur mobile serrait un gros plus  </t>
  </si>
  <si>
    <t>02/05/2021</t>
  </si>
  <si>
    <t>kirgu-71982</t>
  </si>
  <si>
    <t>Fuir cette assurance, je les ai quitté des que j'ai pu au bout d'un an!
Heureusement je n'ai pas eu de sinistre, je ne sais pas ce qui se serait passé.
Je n'ai pas reçu ma carte verte alors que j'ai réglé ma prime annuelle, j'attends pour le remboursement car je les ai résiliés.
Le lien internet est inopérant, le service téléphonique, cher, a pour mission de vous prendre un maximum d'argent et pas de résoudre les problèmes.</t>
  </si>
  <si>
    <t>08/03/2019</t>
  </si>
  <si>
    <t>01/03/2019</t>
  </si>
  <si>
    <t>mikado-50419</t>
  </si>
  <si>
    <t xml:space="preserve">Je suis non résident (adresse fiscale en Allemagne). 
MutaVie m'a dit qu'il ne pouvait plus prélever mon compte à la BNP Paribas en France et de verser des fonds sur leur compte à la Société Générale, c'est ce que j'ai fait le 25 avril 2021 en mentionnant mon compte livret vie.
Pour ce versement de 50€ de mon compte en Allemagne ils m'ont exigé un Rib. Ce document n'existe ni en Allemagne ni en Espagne où pour tous les prélèvements il suffit d'adresser son Iban et son BIC. J'ai adressé la lettre d'ouverture du compte Allemand mentionnant ses informations mais cela ne leur paraît pas suffisant.
Depuis le 30 avril j'ai eu deux personnes de Mutavie au téléphone et je leur ai adressé les multiples mails dont je vous adresse copie du dernier.
Les 50€ ne sont à ce jour ni versés sur sur mon livret vie ni retournés. Par ailleurs,  depuis le 30 avril je n'ai reçu aucune réponse à mes courriels ou les accusés réception mentionnent "réponse dans les deux jours ouvrés".
Et dire que cette assurance vie à reçu la récompense meilleur service client pour 2021 : une aberration ....
" À l'attention de Monsieur Sebastien B.
 Malgré notre entretien téléphonique du 30 avril 2021 et à mes deux courriels par l'espace client dont j'ai reçu trois confirmations je n'ai pas eu de nouvelles de Mutavie. Je vous demande donc : 1)de me retourner les 50 € sur mon compte Allemand dont vous avez les coordonnées 2) de mettre en place les prélèvements sur mon compte BNP Paribas pour de futurs versement . J'espère enfin d'avoir de vos nouvelles. Cordialement, Michel U."
</t>
  </si>
  <si>
    <t>neigenmars-79430</t>
  </si>
  <si>
    <t>Concernant MAIF : 
Je vais changer car c'est plus cher que ailleurs, matmut par exemple, pour les mêmes garantis. 
Et je ne suis pas d accord pour une mise en demeure immédiate pour un petit retard ( oubli) de paiement de la cotisation annuelle, en plus il y a des frais qui s'ajoutent. Quand je vous combien de temps ils mettent à rembourser, est ce que le client delande des frais dus aux préjudices de retard de remboursement ???!!</t>
  </si>
  <si>
    <t>MAIF</t>
  </si>
  <si>
    <t>11/02/2021</t>
  </si>
  <si>
    <t>philippe-m-124649</t>
  </si>
  <si>
    <t>Très rapide et adaptée !
Je conseille cette assurance aussi pour le prix et les garanties. 
Facile d'accès, le site est ergonomique et pratique. A voir...</t>
  </si>
  <si>
    <t>25/07/2021</t>
  </si>
  <si>
    <t>ulmarson-108832</t>
  </si>
  <si>
    <t>Après avoir accepté le devis, payé d'avance une somme rondelette, l'assurance se permet d'augmenter ma cotisation sous prétexte d'un accident ou je n'étais pas en tort !
Fuyez cette assurance indigne de confiance.</t>
  </si>
  <si>
    <t>pauline2015-85702</t>
  </si>
  <si>
    <t>Comme tous les autres, en attente du versement des fonds suite au décès de mon papa, aucune nouvelle. Personne ne répond au service succession, et l'accueil oscille entre personnes nous prenant de haut ou celles qui ne savent pas. A fuir, nos proches doivent se retourner dans leur tombe... Il est grand temps que les autorités s'en mêlent car c'est lamentable. De mon côté je réclame les intérêts de retard et espère que mon recommandé aura au moins un impact car en attendant les mails restent sans réponse et je me retrouve à payer des frais seule.</t>
  </si>
  <si>
    <t>09/01/2020</t>
  </si>
  <si>
    <t>01/01/2020</t>
  </si>
  <si>
    <t>jean-pierre--t-136880</t>
  </si>
  <si>
    <t xml:space="preserve">Je suis satisfait du service et de la qualité de vos prestations, qui sont toutes très intéressantes et attractives.
Les propositions sont bonnes et complètes. Les explications sont très claires et simples. </t>
  </si>
  <si>
    <t>APRIL</t>
  </si>
  <si>
    <t>10/10/2021</t>
  </si>
  <si>
    <t>rudy-c-124254</t>
  </si>
  <si>
    <t>Je suis satisfait du service, réponse rapide au téléphone et réponse adaptée aux problématiques posées.
Les démarches à effectuer après mon appel ont été bien expliquées.</t>
  </si>
  <si>
    <t>22/07/2021</t>
  </si>
  <si>
    <t>nordine-55671</t>
  </si>
  <si>
    <t>Assureur qui a construit sa réputation sur le militantisme. Mais tout cela n'est que de la com pour la conquête de nouveaux clients. Assureur plus cher que la moyenne,  peut réactif, avec des délais de gestion sinistres plus long que la moyenne et avec des refus de prises en charge non motivés. Impossibilité de les joindre au téléphone (au tant prendre un assureur à distance).
Les produits sont dépassés et peu couvrant, et le personnel peu qualifié du fait de la multitude des produits qu'ils ont à gérer (assurances de biens, de personnes, crédits, etc..)</t>
  </si>
  <si>
    <t>27/06/2017</t>
  </si>
  <si>
    <t>frankie-58309</t>
  </si>
  <si>
    <t>Tout va bien si vous ne leur coûtez rien sinon ils cherchent la moindre excuse pour vous radier pour  résultats techniques dégradés et sont alors de parfaite mauvaise foi</t>
  </si>
  <si>
    <t>23/10/2017</t>
  </si>
  <si>
    <t>emery-f-136115</t>
  </si>
  <si>
    <t xml:space="preserve">Entièrement satisfaite, la personne qui s’est occupé de mon dossier était vraiment à l’écoute de ce que je voulais, elle a su me renseigner par rapport au mail qui était une erreur </t>
  </si>
  <si>
    <t>05/10/2021</t>
  </si>
  <si>
    <t>sama-123467</t>
  </si>
  <si>
    <t>Si vous aimez passer votre temps à écouter la musique d’attente téléphonique c’est la bonne assurance! Ça fait deux mois que j’attends le virement de mon indemnisation, à chaque fois que j’appelle (2/3 fois par semaine) j’en ai pour minimum 20min d’attente et peu importe le conseiller qui me répondra, il regardera mon affaire et me diras qu’il doit l’étudier et me rappeler. Sur 11 conseillés aucun ne m’a rappelé. Il y en a même qui ne prennent pas la peine de se casser la tête, il me mettent en attente et au bout de quelques minutes raccrochent! C’est la pire de toutes les assurances que j’ai connus et sûrement la pire de tous ceux qui existent! Si vous n’y êtes pas encore client, FUEZ!</t>
  </si>
  <si>
    <t>Allianz</t>
  </si>
  <si>
    <t>assurances-professionnelles</t>
  </si>
  <si>
    <t>15/07/2021</t>
  </si>
  <si>
    <t>peggy-l-133956</t>
  </si>
  <si>
    <t xml:space="preserve">je suis satisfaite du service, les prix sont intéressants je suis satisfaite du service, les prix sont intéressants je suis satisfaite du service, les prix sont intéressants </t>
  </si>
  <si>
    <t>22/09/2021</t>
  </si>
  <si>
    <t>gmm-65709</t>
  </si>
  <si>
    <t>Assuré pendant 15 ans chez Euro-Assurance (sans aucun accident) pour me rendre compte que leur tarif n'a fait augmenter malgré l'âge de ma moto et mon bonus et subir les pires difficultés pour résilier (mais non monsieur nous n'avons pas reçu votre résiliation, mais non ce n'est pas la bonne adresse, etc.). A fuir.</t>
  </si>
  <si>
    <t>Euro-Assurance</t>
  </si>
  <si>
    <t>23/07/2018</t>
  </si>
  <si>
    <t>saifsb-81349</t>
  </si>
  <si>
    <t>Je vous conseille d'éviter cette mutuelle, cela fait des semaines que j'envoi des document j'appelle par téléphone, parfois le conseiller promet de rappeler et  à chaque fois il me demande des document que j'ai déjà envoyés... il m'ont mis dans une grosse galère car des traitements de 1700 euros bouffe tout le salaire et je continue à galérer... Bref BRAVO Harmonie!</t>
  </si>
  <si>
    <t>Harmonie Mutuelle</t>
  </si>
  <si>
    <t>26/11/2019</t>
  </si>
  <si>
    <t>syncers-69871</t>
  </si>
  <si>
    <t>Le prix de l'assurance augmente tous les ans alors que la voiture veillit !!!!!!!!!!!!!!!!!!!!!!!!!!!!!!!!!!!!!!!!!!!!!!!!!!</t>
  </si>
  <si>
    <t>03/01/2019</t>
  </si>
  <si>
    <t>emanciot-46966</t>
  </si>
  <si>
    <t>Bonjour 
Je ne recommande pas cette assurance, qui sous traite à une autre société en cas de sinistre pour gérer le dossier =&gt; document demandé en double, complexité de procédure , renvoie de balle entre Macif et sous traitant (Créativ'sud)
Le pire , une fois qu'il  se décide de vous rembourser , plus de 8 jours entre le virement et la réception de votre remboursement.
Je déconseille fortement cette mutuelle mal gérée par la politique des responsables
Merci pour votre écoute</t>
  </si>
  <si>
    <t>08/04/2021</t>
  </si>
  <si>
    <t>lemanlili-70467</t>
  </si>
  <si>
    <t>A la suite d'une augmentation de tarif injustifiée,j'ai voulu résilier Santiane.A ma grande surprise je constate que cette société fait les plus grandes difficultés pour accepter la résiliation.Surtout ne vous laissez pas piéger et prenez la fuite quand il est encore temps!!!</t>
  </si>
  <si>
    <t>18/02/2019</t>
  </si>
  <si>
    <t>bibou-133128</t>
  </si>
  <si>
    <t xml:space="preserve">Prise dans les inondations, torrent d'eau et déluge de ce mardi 14 septembre 2021 dans le Gard, un véhicule avec des etais a déferlé venant de la gauche sur mon arrière droite, touchant au passage ma capote (en haut, à droite) avec ses etais, pour aller se planter dans le décor. Je téléphone à Direct Assurance pour leur signaler cet événement après m'être apercue que le bruit sourd du choc, correspondait à une trace sur ma capote, faisant se désolidariser la lunette arrière de cette capote... Réponse inacceptable : "c'est un dommage tous accidents" et non pris en compte en catastrophe naturelle ! La franchise n'est évidemment absolument pas la même, et c'est scandaleux. Je vais donc les mettre au tribunal. </t>
  </si>
  <si>
    <t>16/09/2021</t>
  </si>
  <si>
    <t>copis-81695</t>
  </si>
  <si>
    <t>Nous sommes à Matmut, agence de Vesoul, nous sommes très satisfaits du service client. Toujours bien renseignés et conseillés.</t>
  </si>
  <si>
    <t>06/12/2019</t>
  </si>
  <si>
    <t>01/12/2019</t>
  </si>
  <si>
    <t>karim-o-127231</t>
  </si>
  <si>
    <t xml:space="preserve">A voir je débute juste à voir comment cela se passe si les prix restent fixe ou si il y aura évolution dessus surtout voir si les assurances sont vraiment aussi bien que se qu’on lis </t>
  </si>
  <si>
    <t>09/08/2021</t>
  </si>
  <si>
    <t>florence-o-115429</t>
  </si>
  <si>
    <t>INSATISFAITE SUR LE FAIT QUE JE PAIE UNE OPTION "PACK SERENITE" TOUS LES MOIS MAIS QUI OBLIGE A CHOISIR UN DE VOS GARAGES EN CAS DE REPARATIONS , OR POUR CE QUI EST DE LA CARROSSERIE JE NE L EMMENE QUE CHEZ MON CONCESSIONNAIRE ... DU COUP JE NE BENEFICIE PAS DU VEHICULE DE PRET LIVRE CHEZ MOI PAR VOS SOINS ... DOMMAGE</t>
  </si>
  <si>
    <t>afifa-136720</t>
  </si>
  <si>
    <t>Mon mari était praticien hospitalier il a contracté l’appa pour être mieux remboursé et aussi pour les promesses de sécurité…..finalement après son décès prématurément et en suivant son conseil j’ai continué avec eux mais les règles ont changé,pour tout ce qui était remboursé ne l’est plus .sachant que je paye 230€par mois pour mes deux enfants et moi ,je suis déçu,comme si la perte d’un époux ne suffit pas il faut aussi faire face a des problèmes de ce genre</t>
  </si>
  <si>
    <t>09/10/2021</t>
  </si>
  <si>
    <t>abdessamad-t-107043</t>
  </si>
  <si>
    <t>satisfait sauf quand il y a augmentation des tarifs.les tarifs restent quand même bas et accessible .je suis dans l'ensemble satisfaite des prix et du service.</t>
  </si>
  <si>
    <t>18/03/2021</t>
  </si>
  <si>
    <t>gilles-e-131477</t>
  </si>
  <si>
    <t xml:space="preserve">Satisfaction de votre assurance et de votre service site Web qui est facile à utiliser merci encore dans l'attente je vous prie de recevoir l'expression de mes salutations cordialement </t>
  </si>
  <si>
    <t>06/09/2021</t>
  </si>
  <si>
    <t>christopher-91249</t>
  </si>
  <si>
    <t>DEVIS FACILE A CREER MAIS JE NE SUIS PAS SATISFAIT DU PRIX, d'autre assureur son plus compétitif au niveau de ce devis. Je suis encore hésitant à valider ma demande</t>
  </si>
  <si>
    <t>17/06/2020</t>
  </si>
  <si>
    <t>tom113-54080</t>
  </si>
  <si>
    <t>A ÉVITER surtout ne vous assurez pas chez active assurance mieux vaut payer un peu plus cher ailleurs et être tranquille.J y suis depuis 2 mois et malgré des relances téléphonique je n ai toujours pas reçu ma carte verte je suis donc en infraction INADMISSIBLE ...Deuxièmement ce sont eux qui on résilier mon ancienne assurance et bien j aurai du le faire moi même ils se sont  trompé sur la date et j ai du le premier mois payer deux assurance l ancienne et active.....On se demande vraiment avec eux si on sera pris en charge correctement et sans problème si il m arrivais  d avoir un sinistre...Lors de mes appels je suis tombé quelquefois sur des personnes qui comprenais a peine le français j étais  obligé d épeler ce que je disais INCROYABLE MAIS VRAI.....Je REGRETTE vraiment de m être assuré chez eux et maintenant je vais faire tout pour partir soit en attendant patiemment que une année s écoule en priant de n avoir aucun sinistre ou j ai envisagé de revendre mon véhicule et d en prendre un autre pour me débarrassé de ce fardeau....Je vous assure que tout ceci est réel et que ce n est en aucun cas de la spéculation.....</t>
  </si>
  <si>
    <t>14/04/2017</t>
  </si>
  <si>
    <t>01/04/2017</t>
  </si>
  <si>
    <t>philou-137464</t>
  </si>
  <si>
    <t xml:space="preserve">correspondant très sympathique et qualifier, réponse rapide a ma demande de prise en charge de dépassement d honoraire. la personne au téléphone a su me renseigné, et agir en conséquence pour répondre a ma demande rapidement .      </t>
  </si>
  <si>
    <t>patpat74-59571</t>
  </si>
  <si>
    <t xml:space="preserve">Ma mère a ete abusée par un courtier pour NEOLIANE. pour être sur que tout passe inapercçu, elle n'a reçu aucun courrier de leur part. dès que nous sommes intervenus ils ont vite resilié le contrat: aveu? ils ne sont pas en mesure de nous fournir les papiers signés par elle, donc pas de preuve et refusent de lui rembourser les cotisations volées. je présice qu'il n'ont jamais effectué un seul remboursement pour elle puisqu'elle n'a jamais changé de mutuelle!!
</t>
  </si>
  <si>
    <t>11/12/2017</t>
  </si>
  <si>
    <t>01/12/2017</t>
  </si>
  <si>
    <t>guy-p-113797</t>
  </si>
  <si>
    <t xml:space="preserve">Bravo merci pour nous motards toujours à la recherche d’assurance les moins cher et le plus sympathique et surtout les plus compétitives cordialement </t>
  </si>
  <si>
    <t>15/05/2021</t>
  </si>
  <si>
    <t>sergio-98021</t>
  </si>
  <si>
    <t xml:space="preserve">N'ayant jamais du faire appel à leur service par rapport à une déclaration d'accident, je suis dans l'impossibilité de donner un avis sur le service ,par contre je trouve que leur tarifs sont excessifs.Pour cela j'envisage peu être un service internet. </t>
  </si>
  <si>
    <t>29/09/2020</t>
  </si>
  <si>
    <t>llaura-theany-c-134221</t>
  </si>
  <si>
    <t>Je suis contente pour les services prête !! Je vous recommande !! La  meilleur prix et attention internet pour les suscriptions en ligne ! ! Super ..!</t>
  </si>
  <si>
    <t>23/09/2021</t>
  </si>
  <si>
    <t>karim-f-124849</t>
  </si>
  <si>
    <t>Je suis satisfait du prix et du service client de direct assurance je vous recommande a toute personne commençant une assurance voiture ou de domicile</t>
  </si>
  <si>
    <t>26/07/2021</t>
  </si>
  <si>
    <t>patertone-110059</t>
  </si>
  <si>
    <t>La seule mutuelle (que de nom bien sur) qui augmente sans cesse ces tarifs d'année en année ET même sur du collection (ni soumis à bonus/malus) et qui EN PLUS prétend qu'il y a eu plus de m*o*r*t en 2020, ben voyons sans blague.
J'ajoute que malgré ma résiliation plus d'un mois avant effectuée dans le cadre légal avec papier et compagnie (notez que je les ai même appelé pour être sur que ma demande soit bien valide et sans problème pour personne), je me retrouve débité de l'année à venir, et le remboursement se fera pas avant le début du mois prochain "au mieux" (on est le 12 avril), c'est totalement lamentable et non professionnel, j'ose pas imager si on a un problème important avec ce genre de "mutuelle". J'ajoute qu'il est très compliqué de les joindre selon les périodes. 
Notez aussi que jurimotard et save sont des assurances que vous êtes obliger d'avoir dans votre contrat (notez au détail dans la facturation alors que ce n'est pas une option, je sais même pas si légalement c'est possible) bref du boulot pour que choisir sans aucun doute.</t>
  </si>
  <si>
    <t>herve-76548</t>
  </si>
  <si>
    <t>satisfait des frais de gestion à 0,475% en FG et UC et des frais réduits d'ntrée à 0% en UC dès septembre (si votés à l'AG) et 0,5% en UC... seule crainte : voir trop de collecte en UC qui tuerait le FG. MACSF a fait l'inverse augmenter de 1 à 3% les frais en FG</t>
  </si>
  <si>
    <t>06/06/2019</t>
  </si>
  <si>
    <t>nicolas-m-115932</t>
  </si>
  <si>
    <t>Satisfait du service jusqu'alors mais pas encore finalisé. J'attends
 la mise en place de cette nouvelle assurance emprunteur pour donner un avis définitif.</t>
  </si>
  <si>
    <t>Zen'Up</t>
  </si>
  <si>
    <t>04/06/2021</t>
  </si>
  <si>
    <t>antoine-h-130648</t>
  </si>
  <si>
    <t xml:space="preserve">je suis satisfait du service. Le  prix me convient  
très rapide pour les réponses. avoir par la suite au fur et à mesure des années.
reçu les informations par mail aussitôt la demande faite .
</t>
  </si>
  <si>
    <t>aureliep-49893</t>
  </si>
  <si>
    <t>Harmonie Mutuelle est une catastrophe! 
Je suis salariée depuis octobre 2016, ils ont multiplier les erreurs depuis ce mois-ci.
Ils ont commencé par me mettre sous le même contrat qu'un de mes collègues (comme si nous étions passés ou mariés), résultat nous avons reçu une carte avec nos deux noms inscrits dessus...
Ils ont continué par refuser que l'on prenne des options plus élevées que l'option de base souscrite par notre employeur...
Enfin, ils se prélèvent les cotisations de TOUS les salariés sur mon compte bancaire...
Nous nous battons depuis un mois et demi pour obtenir gain de cause, pour l'instant en vain!
Concernant les garanties, aucun remboursement sur les médecines douces, au plus bas sur l'optique et le dentaire (l'opticien n'arrivait même pas à le croire)...
Si j'avais pu mettre 0/5 je l'aurais fait!
A FUIR !!!!!!!!</t>
  </si>
  <si>
    <t>05/12/2016</t>
  </si>
  <si>
    <t>01/12/2016</t>
  </si>
  <si>
    <t>ray-137548</t>
  </si>
  <si>
    <t>La conseillère Widad très professionnelle a su régler ma demande de prise en charge de deux paires de lunettes de loin et de près comme mon contrat mutuelle le stipulait auprès de viamedis. Cette plate forme ayant traité la  prise en charge demandé par mon opticien en me remboursent que sur la base d'une paire seulement. Je l'a remercie de sa disponibilité et de sa gentillesse cela me conforte sur la note a donner à ma mutuelle</t>
  </si>
  <si>
    <t>15/10/2021</t>
  </si>
  <si>
    <t>duparcat-77881</t>
  </si>
  <si>
    <t>Merci à Caroline qui a pris le temps de traiter mes différents problèmes suite à l'ancienne mutuelle qui n'a pas fait son travail</t>
  </si>
  <si>
    <t>24/07/2019</t>
  </si>
  <si>
    <t>loledu11-78052</t>
  </si>
  <si>
    <t xml:space="preserve">accident non responsable mais avec tiers non identifié  résultat vous payez 800€ de franchise 
je fais annuler ma déclaration de sinistre et demande que soit pris en charge le changement du feu diurne car j ai pris l extension de bris de glace avec franchise 129€ quand même 
réponse pas possible sa fait parti du sinistre que nous ne prenons pas en charge
résultat vous payer pour n avoir aucune garantie </t>
  </si>
  <si>
    <t>30/07/2019</t>
  </si>
  <si>
    <t>martyson-127580</t>
  </si>
  <si>
    <t>Malheureusement, la mutuelle Mercer est obligatoire pour moi, parce que c'est la mutuelle d'entreprise où je travaille (du coup j'ai des doutes si choisir cette entreprise n'était plutôt un erreur mais bon c'est une autre histoire). La première expérience, ils m'ont menti sur l'envoi de ma Carte de Tiers Payant, je n'ai rien reçu (le 5 juillet: Nous vous informons avoir procédé ce jour à l'envoi de votre carte de Tiers payant Mercer.) Je me suis assurée chez une mutuelle de confiance (c'est le plus important pour moi) et je ne vais jamais utiliser les services de Mercer, mais je suis vraiment mécontente de devoir payer 30 euros par mois pour une mutuelle pourrie que je n'utiliserai jamais (et ça depuis mars 2021 à l'infini). Evitez si vous le pouvez!</t>
  </si>
  <si>
    <t>11/08/2021</t>
  </si>
  <si>
    <t>betty-106591</t>
  </si>
  <si>
    <t xml:space="preserve">Prise Contact facile et clair avec le service client ainsi qu’en suivi de dossier, malgré un peu d’attente téléphonique. Je suis satisfaite dans l’ensemble. </t>
  </si>
  <si>
    <t>15/03/2021</t>
  </si>
  <si>
    <t>gilles-71870</t>
  </si>
  <si>
    <t xml:space="preserve">Experience client horrible. 
Ayant besoin d'une assurance pour un nouveau véhicule, j'ai demandé un devis qui semblait intéressant. 
Cependant le conjoint doit posséder un permis français pour que le véhicule puisse être assuré même si un seul conducteur est inscrit au contrat. Règle stupide. 
Tout se gâte quand le chargé de clientèle réalise que le conjoint n'a pas le dit permis. On passe alors de sourire et amabilité à air froid et dédain avant de raccrocher rapidement. Aussi incroyable qu'intolérable.
</t>
  </si>
  <si>
    <t>05/03/2019</t>
  </si>
  <si>
    <t>brundille-105319</t>
  </si>
  <si>
    <t>Certaines prestations ne sont pas prises en charge intégralement même a un niveau élevé de contrat.
Mais les options proposées dans les contrats sont satisfaisantes et permettent une couverture correcte.</t>
  </si>
  <si>
    <t>03/03/2021</t>
  </si>
  <si>
    <t>ahlem-94331</t>
  </si>
  <si>
    <t xml:space="preserve">Je suis satisfaite  Je suis satisfaite   Je suis satisfaite Je suis satisfaite Je suis satisfaite Je suis satisfaite Je suis satisfaite Je suis satisfaite </t>
  </si>
  <si>
    <t>16/07/2020</t>
  </si>
  <si>
    <t>pj-97010</t>
  </si>
  <si>
    <t xml:space="preserve">Très bon accueil téléphonique et disponible pour répondre à vos questions.
Vous conseille bien lors de la prise de contact.
Les tarifs pour ce contrat sont accessible et c'est une entreprise sérieuse (j'ai déjà été cliente chez Groupama lorsque j'étais étudiante et j'en ai gardé de bons souvenirs). </t>
  </si>
  <si>
    <t>Groupama</t>
  </si>
  <si>
    <t>03/09/2020</t>
  </si>
  <si>
    <t>guimont-n-139132</t>
  </si>
  <si>
    <t xml:space="preserve">Service efficace à fois en ligne et par téléphone pour la mise en place du contrat. 
Tarif abordable pour un jeune permis. Je recommande cette assurance 
</t>
  </si>
  <si>
    <t>06/11/2021</t>
  </si>
  <si>
    <t>01/11/2021</t>
  </si>
  <si>
    <t>pierre-103662</t>
  </si>
  <si>
    <t>Initialement client d’Amaguiz, je suis passé chez Groupama lorsque ces derniers ont décidé de réintégrer leur filiale.
J’ai trouvé que la transition n’avait pas été très bien gérée et j’ai clairement perdu en qualité de service (appli et site pas terrible).
Surtout, j’ai été victime d’un dégât des eaux en mai 2020... qui n’a toujours pas été réglé à ce jour (février 2021).
Ok nous étions en période Covid mais la déclaration a été fastidieuse, j’ai dû envoyer 2 fois les pièces justificatives et les équipes de Groupama n’ont absolument pas été réactives.
Je ne compte plus le nombre d’interlocuteurs différents que j’ai pu avoir sur mon dossier (&gt; 10), tous découvrant mon cas à chaque fois et me promettant de faire le nécessaire...
Je peux comparer avec la gestion d’un sinistre équivalent que j’avais eu à l’époque avec Amaguiz et j’ai clairement perdu en qualité de service avec cette fusion.
Après 7 ans chez Amaguiz j’envisage donc de quitter Groupama sans aucun regret dans les prochains mois, et ne recommanderais pas cette assurance comme j’ai pu le faire pour Amaguiz.</t>
  </si>
  <si>
    <t>04/02/2021</t>
  </si>
  <si>
    <t>marconot-m-107710</t>
  </si>
  <si>
    <t>AMABILITÉ ,PROFESSIONNALISME ET DISPONIBILITÉ DE LA PERSONNE QUI M'A FAIT SOUSCRIRE PAR TÉLÉPHONE</t>
  </si>
  <si>
    <t>23/03/2021</t>
  </si>
  <si>
    <t>decu68-62941</t>
  </si>
  <si>
    <t xml:space="preserve">Je suis dégoûté mutuelle nul temps d'attente extraordinaire à 15 centimes la minutes foutages de gueule par contre pour le prélèvement mensuel aucun  soucis super pros je regrette mon ancienne mutuelle </t>
  </si>
  <si>
    <t>04/04/2018</t>
  </si>
  <si>
    <t>01/04/2018</t>
  </si>
  <si>
    <t>essia-86472</t>
  </si>
  <si>
    <t>Une étoile est c'est beaucoup, depuis 2 ans je suis toujours pas remboursée ils n'arrivent pas à régler le problème avec le serrurier qui a refusé la traçabilité de sa comptabilité.</t>
  </si>
  <si>
    <t>Sogessur</t>
  </si>
  <si>
    <t>29/01/2020</t>
  </si>
  <si>
    <t>jean-maec-d-105921</t>
  </si>
  <si>
    <t>Vous augmentez chaque année entre 5 et 10 pour cent vos tarifs. Je pense que les clients habituels paient pour les nouveaux car la première année est tres avantageuse.</t>
  </si>
  <si>
    <t>svetlana-43231</t>
  </si>
  <si>
    <t>FUYEZ SI VOUS TENEZ A VOTRE SANTÉ MENTALE...
Cela fait des mois que je demande mes remboursements de soins sans succès, après de multitudes appels, mails et courriers. Je n'en peux plus. A chaque fois que j'ai un interlocuteur au téléphone on me raconte n'importe quoi, les discours sont différents en fonction de la personne que j'arrive à avoir au bout du fil ! "On n'a pas reçu votre courrier"/ "On a perdu votre RIB" / "Vous n'avez pas envoyé dans le bon service" / " Il faudrait renvoyer vos documents" / " Il y a eu un problème de télétransmission"...etc J'hallucine totalement.
Je précise, je suis MGEN FILIA et tout est sous traité par le BCAC / B2V : des incompétents de premier choix !
J'étais chez HARMONIE MUTUELLE auparavant et j'en étais contente. Prenez des cours chez eux !</t>
  </si>
  <si>
    <t>14/01/2018</t>
  </si>
  <si>
    <t>01/01/2018</t>
  </si>
  <si>
    <t>pascal-r-113679</t>
  </si>
  <si>
    <t>Satisfait, mais trop compliqué vis à vis de certains autres cites je n'ai rien d'autre à vous signaler que faire autrementcordialement Mr Réaud Pascal 17120 Semussac</t>
  </si>
  <si>
    <t>14/05/2021</t>
  </si>
  <si>
    <t>lolo-69253</t>
  </si>
  <si>
    <t>Recherche une assurance capable d'un service client</t>
  </si>
  <si>
    <t>09/12/2018</t>
  </si>
  <si>
    <t>bill-105604</t>
  </si>
  <si>
    <t>GMF habitation:  peu de conseil l'assuré, très cher au regard du montant des dédommagements mobiliers en cas de sinistre, un suivi quasi inexistant, je me recommande pas</t>
  </si>
  <si>
    <t>cm-109328</t>
  </si>
  <si>
    <t>Echange très satisfaisant, Lamia fut accueillante et à l'écoute ! Les conseillers de clientèle sont très appréciables, ne pas hésiter à les contacter par téléphone.</t>
  </si>
  <si>
    <t>flo-93152</t>
  </si>
  <si>
    <t>NULS</t>
  </si>
  <si>
    <t>03/07/2020</t>
  </si>
  <si>
    <t>sochin-135422</t>
  </si>
  <si>
    <t>Merci à Larbi pour son professionnalisme et la clarté de ses explications, sans oublier sa courtoisie. J'ai plusieurs contrats et je suis satisfait de Santiane.</t>
  </si>
  <si>
    <t>jean-michel-r-107464</t>
  </si>
  <si>
    <t xml:space="preserve">Énorme augmentation hors que nous sommes en période de COVID et que les voitures n'ont pas roulé.  Les autres assurances font des gestes !!!! Très déçu </t>
  </si>
  <si>
    <t>22/03/2021</t>
  </si>
  <si>
    <t>julesferry-88329</t>
  </si>
  <si>
    <t>J'ai voulu assurer une maison. Une conseillère charmante m'avait soumis un devis. Mais quand j'ai rappelé pour souscrire, patatras : suis tombé sur "Jérôme" et REFUS  car la maison a été acquise en viager (il y aurait un "problème" de responsabilité civile !). Or la personne qui occupait est en Ehpad n'entre plus  dans l'équation puisqu'elle est partie (on a les clés, on y viendra de temps en temps : il faut bien assurer !). On m'a proposé un simple "propriétaire non-occupant" qui ne correspond pas à la situation. C'était pourtant tout simple : assurance résidence secondaire (achetée en viager ou non !). J'ai eu affaire à un mur.</t>
  </si>
  <si>
    <t>14/03/2020</t>
  </si>
  <si>
    <t>sacha-96405</t>
  </si>
  <si>
    <t>assure chez eux pour mon chien depuis octobre 2019 je pars vite de chez eux.beaucoup trop de probleme avec remboursement  exemple mon chien aeu besoin d'un medicament en pate pour des vomissement et ils ont confondu pate avec paté donc la commerciale m"a dit on ne peut pas vous rembourser ce medicament car c'est un aliment et vous avez epuise votre forfait.vraiment debile.cette ssurance vous rembourse comme bon leur semble et il vous endorme avec des bonne paroles.maintenant je suis tres content d'etre delivrer d'eux.</t>
  </si>
  <si>
    <t>Eca Assurances</t>
  </si>
  <si>
    <t>18/08/2020</t>
  </si>
  <si>
    <t>patrick--o-131402</t>
  </si>
  <si>
    <t xml:space="preserve">Je suis satisfait des services et du prix .
De la bonne explication sur le site .et de l offre donner on avait vu les publicites et et les prix sont atractif </t>
  </si>
  <si>
    <t>05/09/2021</t>
  </si>
  <si>
    <t>daisy-75387</t>
  </si>
  <si>
    <t>Un délais de traitement des dossiers inimaginables, une arrogance inégalée de la part des conseillers, une incompétence dans la gestion des dossiers familiaux, aucune communication entre les différents interlocuteurs, pas de connaissance des dossiers, plateforme en ligne pas fonctionnelle, difficilement joignable</t>
  </si>
  <si>
    <t>CNP Assurances</t>
  </si>
  <si>
    <t>25/04/2019</t>
  </si>
  <si>
    <t>01/04/2019</t>
  </si>
  <si>
    <t>jenbuw-134033</t>
  </si>
  <si>
    <t>A fuir absolument !!! Impossible de rattacher notre petite fille qui  a 8 mois maintenant ! Inadmissible, vous avez augmenté la mensualité de mon mari en mettant à jour son dossier sans prendre en compte la demande de rattachement de notre fille ????????????il serait bien que notre pharmacie puisse être payée des vaccins ??</t>
  </si>
  <si>
    <t>rem-57374</t>
  </si>
  <si>
    <t>tres deçu, on me fait tourné en rond, suite a mon licenciement je demande une prise en charge, j'envoi les documents, ensuite on me rajoute une deuxieme liste de documents pour valider mon dossier, se que j'envoi en accusé de réception, mon dossier et valider soit accepté mais on me demande un contact téléphonique, je les appels et surprise il bloque mon dossier et il sera accepté que si je renvoi de nouveau documents qui correspondent aux meme deja envoyer. et on m'a tres mal parler au telephone et ma meme racroché au nez, super l'accueil , il cherche le petit detail pour ne pas valider ce dossier.</t>
  </si>
  <si>
    <t>15/09/2017</t>
  </si>
  <si>
    <t>khalid-a-117047</t>
  </si>
  <si>
    <t>Je suis satisfait de service en ligne merci beaucoup de ce service . Je suis ici pour la première fois merci encore de beau service en ligne je vous remercier</t>
  </si>
  <si>
    <t>14/06/2021</t>
  </si>
  <si>
    <t>tony-87064</t>
  </si>
  <si>
    <t xml:space="preserve">Un an après le décès d'une personne dont j'étais le bénéficiaire de l'assurance vie , impossible de toucher mon capital.Jamais le même interlocuteur à la CNp  les arguments sont toujours différents.patientez une semaine...renvoyez vos documents (déjà envoyés à 5 reprises).C'est désespérant et je songe même à abandonner mais à transférer mes propres assurances vies à un autre assureur . </t>
  </si>
  <si>
    <t>13/02/2020</t>
  </si>
  <si>
    <t>doudou-97153</t>
  </si>
  <si>
    <t>Avis très satisfait de AMV toujours à l’écoute tres satisfait du rendement 
Rapide et éfficasse que ce soit par mail ou par téléphone une équipe au top.</t>
  </si>
  <si>
    <t>08/09/2020</t>
  </si>
  <si>
    <t>cuestae-68194</t>
  </si>
  <si>
    <t>Client depuis 10 ans, et ma famille depuis 30, jamais eu d'accident, premier accident dont je suis victime (quelqu'un grille un céder le passage) et enfonce ma voiture achetée il y a 2 mois! Déclarée irréparable et estimée à 1300 euros en dessous de l'ARGUS malgré factures d'entretien, autres offres bien au-dessus de leur proposition. Je suis dans l'incapacité de me racheter un véhicule similaire et je suis sans voiture depuis le début de la procédure. Le dossier traîne encore et encore pour que l'on se lasse, on demande une contre-expertise et on se rend compte qu'ils la font faire par la même boîte d'expertise que la première. Honteux! Tant qu'il n'y a pas de problème ils sont bons pour prendre leurs cotisations mais ensuite... Plus personne, tout le monde se renvoie la balle, personne n'est responsable et aucun interlocuteur valable! En agence ils vendent des produits qu'ils ne maîtrisent pas, après conversation avec quelqu'un de l'agence, ils admettent "qu'ils n'aimeraient pas être à notre place et que c'est injuste" mais sont dans l'incapacité d'agir. C'est honteux d'être traité ainsi lorsqu'on lâche près de 1600 euros de cotisations par an pour les assurances de nos voitures et maison. Aucun sens commercial. L'unique pouvoir qui me reste en tant que client est de chercher une nouvelle agence pour l'ensemble de mes biens.</t>
  </si>
  <si>
    <t>30/10/2018</t>
  </si>
  <si>
    <t>pierrot-90443</t>
  </si>
  <si>
    <t xml:space="preserve">Assuré depuis 2 ans rien à redire, bien plus mauvais ailleurs </t>
  </si>
  <si>
    <t>11/06/2020</t>
  </si>
  <si>
    <t>clement-v-116448</t>
  </si>
  <si>
    <t>Les prix sont excessifs // garanties
Je n'ai que très peu sollicité DIRECT ASSURANCE (c'est que tout va bien !)
Dans tous les cas, je ne souhaiterais pas changer de compagnie...</t>
  </si>
  <si>
    <t>vincent-le-roux-50955</t>
  </si>
  <si>
    <t xml:space="preserve">J'avais début décembre 2016, émis le souhait de faire un rachat partiel 72h (donc urgent) de 3600 euros. L'ennui est que le compte sur lequel ce virement était destiné n'était plus valable. De plus, le lien vers une modification des coordonnées de compte ne fait que bugguer. Malgré mon signalement, leurs services n'ont pas étés capables de rectifier cela. J'ai donc été obligé de passer par une formule papier, bien que le virement attendu était urgent. Malgré un courrier de bonne reception de leur part, daté du 23 décembre, le virement n'a toujours pas été effectué. Je sais bien que nous sommes rentrés dans une période de fêtes mais la banque n'a pas complétement fermé depuis à ce que je sache. J'ai régulièrement désinvestit l'argent que j'avais chez eux car depuis plusieurs années, je me rend compte que leurs services sont en constante dégradation, preuve en est les interminables et régulières demi-heures au téléphone derrière un serveur vocal sans obtenir personne (encore hier de 9h30 à 10h). Je n'ai plus que 2 hésitations, clôturer complètement mon compte de la pire banque que j'ai connue, Generali et arroser les forums de mauvaises pub à leur encontre pour épargner les désagréments des nouveaux souscripteurs. Mais ce qui est sûr, c'est que je commence à perdre patience et je vous invite à exécuter ma demande au plus vite sans quoi, je demanderai aux différentes associations de consommateurs et services juridiques de prendre l'affaire en main. </t>
  </si>
  <si>
    <t>Generali</t>
  </si>
  <si>
    <t>05/01/2017</t>
  </si>
  <si>
    <t>01/01/2017</t>
  </si>
  <si>
    <t>papou57-72307</t>
  </si>
  <si>
    <t>Les prix explosent chaque années.Et je n'ai jamais de sinistres.Je vais voir ailleurs car trop c'est trop.J'ai fais le calcul de 300euros il y 5ans je paye 410euros aujourd'hui.plus de 30pour  cent en cinq ans .Comme ma retraite!!!!!!!!!!</t>
  </si>
  <si>
    <t>20/03/2019</t>
  </si>
  <si>
    <t>ozart-66540</t>
  </si>
  <si>
    <t>suite démarchage tél portable de mon epouse et après vérification de mes coordonnées par rapport à mon iban je viens de recevoir un certificat d'adhésion. je n'ai jamais reçu de proposition et signé de contrat chez eux. Je vous explique. mon épouse c'est faite abuser par un démarchage au téléphone le 22 Aout 2018 par un de vos employé qui l'a appelé avec le N de tel suivant : 06 43 85 43 35. malgrés aucune acceptation d'aucun de vos contrats. j' ai quand meme reçu une confirmation d adhésion ainsi qu'un echeancier à un contrat Néoliane Protection Juridique aujourd'hui le 01 septembre 2018 qui est pour moi un faux car je n ai adhérer a aucun contrat, pour info je ne ferait jamais d adhésion a aucun contrat chez vous ou vos représentants, je me suis donc rendu a la gendarmerie, et l on m a conseiller de commencer par faire jouer le délai de rétractation qui est de quatorze jours avant d envisager d autres procédures voici donc le numéro d Adhesion qui est souscrit sous le prenom de mon épouse avec des prelevements prévuent de 20 euros chaque mois sur mon compte bancaire personnel. Je vous demande donc l annulation de ce soit disant contrat  sur le champ  Adhésion 324106. Ce mail sera suivi d un AR dés le 03 septembre ainsi qu'une opposition à ma banque. Si avant dix jours je n'ai aucune nouvelle de votre part une plainte sera effectivement déposée avec l'aide de mon avocat.</t>
  </si>
  <si>
    <t>01/09/2018</t>
  </si>
  <si>
    <t>cisse-a-114034</t>
  </si>
  <si>
    <t xml:space="preserve">Un debut d'assurance chaotique avec des erreurs en comparaison au devis..., pas de retour au mail après plusieurs jours, sav non satisfaisant pour l'instant... </t>
  </si>
  <si>
    <t>17/05/2021</t>
  </si>
  <si>
    <t>cyprien-f-117425</t>
  </si>
  <si>
    <t xml:space="preserve">Pas chere comparée aux autres assurances et panne 0km comprise!!! Au top. Facilite pour s’assurer sur internet…
Que du positif par rapport aux concurrents </t>
  </si>
  <si>
    <t>17/06/2021</t>
  </si>
  <si>
    <t>oliv57-62558</t>
  </si>
  <si>
    <t>Je déconseille fortement cette assurance! En cas de sinistres   on vous responsabilise sans même essayer de comprendre... Je rentrais chez moi je mais mon clignotant je commence à tourner a gauche et une femme qui dit ne pas m'avoir vu ( sûrement sur son téléphone) me rentre dedans en essayant de me doubler ou faire je ne sais quoi.. bref elle se dis totalement fautive on remplis le constat, je l'envoi, et la surprise!! Responsabilité totale !!! Donc je me renseigne effectivement j'ai ma part de responsabilité, mais d'après le barème Irsa ( barème des responsabilités assurance) que l'olivier n'a pas signé. Je rentre de le cas 17 qui responsabilise à 50/50 pour ce siniste donc pourquoi mon assurance n'a pas essayer de défendre cette position et me responsabilise entièrement?  Aucun appel pour connaitre les circonstances exactes.. Donc j'appelle pour dire que je ne suis pas d'accord avec cette décision, et la l'impression de parler seul, à par dire "ma collègue à juger que vous étiez responsable" ils ne savent rien dire. Je vais tout simplement faire appel à notre service de protection des consommateurs. Hallucinant pour un sinistre ou même le tiers reconnais être fautive.. À peine croyable.. donc je vous le dis en cas de sinistres ne comptais pas sur eux pour faire baisser la note. Ils ne défendront pas votre position bien au contraire. Je vous recommande vraiment de passer votre chemin même si les prix sont attirant le jeu n'en vaut pas le chandelle..</t>
  </si>
  <si>
    <t>21/03/2018</t>
  </si>
  <si>
    <t>lea-78777</t>
  </si>
  <si>
    <t>bonjour très très déçue .cambriolage avec vol de bijoux rapport expert établi depuis début juillet pour l'instant pas de retour manque de communication avec des réponses discordants malgré appels, mail , déplacement en agence</t>
  </si>
  <si>
    <t>28/08/2019</t>
  </si>
  <si>
    <t>laurent-p-114856</t>
  </si>
  <si>
    <t xml:space="preserve">bonne réactivité de la part du conseiller au téléphone 
le prix avec tant d'années de permis sans sinistre est tout de même excessif.
finalisation du dossier simple a réaliser 
</t>
  </si>
  <si>
    <t>26/05/2021</t>
  </si>
  <si>
    <t>momo13-104801</t>
  </si>
  <si>
    <t>Je suis sociétaire depuis mes dix huit ans et j'en ai soixante deux aujourd'hui. Je suis assurée chez eux pour la maison et pour ma voiture. J'ai lu une bonne trentaine de commentaire et je suis effrayée par ce que j'ai lu. Moi, ça se passe pas trop mal.
J'ai eu un cambriolage à la veille de Noël. Tous mes bijoux ainsi que de l'argent sans oublier les cadeaux que j'avais chez moi à la veille de départ dans la famille ont été volés. Ma porte fenêtre avait été forcée pour entrer. Plus de départ en attente police. La matmut est venue, j'ai donné les factures et les objet des objets volés et j'ai été remboursé rapidement mais à 1/3 de la valeur car pour mes bijoux, il fallait une assurance supplémentaire très chère que j'ai quand même souscrite. 
Quant au véhicule, j'ai eu plusieurs accidents légers sans que ma responsabilité soit engagée, aussi, j'ai chaque fois été chez mon garagiste qui voit avec l'expert. Le garagiste me prête une voiture gratuitement ou payante si la matmut prend en charge cette dépense. La dernière fois, j'ai déposé ma voiture le vendredi saint, l'expert est passé le samedi et les travaux ont commencé le mardi suivant (Pâques). La matmut a refusé de prendre en charge la location du samedi au lundi inclus.
Une autre fois, j'ai eu un accident dans un rond point, la dame qui conduisait à ma gauche a forcé le passage pour sortir et a emporté mon aile avant gauche. Elle était au téléphone, s'est arrêtée et à pris la fuite. Je l'ai rattrapé, elle voulait appeler son mari. Je l'ai forcé à me donner ses papiers sinon j'appelais la police avec laquelle je travaille et j'ai fait ma déclaration. J'ai d'abord était reconnue responsable. J'ai fait valoir que la dame en question avait fait des erreurs de conduite et j'ai été tenue responsable à 50%. J'ai insisté en apportant la preuve que conduire dans un rond était différent de rentrer dans un rond point ainsi qu'une attestation de la police expliquant la conduite dans un rond point (c'est là que je me suis rendue compte que la personne des sinistres ne connaissait pas son code) Que faisait elle aux sinistres ? J'ai été blanchie de ma responsabilité et la dame s'est retrouvée avec une responsabilité à 100%. Si on a raison, faut se battre.
Responsable ou pas, maintenant les choses sont différentes. Il n'existe plus plusieurs assureurs mais un seul central.
Je précise que je suis toujours à 65%, que je n'ai pas été radiée et que lorsque j'appelle Aubagne ou si je me déplace, je tombe toujours sur des filles agréables, bien souvent, agressées (dans l'attente de votre tour, on en entend des vertes et des pas mûres), qui m'ont toujours écoutée et aidée dans le "solutionnement" de mes problèmes.
Changer pourquoi, vu les notes des autres.... Vous croyez que les autres assureurs sont des anges descendus du ciel pour le bien être des assurés. Ils ne sont pas là pour faire de la démagogie mais de l'argent.
Pour finir, petite anecdote puisqu'il reste des caractères. La porte d'entrée claque suite à un coup de vent. Je suis dans la rue. Impossible de rentrer par les fenêtres, elle sont protégées à cause des cambriolages. J'appelle la matmut qui parle indemnisation. Le serrurier vient. Changement serrure (serrure protégée cause cambriolages) et intervention 1000 euros. La matmut au téléphone me dit 200 euros. A réception, il ne reste plus que 130 euros/1000 euros. Alors....</t>
  </si>
  <si>
    <t>25/02/2021</t>
  </si>
  <si>
    <t>cdm-81866</t>
  </si>
  <si>
    <t>Il ne faut pas être pressé pour 1 demande après 15 jours avec 2 relances pas de nouvelles...............................</t>
  </si>
  <si>
    <t>10/02/2020</t>
  </si>
  <si>
    <t>kiawakana-j-136492</t>
  </si>
  <si>
    <t>Je suis satisfait du prix  des services Service client les membres du groupe tout était clair ils expliquent  bien 
Je les recommande pour mes proches</t>
  </si>
  <si>
    <t>charly-m-134681</t>
  </si>
  <si>
    <t xml:space="preserve">La cinquième étoile aurait été mise si j'avais pu régler de manière mensuelle et non annuelle, toit ce qui concerne le reste me semble correct pour l'instant.
</t>
  </si>
  <si>
    <t>27/09/2021</t>
  </si>
  <si>
    <t>gui-138032</t>
  </si>
  <si>
    <t>Aucun suivi, débordé, retour tardif plus de 4 mois pour une prise partiel de notre sinistre ( Tempête ). Je n'imagine même pas avec un gros sinistre en étant assuré chez AXA</t>
  </si>
  <si>
    <t>22/10/2021</t>
  </si>
  <si>
    <t>jpg-96619</t>
  </si>
  <si>
    <t>20.08.2020
MAAF au top du top des nuls
Pour mon fils, jeune conducteur qui cherche une assurance, je consulte la MAAF sur internet et obtient un devis sans problème, en répondant consciencieusement, en toute honnête et transparence, aux questions posées. Apres avoir mis en concurrence ce devis, mon fils valide celui ci. Nous voici partis a l'agence de Brie Comte Robert en Seine et Marne pour transformer ce devis en contrat. Nous sommes accueillis par le responsable d'agence qui nous informe que assurer un jeune conducteur a la MAAF, n'est possible que si le jeune conducteur est enfant d'un sociétaire. Alors pourquoi ne pas le préciser dès le départ, sur internet ?
En tout état de cause, due a l'amabilité débordante du responsable , il faut mieux fuir cette agence et l'oublier au plus vite, je n'ose imaginer la suite qu'il peux donner a un sinistre....JPGLe 24.08.2020Le 24.08.2020</t>
  </si>
  <si>
    <t>24/08/2020</t>
  </si>
  <si>
    <t>kampa11-116560</t>
  </si>
  <si>
    <t>ayant eu besoin d'une assistance pour retour à domicile et prêt de voiture suite à une panne j'ai attendu 3h que l'on m'envoie un taxi!!!
incompétence totale de ce service!</t>
  </si>
  <si>
    <t>louise-98367</t>
  </si>
  <si>
    <t>Très cher. Des heures d'attentes pour les joindre au téléphone pour que ça raccroche au final sans rien. Pas de problème pour souscrire un nouveau contrat mais dès qu'il s'agit de l'arrêter c'est une autre histoire... Rien est fait pour nous aider.</t>
  </si>
  <si>
    <t>05/10/2020</t>
  </si>
  <si>
    <t>anthony-r-128512</t>
  </si>
  <si>
    <t>Je suis satisfait du service, simple et pratique, je recommande fortement à mon entourage famille et amies sans aucun problèmes. 
La qualité du traitement des données est très bonne</t>
  </si>
  <si>
    <t>18/08/2021</t>
  </si>
  <si>
    <t>hermabessiere-j-121899</t>
  </si>
  <si>
    <t xml:space="preserve">Simple et pratique
Lors de ma souscription j’ai eu à faire à une personne compétente, à l’écoute et également très patiente.
                         </t>
  </si>
  <si>
    <t>30/06/2021</t>
  </si>
  <si>
    <t>marc-l-110698</t>
  </si>
  <si>
    <t>le service en ligne fonctionne correctement. J'apprécierais de recevoir aussitôt mon paiement carte enregistré, la visualisation de la carte verte via ma boite mail.</t>
  </si>
  <si>
    <t>16/04/2021</t>
  </si>
  <si>
    <t>titan-97999</t>
  </si>
  <si>
    <t>Médiocre rapport qualité/prix, pour vous rappeler et proposer des offres commerciales ils sont rapides, conviviaux MAIS lorsqu'il s'agit de déclarer un sinistre, le site ne fonctionne jamais, les conseillers sont injoignables, les convocations aux expertises ne sont pas transmises et/ou les dates sont erronées, l'assureur ne respecte pas les intérêts de son client et les experts désignés manquent de neutralité et son sous l'influence de GROUPAMA, finalité, tout est mis en oeuvre pour ne pas indemnisé et/ vous décourager d'insister.
A fuir!</t>
  </si>
  <si>
    <t>freddy-c-109727</t>
  </si>
  <si>
    <t>Je suis satisfait du service en ligne, simple et rapide, seul regret pas de contact téléphonique annuel, pour proposer un ajustement du contrat ou de nouveau service</t>
  </si>
  <si>
    <t>09/04/2021</t>
  </si>
  <si>
    <t>johnny-c-115085</t>
  </si>
  <si>
    <t>Espace personnel peu convivial. Je n'ai pas trouvé ce que je cherchais. Une fenêtre d'aide apparaît pour me signifier au final qu'il n'y a personne pour m'aider.</t>
  </si>
  <si>
    <t>27/05/2021</t>
  </si>
  <si>
    <t>imrane-b-113139</t>
  </si>
  <si>
    <t xml:space="preserve">Un sinistre affecté a mon contrat dont je ne connais ni la provenance ni le tiers impliqué qui a bien entendu engendré une cotisation triplée lors d'un changement de véhicule.
Aucun suivi de dossier.
</t>
  </si>
  <si>
    <t>09/05/2021</t>
  </si>
  <si>
    <t>ramdani-d-130260</t>
  </si>
  <si>
    <t>Je suis satisfaite d'Olivier assurance, mais concernant les jeunes conducteurs les prix restent tout de même élevé. Je recommande cette assurance pour tous.</t>
  </si>
  <si>
    <t>30/08/2021</t>
  </si>
  <si>
    <t>durandall-91363</t>
  </si>
  <si>
    <t xml:space="preserve">La MGP rembourse insuffisamment les séances d'ostéopathie (forfait de 20 euros par séance, maximum 3 par an), au regard notamment d'autres mutuelles. Une insuffisance regrettable car cette pratique médicale se révèle, pour de nombreuses pathologies, très efficace.
Merci, </t>
  </si>
  <si>
    <t>18/06/2020</t>
  </si>
  <si>
    <t>josette-a-114193</t>
  </si>
  <si>
    <t>assez performant, pour les questions et suivis, le site pourrait-être plus clair pour la recherche ou validation. En effet, vous demandez de valider un document mais je dois chercher, il devrait être visible et en attente de.</t>
  </si>
  <si>
    <t>19/05/2021</t>
  </si>
  <si>
    <t>mag-135856</t>
  </si>
  <si>
    <t>MINABLE !!!
Aucun suivi des dossiers ! Donne les dossiers aux huissiers sans même vérifier que l'on est pas concerné  et après c'est à nous de nous justifier.
Les échéances sont prélevées 3 mois avant. j'ai résilié en aout 2021 j'ai payé jusqu'à fin novembre 2021 et je me bat pour le remboursement des échéances qui aurait du se faire maximum à 30 jours!!!
Une honte ! tant les interlocuteurs téléphoniques qui nous prennent de haut et qui de toute façon ne peuvent jamais rien faire, que par leur réponse aux mails...
Cette assurance devrait être sérieusement contrôlée !</t>
  </si>
  <si>
    <t>04/10/2021</t>
  </si>
  <si>
    <t>damien-d-121385</t>
  </si>
  <si>
    <t>Les prix augmentent  de presque 10% cette année sans raison particulière (pas d'accident en 2020/début 2021). En appelant le service client, pour avoir des explications et obtenir un geste commercial, l'argument donné est que "la zone d'habitation où nous habitons est à risque". Or, nous y habitons depuis 15 ans, n'avons pas de problème qui plus est, notre voiture est garée à l'abri dans notre domicile. Nous trouvons cela disproportionné.</t>
  </si>
  <si>
    <t>28/06/2021</t>
  </si>
  <si>
    <t>sebalex34-102132</t>
  </si>
  <si>
    <t>Fuyez cette assurance, lors d'un succession ils vous prennent pour des idiots, demandes des pièces identiques à plusieurs reprises, lors des appel à leur plateforme, vous trouvent des explications farfelues «  on a pas ouvert la deuxième partie du mail » «  on  a pas pu ouvrir les pièces jointes » et j'en passe et depuis plus de 7 mois!!!! Honteux aucune empathie,  très difficile de faire notre deuil par leur faute......</t>
  </si>
  <si>
    <t>gerbet-g-114932</t>
  </si>
  <si>
    <t>Bon rapport qualité prix et service téléphonique très disponible. S'inscrire par internet a été facile. Maintenant bien sûr il faut voir le jour où l'on a un souci car c'est à ce moment-là que l'on peut réellement juger son assurance. Mais pour le moment, la partie commerciale/administrative est efficace. Bonne continuation à vous.</t>
  </si>
  <si>
    <t>titizcel-109511</t>
  </si>
  <si>
    <t xml:space="preserve">J'ai demandé un devis que j'ai jamais signé malheureusement pour avoir les tarifs il m'ont demandé mon rib mais pas complet et on quand même prélevé. Je les ai appelés et ils m'ont dit qu'ils avaient 2 mois pour résilier mon contrat que j'ai jamais demandé. Obligé de prévenir ma banque pour bloquer les prélèvements. </t>
  </si>
  <si>
    <t>07/04/2021</t>
  </si>
  <si>
    <t>mickail-m-127225</t>
  </si>
  <si>
    <t>Satisfait cela vas super vite en plus , tout est claire et bien expliquée ,payement sécuriser , un bon site pour nous sortir du jus , merci l'équipe .</t>
  </si>
  <si>
    <t>n-wolff74-53368</t>
  </si>
  <si>
    <t>Qu'elle honte de se dire assureur, sans assurer ses responsabilités. cela fait bientôt 4 mois que mon véhicule est épave, les conditions du sinistre sont bien-sûr prise en charge par mon contrat (tout-risque + à 267€/Mois) et rien ne se fait je suis baladé d'interlocuteur en interlocuteur, ils ont des discours qui divergent, ils n'écrivent jamais rien, et n'ont pas d'adresse mail. Pour avoir des traces je suis obligé d'envoyer des recommandés auxquels on me réponds toujours par la même rengaine, en bref, "un conseiller vas étudier votre demande et nous reviendrons vers vous sous 30 jours en vous informant du déroulement de votre demande" autant vous dire que j'ai que ça sous le coude. J'en suis à prendre un avocat et à continuer les frais.
Tout en restant correcte, j'ai affaire à des personnes inhumaine et incapable qui n'ont aucune idée de leurs responsabilités.</t>
  </si>
  <si>
    <t>04/05/2017</t>
  </si>
  <si>
    <t>01/05/2017</t>
  </si>
  <si>
    <t>ines-d-127659</t>
  </si>
  <si>
    <t>Rapidité, sérieux, disponibilité, fonctionnalité au top.
Je recommande sans souci. Je suis ravie du rapport qualité/prix et de la rapidité de souscription.</t>
  </si>
  <si>
    <t>12/08/2021</t>
  </si>
  <si>
    <t>matthieu25-90784</t>
  </si>
  <si>
    <t xml:space="preserve">Quelques informations manquantes, franchise, garantie véhicule à neuf. Mais site très pratique. 
Les prix semblent très avantageux. Je souhaiterai en discuter avec un conseiller pour voir l’offre dans l’ensemble ce que peut faire direct assurance. </t>
  </si>
  <si>
    <t>14/06/2020</t>
  </si>
  <si>
    <t>maria-angeles-b-133014</t>
  </si>
  <si>
    <t>Je suis très satisfaite du déroulement de mes recherches. J’espere que je toutes les opérations se dérouleront de la même façon. Le fait de pouvoir comparer les compagnies d’assurances facilite énormément les choses.</t>
  </si>
  <si>
    <t>15/09/2021</t>
  </si>
  <si>
    <t>barthoulot-c-108253</t>
  </si>
  <si>
    <t>bon services à prix compétitif. je suis satisfait par la facilité d'utilisation de votre site internet, les démarches simples ainsi que des réponses et de l'assistance de votre conseillé.</t>
  </si>
  <si>
    <t>27/03/2021</t>
  </si>
  <si>
    <t>jess13-67096</t>
  </si>
  <si>
    <t xml:space="preserve">Dossier envoyé début septembre et toujours complet le dossier on me redemande des papiers des envoyer j attend toujours complément salaire du mois d aout </t>
  </si>
  <si>
    <t>25/09/2018</t>
  </si>
  <si>
    <t>-gravalos-116343</t>
  </si>
  <si>
    <t xml:space="preserve">bonjour MARIA Je tenais a vous remercier de votre aide pour réactiver mon comte NEOLIANE  SANTE 
vôtre écoute et une patience de 1h m'a permis enfin de retrouver mes remboursements de soins et le suivi de tout mes versements ainsi que les tiers concernés 
j'ai 77 ans et pas expert en informatique ! 
je vous remercie vraiment de vôtre assistance et la cordialité de nôtre contact tel du 7 juin 
recevez MARIA mes plus cordiales salutaTions
JL GRAVAT ADHERENT NEOLIANE </t>
  </si>
  <si>
    <t>08/06/2021</t>
  </si>
  <si>
    <t>boucher-s-128792</t>
  </si>
  <si>
    <t xml:space="preserve">Bonjour, 
Service téléphonique au top, la personne vous guide avec patience et reprend tout le dossier avec vous!
Seul petit problème, le site internet ou je n'ai pas réussi a faire mon devis tout seul. </t>
  </si>
  <si>
    <t>20/08/2021</t>
  </si>
  <si>
    <t>frade-j-115283</t>
  </si>
  <si>
    <t>RAS j'ai pu effectuer toutes mes démarches avec la possibilité de prendre des informations par téléphone avec des personnes aimables et disponibles. Je suis satisfait de l'ensemble des démarches</t>
  </si>
  <si>
    <t>29/05/2021</t>
  </si>
  <si>
    <t>philippe-m-134913</t>
  </si>
  <si>
    <t xml:space="preserve">Je suis satisfait des services et de la rapidité pour la souscription.bon rapport qualité prix ,depuis deux ans je sui chez April moto.j’espère y rester encore longtemps.
</t>
  </si>
  <si>
    <t>sandy-c-133814</t>
  </si>
  <si>
    <t xml:space="preserve">Je suis très satisfaite du service direct assurance  … De la rapidité et la simplicité des démarches effectué pour mon assurance auto mini clubman. Merci  </t>
  </si>
  <si>
    <t>21/09/2021</t>
  </si>
  <si>
    <t>paba-103403</t>
  </si>
  <si>
    <t xml:space="preserve">Après 2 ans de prise en charge pour un arrêt maladie la cpam à décidé de me mettre en invalidité catégorie 2 depuis le 01er novembre 2020. J ai donc envoyé tous les documents nécessaires (même plus...) pour une poursuite de la prise en charge en invalidité et plus en arrêt de travail comme précédemment.
J ai envoyé tous les documents à AG2R le 06 novembre dernier et à chaque paiement de rente j envoie l attestation à AG2R !!! Je précise que j étais en intérim auparavant et prise en charge par intérimaires prévoyance.
Malgré une multitude d appels téléphoniques toujours rien... On me balade en me donnant des dates de traitement différentes... On me dit qu il faut 12 semaines alors que là on est à 15 semaines !!!
Je suis vraiment très insatisfaite de cette assurance qui a mise mon épouse et moi dans des difficultés financières du fait de la lenteur des délais de traitement.  Elle aussi est en invalidité... Je précise que mon dossier est déjà ouvert et une prise en charge est faite depuis le 04 août 2018 pour arrêt maladie, il s agit juste de la poursuite de la prise en charge en invalidité !!!
C est vraiment une honte !!! </t>
  </si>
  <si>
    <t>29/01/2021</t>
  </si>
  <si>
    <t>nicky78-109993</t>
  </si>
  <si>
    <t>MERCER ne répond jamais que ce soit par courrier, par téléphone, ou par mail.
j'ai changé d'adresse mail donc le système ne me reconnait pas et je n'ai plus d'accès à mon compte
depuis plusieurs mois, malgré mes relances rien ne se passe.</t>
  </si>
  <si>
    <t>11/04/2021</t>
  </si>
  <si>
    <t>phil66-102987</t>
  </si>
  <si>
    <t>Roulant tres peu en moto moins de 2000km par an je suis tres satisfais des tarifs deux roues de AMV malgré que n ayant eus aucun sinistres je ne peut pas savoir si il n y aura pas de soucis</t>
  </si>
  <si>
    <t>20/01/2021</t>
  </si>
  <si>
    <t>tessa-71987</t>
  </si>
  <si>
    <t>Hahaha, cette assurance est une énorme blague. J'essaye depuis quatre mois de me faire verser l'assurance-vie de ma grand-mère décédée. Service en ligne plus nul que nul et malheureusement le personnel ne compense pas. Impossible de créer mon compte e-beneficiaire, après 4 appels à ce sujet et 4 promesses que 'le service technique me contactera sous 72h' (jamais été contactée. Le service technique existe-t-il réellement ?), impossible d'envoyer des pièces par mail, ai fini par envoyer les pièces par courrier, comme au Moyen-age. Aucune confirmation de réception, il faut sans cesse contacter la CNP et se farcir des interlocuteurs SYSTÉMATIQUEMENT désagréables dès le début de la conversation pour mendier la moindre information sur l'avancée de son dossier. Quand il manque des pièces/informations, on en est informé au compte-goutte, pas en une seule fois, ce qui fait que je suis maintenant en attente d'un versement depuis QUATRE MOIS. Proprement hallucinant. Je note 'une étoile' parce qu'il est impossible d'en mettre moins, mais si c'était possible, j'en mettrais en négatif. Absolument RIEN ne se passe correctement. Une chose est sure, jamais, jamais, JAMAIS je ne me ferai assurer par la CNP et je preche la bonne parole autour de moi : FUYEZ TOUS CETTE ASSURANCE COMME LA PESTE.</t>
  </si>
  <si>
    <t>vanessa33-113975</t>
  </si>
  <si>
    <t xml:space="preserve">très mauvaise considération des assurés. Cela fait depuis décembre que je cours après eux pour le remboursement des frais d'hospitalisation de mon fils que j'ai dû avancer car ils n'avaient pas répondu à ma demande de devis pourtant faite plusieurs semaines avant l'opération. Il en faut bcp pour que je râle, mais après des dizaines d'appels, des messages, j'ai été remboursée en partie et reste à charge énorme. On me dit que mon chirurgien n'est pas OPTAM alors que si, c'est inscrit sur le devis que personne n'a lu... J'ai beau essayer d'envoyer des messages, des appels ou soit on me dit qu'on me rappelerai or je n'ai jamais eu un seul rappel depuis décembre (comptez 20 à 30 min de répondeur avant de les avoir) ou on me dit que c'est en cours. Personne ne me répond. Je perds donc 500 euros à cause d'eux! dégoutée! </t>
  </si>
  <si>
    <t>fafa-103769</t>
  </si>
  <si>
    <t xml:space="preserve">Prix accessible a mon niveau, conseiller a écoute, aimable,adaptation des tarifs selon le budget du client. Je recommande a tous adherer a Allianz car c,est une société tres sérieuse </t>
  </si>
  <si>
    <t>06/02/2021</t>
  </si>
  <si>
    <t>laetitia974-78876</t>
  </si>
  <si>
    <t xml:space="preserve">Très satisfaite du Mr qui m'a prise en charge </t>
  </si>
  <si>
    <t>02/09/2019</t>
  </si>
  <si>
    <t>01/09/2019</t>
  </si>
  <si>
    <t>afonso-j-133553</t>
  </si>
  <si>
    <t xml:space="preserve">informatique avec de nombreux bug problèmes de connexion, réseau souvent saturer avec consigne de réessayer plus tard,  mais le tarif et compétitif c'est le principal </t>
  </si>
  <si>
    <t>lakhdar-s-128526</t>
  </si>
  <si>
    <t xml:space="preserve">Service rapide et efficace, devis en ligne et souscription en ligne rapide comme l'éclair 
Validation immédiate 
Aisance de souscription
facilité pour les démarches </t>
  </si>
  <si>
    <t>bibis-72295</t>
  </si>
  <si>
    <t>Suite a l'achat d'une maison et d'un prêt obtenu chez crédit immobilier de France  avec assurance  CNP , J'ai eu un accident du travail refus de la CNP de prendre en charge les mensualité pour eux l'accident ne correspond pas a leur définition voir même selon un de leur conseillé n'est pas accidentel
cela fait 19 ans que je paie leur assurance et je n'est droit à rien,j'envisage une action en justice mais cela en vaut t'il le coup je ne sais pas besoin de conseil</t>
  </si>
  <si>
    <t>19/03/2019</t>
  </si>
  <si>
    <t>stephanie-p-126742</t>
  </si>
  <si>
    <t xml:space="preserve">Première assurance donc pas encore d avis mais satisfaite des garanties proposées par rapport au prix . L assistance 0km est un peu chère malheureusement comme partout </t>
  </si>
  <si>
    <t>06/08/2021</t>
  </si>
  <si>
    <t>jerem-52895</t>
  </si>
  <si>
    <t>mieux vaut ne pas avoir de problème avec eux... une assurance qui ne protège pas, pire: qui vous enfonce</t>
  </si>
  <si>
    <t>01/03/2017</t>
  </si>
  <si>
    <t>bernard-c-98015</t>
  </si>
  <si>
    <t>Je vois que ça a changé, le site s'est amélioré.
Bravo.
Je vois qu'il ya eu de l'évolution au niveau des garanties.
Vous êtes toujours les moins chers</t>
  </si>
  <si>
    <t>clientpeuravi-63407</t>
  </si>
  <si>
    <t>D'après les nombreux avis négatifs qui circulent sur SantéVet, je rejoins simplement la liste des nombreux clients qui n’apprécient pas votre mode de fonctionnement, et ça, je peux vous l'assurer en tout cas !</t>
  </si>
  <si>
    <t>19/04/2018</t>
  </si>
  <si>
    <t>haf-101050</t>
  </si>
  <si>
    <t xml:space="preserve">Très mauvaise communication. Tous les conseillés ou presque en ligne peu conciliants. Discours divergeants. Remboursements long. Catastrophe. Je déconseille. Fuyez !!!  </t>
  </si>
  <si>
    <t>07/12/2020</t>
  </si>
  <si>
    <t>montroulez-102816</t>
  </si>
  <si>
    <t xml:space="preserve">Je suis à la MGP depuis 1970 j'en suis assez satisfait. Les remboursements sont rapides les conseillés sont à l'écoute. Seul bémol un peu cher pour des retraités qui voient leur pension diminuer et tout n'est pas remboursé. </t>
  </si>
  <si>
    <t>18/01/2021</t>
  </si>
  <si>
    <t>auguste13-59145</t>
  </si>
  <si>
    <t>J'ai un contrat assurance automobile tous risque à la MAAF depuis 9 ans.
J'ai un coefficient bonus de 0,50 et un bonus Lauréat supplémentaire de 8 %
Ce contrat bénéficie du Bonus à Vie depuis mon inscription.
Je n'ai eu aucun sinistre depuis 9 ans (date de début de contrat).
SANS DOUTE POUR ME REMERCIER je viens de recevoir mon avis d'échéance pour 2018 avec UNE AUGMENTATION DE 6 %.
Je me déplace à mon agence pour avoir des explications.
La conseillère me dit qu'elle est désolée mais qu'elle n'a aucune explication à me donner et qu'elle n'a pas de budget pour corriger cette augmentation non motivée.
Je pense que la stratégie de la MAAF est la suivante; des tarifs aventageux à l'inscription et ensuite de grosses augmentations sans motif pour se rattraper</t>
  </si>
  <si>
    <t>27/11/2017</t>
  </si>
  <si>
    <t>01/11/2017</t>
  </si>
  <si>
    <t>fabrice71-67048</t>
  </si>
  <si>
    <t>Je suis nouveau client de cette assureur, les premiers contacts ont été positifs dans leurs explications concernant le contrat surtout pour un jeune permis,avec un seul interlocuteur en cas de problème.</t>
  </si>
  <si>
    <t>23/09/2018</t>
  </si>
  <si>
    <t>hakim88-87212</t>
  </si>
  <si>
    <t>Bonjour chère communauté d'assurés. Je vous donne mon avis de manière simple et très brève je développerai après : S'assurer chez Active Assurance, c'est payer pour vivre des cauchemars. Je vous invite à lire les faits dans le détail ci après.
Ma femme a souscrit un contrat d'un an chez eux le mois de mai dernier, Le 2ème mois il y a eu rejet de prélèvement par la banque, chose qui peut arriver et qui est tout à fait résoluble. Je les ai contactés vu que je figurais sur le contrat en ma qualité d'assuré entant que deuxième conducteur du véhicule, et nous avons réglé le problème. On m'a demandé un rib, une copie de ma pièce d'identité, et une autorisation manuscrite de prélèvement. J'ai envoyé les pièces demandées (recommandé avec AR). Quelques semaines plus tard le bureau de contentieux intrum me contacte me réclamant le montant de tous les mois restant de l'année, je demande de payer en échéancier et ils ont accepté. Je rappelle active assurance pour demander la raison de cette démarche, une conseillère m'informe que j'avais manqué de signer électroniquement l'autorisation de prélèvement. Ma stupéfaction était totale, Personne ne m'a informé de cette démarche, vraiment personne, ils ont peut-être estimé qu'il fallait que j'aie suffisamment de curiosité, et rien à faire de ma vie pour aller de mon propre gré faire un tour sur le site d'Active Assurance afin de voir si par hasard il n'y avait pas quelque chose à signer électroniquement... Et attendez svp ce n'est pas tout ! Pris de frustration et de colère, je pose la question à ma conseillère : Est ce que je reste couvert en cas de payement en échéancier avec votre partenaire ? Sa réponse était oui. Du coup pendant quelques mois le bureau de contentieux intrum débitait ma carte et je pensais être assuré... OR MON CONTRAT AVAIT DEJA ETE RESILIE. Ma femme a découvert que nous n'étions plus assurés lors d'un contrôle des forces de l'ordre, elle avait les document que nous avion obtenue lors de la souscription, mais la présence d'un numéro de téléphone 0800... a interpellé le gendarme, il a décidé d'appeler le centre de relations clients Active Assurance afin de vérifier la validité du contrat, et la conseillère lui annonce que le contrat avait été suspendu pour faute de payement. Ma femme a rappelé le centre de relations clients pendant son interpellation et on lui a promis de remettre en vigueur son contrat le lendemain si elle paye tout de suite les mois restant. Le gendarme ne pouvait pas attendre ce délai. Choqué j'ai pris ma carte bleu et appelé intrum et j'ai réglé le montant restant de l'année et demandé un justificatif afin de le présenter à Active assurance et leur demander en remise en vigueur immediate du contrat afin de sortir ma femme de ce cauchemar, ils ne voulaient rien comprendre, meme avec les justificatifs de payement à l'appui, ils ont décidé de ne remettre en vigueur le contrat que dès lorsque leur partenaire leur aura versé les fonds. Comme si leur méthodes de travail internes et avec leurs partenaires étaient mon problème,  Exemple : si intrum leur envoi les fonds dans quelques mois, moi je reste sans assurance pendant ces quelques mois ou leurs partenaires gardent mon argent dans leurs comptes bancaires.  Et effectivement j'ai tout payé le 10 février, on est le 22 et notre voiture est toujours immobilisée.  Ils ne voulaient faire aucun effort du style appeler leur partenaire pour s'assurer que je me suis bien acquitté de mon payement et réactiver mon contrat afin de nous épargner le pire, bien qu'ils soient à l'origine du problème, rien, que dalle, aucun sens de l'initiative. 
Ma femme a eu une amende de 400 euros, un retrait de 4 points, une amende de 400 euros et sera connue des services de sécurité et aura une mention sur son casier judiciaires entant que délinquante des routes pour les 10 prochaines années, elle est en train de perdre son poste d'éducatrice. 
Je vous jure sur mon honneur que c'est une personne extra, une belle âme, une citoyenne exemplaire, elle conduit depuis 10 ans et garde un solde de 12 points jamais affectés par la moindre infraction, elle n'a jamais déclaré un sinistre et n'a aucun malus. Active Assurance lui détruit sa vie pour cause de manque de suivi et de collaboration, d'incompétence et d'insouciance à l'égard d'une cliente.
Chers amis, évitez cette marque, c'est une calamité.</t>
  </si>
  <si>
    <t>22/02/2020</t>
  </si>
  <si>
    <t>thierry-t-117776</t>
  </si>
  <si>
    <t>je suis pleinement satisfait  de mon assurance
malgré ce que l'on pense le fait d'être sur internet ne penalise pas les contacts
toujours bien réceptionné au telephone</t>
  </si>
  <si>
    <t>queen-julz-99201</t>
  </si>
  <si>
    <t xml:space="preserve">En cas d’accident GMF t’aide pas du tous. Ils me disent n’importe et quoi me faire tourner en rond. M’insulte, aucun respect pour les clients. Change d’avis comme si notre vie reste là à ne pas bouger. Quand tu appelle il te laisse pas parler. J’ai déjà essayé plusieurs assurance mais gmf c’est le pire en cas d’accident. Assurer tout risque c’est comme si tu n’es pas assuré le façon qu’il te traite.n’essaye même pas de envoyer un message car il ne prends pas en compte. Très déçu, </t>
  </si>
  <si>
    <t>25/10/2020</t>
  </si>
  <si>
    <t>boucq-l-112748</t>
  </si>
  <si>
    <t>Je suis satisfait du service et des tarifs... pour l'instant, j'espère rester chez l'Olivier Assurance quelques années.
L'appel téléphonique s'est bien passé, mon interlocuteur a semblé être très clair, en revanche le tarif proposé en ligne était sensiblement différent de celui calculé sur votre site.</t>
  </si>
  <si>
    <t>05/05/2021</t>
  </si>
  <si>
    <t>enerve-64502</t>
  </si>
  <si>
    <t xml:space="preserve">je vais faire baisser leur cote de popularité. J'ai eu une panne de mon véhicule (remorquage et pret de voiture:TB). le devis est tombé avec + 3000€ de frais ( j'ai souscrit tout de meme à la garantie panne). Comme l'entretien, c'est mon mari qui le fait , pas de prise en charge. le gestionnaire du dossier m'a dit par téléphone que le devis était élevé!
je paie depuis des années sans jamais avoir rien eu ( panne ou accident), personne ne m'a dit que j'étais obligée de faire l'entretien de la voiture chez un garagiste et la voiture est bien entretenue, tout est nickel!
une vraie honte, et je ne vous parle pas du ton qu'ils emploient! je vais m'enlever de chez eux et ma famille et belle famille aussi!
</t>
  </si>
  <si>
    <t>05/06/2018</t>
  </si>
  <si>
    <t>alain06-109446</t>
  </si>
  <si>
    <t>J'attends un remboursement depuis le 19 mars , impossible de les avoir au téléphone par contre le prélèvement de ma mutuelle a bien eu lieu. Je vais faire opposition aux prochains prélèvements et changer de mutuelle.</t>
  </si>
  <si>
    <t>claude-c-105289</t>
  </si>
  <si>
    <t>je m'aperçois qu'en définitif les prix ne sont pas si intéressant d'autant plus que les franchises sont très importantes.
j'ai acheté une nouvelle voiture et sur votre site je n'ai pas été accepté.</t>
  </si>
  <si>
    <t>philippegaraud-55010</t>
  </si>
  <si>
    <t>une augmentation sur mon assurance habitation de 60€ en 2 ans, à soit plus de 670€, à ce rythme la je vais atteindre très vite les 1000 €</t>
  </si>
  <si>
    <t>30/05/2017</t>
  </si>
  <si>
    <t>nancy-105799</t>
  </si>
  <si>
    <t>Bonjour, depuis Aout 2020 j'ai envoyé un dossier de demande d'aide covid , a chaque fois que j'appelle depuis de long mois on me dit que mon dossier est en passage de commission , a ce jour je n'ai aucune nouvelle et je n'espère même plus être aider par cette assurance, que du pipo...</t>
  </si>
  <si>
    <t>maafpaspro-58348</t>
  </si>
  <si>
    <t xml:space="preserve">IMMENSE DÉCEPTION! À FUIR. Aucun professionnalisme et personnel défiant. Longueur d'accès au service par téléphone.  Traitement, ouvertures de plusieurs dossiers sinistrés sur le même probleme ceux sans que l'on ne le sache pour ensuite se l'entendre reprocher sans aucune vérification des faits auprès du client? Remboursement de la moitié du dégâts des eaux ce malgré présentation de la facture. Une assurance au pratique péremptoire pour ne pas dire totalitaire qui menace de radiation... je la recommanderai seulement... À MON PIRE ENNEMI. </t>
  </si>
  <si>
    <t>25/10/2017</t>
  </si>
  <si>
    <t>dupin-r-117558</t>
  </si>
  <si>
    <t xml:space="preserve">SIMPLE ET RAPIDE , franchement bonne équipe et a l écoute , je suis ravis d avoir pris mon assurance auto chez eux , vraiment pas déçu , je ne regrette pas !! </t>
  </si>
  <si>
    <t>18/06/2021</t>
  </si>
  <si>
    <t>ludivine-67536</t>
  </si>
  <si>
    <t>Entretien téléphonique clair. Erika est efficace et précise dans ses explications.</t>
  </si>
  <si>
    <t>10/10/2018</t>
  </si>
  <si>
    <t>papy62-96993</t>
  </si>
  <si>
    <t>je viens de prendre une assurance scooter ( 50 cm ) régler par cb, aucune attestation reçue, pris contact avec une conseillère, qui a été très mal aimable, je regrette d'avoir pris cette assurance. pour moi terminé.</t>
  </si>
  <si>
    <t>16/01/2021</t>
  </si>
  <si>
    <t>mary-104874</t>
  </si>
  <si>
    <t xml:space="preserve">Une mutuelle au top du top ! 18 jours pour me rembourser mes implants dentaires :) je ne regrette vraiment pas d’être chez Mercer (mutuelle d’entreprise), j’ai toujours eu des interlocuteurs très bienveillants au téléphone. 
Je vous la recommande vivement. </t>
  </si>
  <si>
    <t>26/02/2021</t>
  </si>
  <si>
    <t>vincent-p-105384</t>
  </si>
  <si>
    <t>Je m'aperçois que mon contrat a été renouvelé et le tarif à augmenter sans que j'en sois prévu en amont. On ne m'a pas laissé la possibilité de prendre une décision</t>
  </si>
  <si>
    <t>xavilall-77161</t>
  </si>
  <si>
    <t>Assuré à la mutuelle des motards depuis 25 ans et avec 50% de bonus, je ne retrouve plus le service que j'ai connu. J'ai essayé depuis avril de les contacter plusieurs fois, impossible. Ils ont cangé de système informatique et ne peuvent même plus m'expliquer mon tarifs 'très compiqué' selon un correspondant. Bref, je change d'assureur et je le regrette</t>
  </si>
  <si>
    <t>27/06/2019</t>
  </si>
  <si>
    <t>jufl-103758</t>
  </si>
  <si>
    <t>Assurance déplorable en qui je n'ai plus aucune confiance.
Aucune éthique
N'hésite pas à résilier les contrats sans aucun scrupule.
Client depuis 8 ans à la Matmut j'ai toutes mes assurances chez eux (auto, habitation, juridique, responsabilité civile).
Après un litige avec mon ancien employeur je fais appel à la protection juridique qui me dit d'ouvrir plusieurs dossiers au vue de la situation.
6 mois après je reçois un courrier de résiliation comme quoi trop de dossiers sont ouverts chez eux. En gros je leur coûte trop cher !
Honte à eux, aucun scrupule et éthique.
A fuir !</t>
  </si>
  <si>
    <t>05/02/2021</t>
  </si>
  <si>
    <t>veroverm-58568</t>
  </si>
  <si>
    <t>JE NE RECOMMANDE PAS CETTE ASSURANCE
NOTRE VEHICULE A ETE VOLE ET ILS NOUS ONT FAIT TRAINER 3 MOIS TOUT CA POUR NE PAS NOUS REMBOURSER
TRES MAUVAISE GESTION
JAMAIS LA MEME PERSONNE AU TELEPHONE</t>
  </si>
  <si>
    <t>03/11/2017</t>
  </si>
  <si>
    <t>olivier-86223</t>
  </si>
  <si>
    <t xml:space="preserve">je fais appel à la protection juridique qui semble en avoir absolument rien a faire de mon soucis
encore une prestation payée dans le vent et leurs obligations legales??????
je ne pense pas rester à la mutuelle des motards a cause de la matmut et jurimotard et je serais écho de ma mesanventure aupres de tous les motards que je rencontrerais et ils sont nombreux
</t>
  </si>
  <si>
    <t>15/11/2021</t>
  </si>
  <si>
    <t>fred69008-101077</t>
  </si>
  <si>
    <t xml:space="preserve">j'ai mis une mauvaise note, mais ils sont tous pareil.
pourquoi ne pas récompensé les payeurs n'abusants pas de leur services ?
assuré depuis ..... années, 0 dégats, 0 retard de paiement , 0 sur toute la ligne .
sauf quand un jour j'ai besoin de leur aide suite à des C... qui m'ont arrachés mon top case de ma BMW ( 1 top case + platine + 1 U + 2 poignées passager arrachées ) resultat du dommage ( 230 € top + support 100 + U 100 + 2 poignées passage BMW 200 = 650 € de dommage ) - je sais option non prise mais un geste de l'assureur aurait été de bon augure en réponse à la fidélité et droiture envers eux !! 
PFFFFFF
réponse AMV = 0 vous n'avez pas souscris l'option accessoires ....
Dites leur que la moto est parterre et là ça va peut être passer !!
Faut-il être menteur pour espérer récupère un tout petit peu d'un dommage qu'un tier vous a fait subir ?
JE suis vraiment en colère ....
</t>
  </si>
  <si>
    <t>philippe-94893</t>
  </si>
  <si>
    <t>Gestion de mon sinistre du 28/04/2020 catastrophique. cela fait des semaines que cela dure. Les documents envoyés en temps et heures et validés par le service disparaissent, il faut tout refaire pour obtenir un paiement de valeur majorée dans un sinistre où mon véhicule est déclaré épave et dont je ne suis pas responsable. C'est une attitude intolérable....</t>
  </si>
  <si>
    <t>23/07/2020</t>
  </si>
  <si>
    <t>georges-a-126913</t>
  </si>
  <si>
    <t xml:space="preserve">Tarif très correct rapidement fait et pas de soucis pour réaliser le devis tout est disponible et clair envoie rapide des papiers et carte verte à récupérer directement </t>
  </si>
  <si>
    <t>lisbeth-81524</t>
  </si>
  <si>
    <t xml:space="preserve">Je ne comprends pas tous ces avis négatifs car je suis assurée par la GMF depuis des décennies.
Certes il faut être patient pour obtenir au téléphone la plateforme qui gère les sinistres car, avec les dossiers liés aux intempéries depuis quelques mois, les dossiers à traiter sont nombreux.
Alors il faut peut-être se rapprocher de son agence pour faire avancer le traitement de son dossier, si celui-ci traîne en longueur.
Personnellement j'ai été contactée par la plateforme sinistre dès le lendemain de ma déclaration de sinistre en ligne, en juillet dernier.
J'ai été rapidement indemnisée après le passage de l'expert.
</t>
  </si>
  <si>
    <t>02/12/2019</t>
  </si>
  <si>
    <t>fanny631-68619</t>
  </si>
  <si>
    <t xml:space="preserve">Une catastrophe !Ils vous envoient un devis que vous acceptez ',vous renvoyez les pieces et ne recevant pas la carte verte je les appelle (numero surtaxe) , ils vous disent que le devis n est pas signe et qu il faut aller sur l espace personnel pour le signer  or sur l espace le montant est plus important car les frais de dossiers ont augmente! Vous etes coinces car votre compte a ete debite par telephone ! Pas de reponse aux mails </t>
  </si>
  <si>
    <t>14/11/2018</t>
  </si>
  <si>
    <t>tchoutchou680-52549</t>
  </si>
  <si>
    <t xml:space="preserve">La CNP retient abusivement le capital qui nous est dû suite au décès d'un parent qui a eu la mauvaise idée de souscrire une assurance vie chez eux. La CNP a pourtant tous les documents nécessaires au versement de ce capital mais prétend ne jamais avoir reçu nos courriers recommandés alors que nous avons l'accusé de réception qui est la preuve irréfutable de la remise de notre courrier et de surcroît envoyé par chacun des bénéficiaires (nous sommes trois donc la CNP n'a reçu aucun de nos trois courriers à les en croire). Comme c'est étrange. Mais surtout, quelle mauvaise foi. C'en est exaspérant et c'est à se demander comment on peut travailler pour une telle société et partager les valeurs de l'entreprise. Lorsque l'on parvient enfin à les joindre par téléphone, c'est pour s'entendre dire qu'ils ont un problème avec les envois en recommandé et qu'il faut renvoyer tout le dossier en courrier simple et rappeler 10 jours plus tard pour savoir s'ils l'ont bien reçu. Ben voyons, la réponse on la connaît déjà, votre courrier ne nous est pas parvenu Madame X, Monsieur Y, nous sommes navrés. Et là, aucune preuve remise du courrier. Facile. C'est consternant. La CNP a en effet un problème, non pas avec les envois en recommandé mais un problème tout court et un gros. C'est pourquoi nous avons saisi l'Autorité de Contrôle Prudentiel afin qu'ils prennent le relais et ouvrent une enquête sur le très gros dysfonctionnement d'ordre général au sein des services de la CNP. De telles pratiques sont malheureusement courantes mais elles sont intolérables et l'on sait très bien que les sociétés d'assurance mettent une éternité à débloquer les fonds qui leur rapportent bien plus d'intérêts que les pénalités de retard que la loi leur enjoint pourtant de payer. Au bout du compte, ce sont les bénéficiaires qui sont pris en otage et qui subissent une situation qui leur est imposée par des gens peu scrupuleux qui n'en ont absolument rien à faire de la m... dans laquelle ils nous mettent. Nous sommes toujours dans l'attente de notre dû, cela dure maintenant depuis novembre... </t>
  </si>
  <si>
    <t>18/02/2017</t>
  </si>
  <si>
    <t>jorge-e-132847</t>
  </si>
  <si>
    <t>J'ai essayé de payer pour l'année à l'avance mais ce n'était pas possible, peut-être un problème avec ma banque, mais heureusement j'ai pu le faire avec des mensualités différées</t>
  </si>
  <si>
    <t>14/09/2021</t>
  </si>
  <si>
    <t>grignon94-87409</t>
  </si>
  <si>
    <t xml:space="preserve">mauvais remboursements je confirme !!! ils sont pas bons 
pb avec des remboursements radios toujours pas  faits malgre mes multiples appels au cabinet de courtiers 
je ne comprends pas 
</t>
  </si>
  <si>
    <t>16/06/2021</t>
  </si>
  <si>
    <t>faysal-m-133527</t>
  </si>
  <si>
    <t xml:space="preserve">je suis satisfait du service des prix raisonnables  et de la facilité de l'inscription.
je suis satisfait du service des prix raisonnables  et de la facilité de l'inscription.
</t>
  </si>
  <si>
    <t>ptichene-53451</t>
  </si>
  <si>
    <t>Assurée depuis 10 ans à la Matmut, et satisfait, malgré quelque événements 1 panne,1 accident seul, 2 bris de glace.</t>
  </si>
  <si>
    <t>21/03/2017</t>
  </si>
  <si>
    <t>allan-l-124122</t>
  </si>
  <si>
    <t xml:space="preserve">Pas mal mais tarifs peuvent être amélioré ou les couvertures plus générales, voyons les offres au bout d'un an, sinon je changerais d'assureur.       </t>
  </si>
  <si>
    <t>21/07/2021</t>
  </si>
  <si>
    <t>aurelie-33-115092</t>
  </si>
  <si>
    <t>Au début, contrat alléchant.... et puis mon chat à déclarer une maladie et là.... grosse surprise.... en deux ans, mon contrat a pris quasi 100%.. de 29 à 49 euros. Et depuis la première année ma cotisation est passée de 12 à 49e. Ils tentent désespérément de me faire résilier car j'ai un vieux contrat remboursant à 100% qui n'existe plus.... mon contrat n'explique pas comment sont calculer les augmentations et ils refusent de répondre sur comment est calculé la fameuse augmentation. A partir de maintenant j'en ai pour plus cher de mutuelle que de frais vétérinaires avec ses des médicaments.</t>
  </si>
  <si>
    <t>pierricklagoute-92620</t>
  </si>
  <si>
    <t>Prix intéressants bonne assurance voiture je recommande direct assurance j espère ne pas être dessus par la suite si un jour j en est besoins cordialement</t>
  </si>
  <si>
    <t>29/06/2020</t>
  </si>
  <si>
    <t>solredo-113725</t>
  </si>
  <si>
    <t>Je révise l’avis défavorable que j’avais émis. La MAIF a pris contact et a décidé de régler en ma faveur le litige qui justifiait mon opinion. Merci à eux d’avoir pris le temps d’examiner mon problème.</t>
  </si>
  <si>
    <t>vanille-81701</t>
  </si>
  <si>
    <t>Je mets "une étoile", car je n'ai pas la possibilité de mettre zéro. Victime d'un accident avec arrêt de travail de plus de 3 mois, qui a boulversé mes revenus, les services de SOGECAP et SOGEFINANCEMENT sont difficilement joignables et ne répondent pas aux questions posées, ne donnent aucune visibilité sur les prises en charge dues. Beaucoup de manque de respect du client ( y compris par des propos tenus oralement) et de manque de réactivité pour un service attendu très sensible.</t>
  </si>
  <si>
    <t>Sogecap</t>
  </si>
  <si>
    <t>sylvain-r-109751</t>
  </si>
  <si>
    <t>Je suis très décu de votre service. Vos conseiller sont de plus incompétents et n'écoute pas leur clients. Je n'ai jamais eu d'aussi mauvais contact avec une entreprise précédemment. En résumé des services et des conseillers lamentables, vous devriez avoir honte</t>
  </si>
  <si>
    <t>anne-58564</t>
  </si>
  <si>
    <t>Incompétence la plus totale.l'année dernière mon mari a crevé mais pas de roue de secours vers 17h30 le temps de la prise en charge par directe assurance plus de garage ouvert pour s'occuper de la roue et on lui annonce à 20h qu'on ne prendra pas en charge son retour à domicile pour une roue crevée.(Je signale qu'il a le pack tranquillité donc aucun engagement respecté) et je ne vous parle pas des franchises prohibitives qui sont appliquées et de la mal politesse des personnes qu'on a au téléphone. bref pour ttes ces raisons au renouvellement de son contrat  mon mari a décidé de changer d'assurance, depuis le mois de juillet nous en sommes à 3 courriers recommandés et on ne compte plus les mails et échanges téléphonique, ils ont eu le droit à un cour de résiliation de notre nouvelle assurance mais rien y fait direct assurance fait la sourde oreille, c'est un truc de fou. au téléphone la semaine dernière  il y a un "conseillé" qui a dit à mon mari: " on ne fera rien tant que vous ne payez pas la mensualité que vous avez refusez"</t>
  </si>
  <si>
    <t>alex-132370</t>
  </si>
  <si>
    <t xml:space="preserve">Extrêmement chère et inefficace . Ma mère 73 ans paye 192 e par mois alors qu’elle est en ald 100 % sécu depuis une dizaine d’années . Et hospitalisée via Sante n’offre même pas la tv au CHU. Rien en prime d’aide aux défunts , à peine prise en charge en ssr . Bref, une énorme désillusion  A fuir </t>
  </si>
  <si>
    <t>11/09/2021</t>
  </si>
  <si>
    <t>valerie-m-134204</t>
  </si>
  <si>
    <t xml:space="preserve">Prix compétitif et attractif 
Rapidité de souscription 
Simplicité de l’enregistrement des informations 
Celui-ci est mon premier contrat d’assurance chez direct assurance </t>
  </si>
  <si>
    <t>louloute-63753</t>
  </si>
  <si>
    <t>suite a notre problème de fuite d'eau, nous sommes  très satisfait de pacifica assurance. Réaction rapide de votre conseillère, de vouloir résoudre le problème rapidement.</t>
  </si>
  <si>
    <t>03/05/2018</t>
  </si>
  <si>
    <t>poluxe-123460</t>
  </si>
  <si>
    <t xml:space="preserve">Je suis déçu et en colère que l'on m'impose partout où je travaille depuis près de 5 ans toujours la même mutuelle, les conseillés téléphoniques se contredisent toujours pour les mêmes questions, mes problèmes ne sont jamais réglés, et la le pompon j'apprends que mon garçon de 15 ans n'est plus couvert en allant à la pharmacie, et un appelle d'huissier pour régler les sommes à lag2r, hors depuis 3 mis il a bien sa carte, les prélèvements passent, moi je dit bravo et vive les obligations et les monopoles, juste je suis outrée </t>
  </si>
  <si>
    <t>valerie--r-105741</t>
  </si>
  <si>
    <t xml:space="preserve">Nous avons trois voitures assurées chez vous, Les prix augmentent tous les ans, 3 € et 5 € par mois sans aucune raison. Nous sommes à 50 % de bonus et pas d’infraction. Pour mon fils je ne sais pas, une seule année d'assurance pour sa nouvelle voiture mais la précédente. Merci de faire un geste commercial, je fais faire des devis ailleurs. </t>
  </si>
  <si>
    <t>07/03/2021</t>
  </si>
  <si>
    <t>lulu-51927</t>
  </si>
  <si>
    <t xml:space="preserve">bon prix , </t>
  </si>
  <si>
    <t>Eurofil</t>
  </si>
  <si>
    <t>dany-jeanmarie-97464</t>
  </si>
  <si>
    <t>Nadège a été charmante bienveillante lors de notre échange téléphonique Nadège a répondu à toutes mes 
 questions très clairement merci  beaucoup de votre compréhension</t>
  </si>
  <si>
    <t>16/09/2020</t>
  </si>
  <si>
    <t>hassan-r-111826</t>
  </si>
  <si>
    <t xml:space="preserve">je suis satisfait du servies et de la qualité d'écoute et  la gentillesse de la personnelle a qui j'ai eu affaire  et la qualité de conseil quand au prix j'espérait mieux vu l'enceinté et la fidélité en vers GMF   </t>
  </si>
  <si>
    <t>27/04/2021</t>
  </si>
  <si>
    <t>guigui-99172</t>
  </si>
  <si>
    <t>Pour moi la meilleure assurance car trés à l'écoute en cas de soucis ou de grave accident, je recommande vivement car j'en ai fait des assurances et à part payer c'est tout ce qu'il compte ;</t>
  </si>
  <si>
    <t>24/10/2020</t>
  </si>
  <si>
    <t>canou72-17336</t>
  </si>
  <si>
    <t>Bonjour, je pense vraiment que c'est l'assurance qu'il faut éviter.Dans tous les domaines que ce soit domicile ou voiture,assistance juridique il faut vous débrouiller seul.Par contre des que vous modifiez un contrat en 48h vous savez déjà combien vous allez cotiser.</t>
  </si>
  <si>
    <t>09/03/2019</t>
  </si>
  <si>
    <t>patrickdidier91-80484</t>
  </si>
  <si>
    <t>A fuir !
Mon assurance est passée de 435€ à 54€ puis 608€  sans avoir eu de sinistre évidemment. Je recommande ...  de ne jamais aller chez l'Olivier.
En fait vous avez le droit à une assurance de qualité low cost pour le prix d'une vraie assurance.
Concept surprenant :)</t>
  </si>
  <si>
    <t>28/10/2019</t>
  </si>
  <si>
    <t>01/10/2019</t>
  </si>
  <si>
    <t>alex54-51448</t>
  </si>
  <si>
    <t>Quand on se vante dans ses publicités que la confiance est une règle (cf youtube) ainsi que sur son site d'être le numéro un de la relation client, je me dit immédiatement que c'est mensongé. Le seul but est de faire de l'argent. MAIF m'explique que c'est le code de la route qui prime mais quand on me grille la priorité (à droite), n'est ce pas le code de la route?
4 interlocuteurs, 4 discours différents : quelle Acompétence!
fuyez !</t>
  </si>
  <si>
    <t>20/11/2018</t>
  </si>
  <si>
    <t>sarrut-c-128144</t>
  </si>
  <si>
    <t>Je suis entièrement satisfait, le vendeur était très agréable et à l'écoute de mes demandes. Les prix ainsi que les garanties proposées sont en parfaite adéquation avec mes besoins.</t>
  </si>
  <si>
    <t>16/08/2021</t>
  </si>
  <si>
    <t>gerard-p-134339</t>
  </si>
  <si>
    <t>Pleinement satisfait depuis plus de 30 ans des services, de l'accueil et des prix. Félicitations pour votre site web, son contenu, son accessibilité et sa convivialité.</t>
  </si>
  <si>
    <t>24/09/2021</t>
  </si>
  <si>
    <t>claude94-113232</t>
  </si>
  <si>
    <t xml:space="preserve">Je viens d'appeler cette mutuelle me cherchant une mutuelle santé. Conseillère pas trop aimable débitant son texte. Je lui ai demandé de m'envoyer par mail et par courrier les 2 devis qu'elle m'avait proposée. Ce fut un  NON catégorique. Elle ne pouvait m'envoyer qu'un devis et en plus, soit par mail OU par courrier, pas les 2! j'ai donc raccroché. A croire qu'AG2R a trop de clients ! Vu que par mon travail, j'ai un PER avec cette sté d'assurance, mes craintes sont grandes vu les autres avis peu flatteurs ! 
Toutes les autres mutuelles que j'ai appelées ont été super aimables et gentilles. On sentait que ces personnes considéraient le client ce qui n'est pas du tout le cas d'AG2R. Je vais donc m'assurer à une autre mutuelle qui aura de la considération pour moi. </t>
  </si>
  <si>
    <t>10/05/2021</t>
  </si>
  <si>
    <t>jmroc-97570</t>
  </si>
  <si>
    <t>Suite à un sinistre dégât des eaux avec recherche de fuite destructive obligatoire (justificatif et attestation plombier fournis), une gestion chaotique et calamiteuse du dossier. Informations orales communiquées par la plateforme sinistres fluctuantes et variant en fonction de l opérateur en charge de l appel.
Temps d attente extrêmement long pour joindre la plateforme (compter la matinée dans le meilleur des cas)
Une expertise téléphonique menée à distance avec "un expert" agressif, péremptoire, cassant, faisant tellement de fautes d orthographe dans ses mails que le message et le sens sont brouillés et incompréhensibles.
Quel sérieux!
Au final: 11 mois après l ouverture du dossier sinistre et 4 courriers RAR, un refus de prise en charge et une perte sèche de 2000 €.
Résiliation de 4 contrats Sogessur bien sûr effectuée.
A fuir!</t>
  </si>
  <si>
    <t>18/09/2020</t>
  </si>
  <si>
    <t>martin-c-117858</t>
  </si>
  <si>
    <t>Bon rapport avec l assistante commerciale bonne relance client .
Contrat clair avec les options  .Site facilement accessible  rapide et efficace 
et prix très bien pour le jeunes conductrice</t>
  </si>
  <si>
    <t>22/06/2021</t>
  </si>
  <si>
    <t>chanel-mroz-98670</t>
  </si>
  <si>
    <t xml:space="preserve">Aucun remboursement effectué alors que j’etais Bien assurée pour arbustes et plantations app’res vols de mes 2 oliviers dans ma propriété 
La personne des sinistrés se permet de me raccrocher au nez ! En plus </t>
  </si>
  <si>
    <t>12/10/2020</t>
  </si>
  <si>
    <t>pailette-72158</t>
  </si>
  <si>
    <t>Bonjour,
Je viens de lire tous les commentaires sur les Services d'AssurOpoil et ils ne me rassurent pas du tout. 
Premières demandes de remboursement catastrophiques.
 Il est vrai que j'ai envoyé mail + courrier, restés sans réponse.
J'ai envoyé de nouveau une demande de remboursement mais bizarrement, ils ne l'ont pas reçue.
Par contre accueil téléphonique sympathique mais ca ne suffit pas. J'espère vivement qu'ils vont traiter mon dossier au plus vite.</t>
  </si>
  <si>
    <t>Assur O'Poil</t>
  </si>
  <si>
    <t>14/03/2019</t>
  </si>
  <si>
    <t>cedric-95940</t>
  </si>
  <si>
    <t xml:space="preserve">Adhérent depuis 20 ans, certes le taux est correct, mais le service client désinvolte et incompétent.
A se demander qui tient les reines dans cette boutique.
La plupart des opérations est manuelle (remboursement partiel) et prend des semaines et des semaines. Vous leur écrivez, ils ne vous répondent jamais.
Vous faites une réclamation, ils ne vous répondent pas plus.
Vous écrivez au Président et au Directeur Général - ils s'en fouttent.
</t>
  </si>
  <si>
    <t>05/08/2020</t>
  </si>
  <si>
    <t>renforever-99330</t>
  </si>
  <si>
    <t xml:space="preserve">Bonjour,
les renseignements ont été donnés clairement.
l'interlocuteur nous a également bien conseillé sur les informations à vérifier avec l'organisme de santé (CPAM).
</t>
  </si>
  <si>
    <t>28/10/2020</t>
  </si>
  <si>
    <t>portoleau-balloy-f-123453</t>
  </si>
  <si>
    <t>Pas d'avis particulier si ce n'est que le dernier interlocuteur que j'ai eu manquai de cruellement professionnalisme ce qui n'etait pas le cas des autres interlocuteurs avec lesquels j'ai échanger auparavant</t>
  </si>
  <si>
    <t>mili-53384</t>
  </si>
  <si>
    <t>Pas cher peut-être, mais efficace? Pas vraiment.
Non respect des délais de traitement en cas de sinistre, aucun retour aux réclamations, multiplie les procédures pour ne pas avoir à rembourser, conseillers téléphoniques ne souhaitant pasrépondre aux questions concernant l'application des engagements annoncés dans les conditions générales....
Dans mon cas il s'agissait d'un "petit sinistre" avec peu de dommage, quand je vois toutes les complications faite par la MAAF pour la prise en charge, je me demande ce que cela donne en cas de sinistre plus important. Pourtant tout est beau sur papier, mais quand il s'agit de faire valoir ses droits, tout devient très compliqué.</t>
  </si>
  <si>
    <t>19/03/2017</t>
  </si>
  <si>
    <t>nana-75409</t>
  </si>
  <si>
    <t>La dame qui m'a répondu, Erika, était très compétente et très aimable. Elle m'a donné de très bon conseil. Merci</t>
  </si>
  <si>
    <t>26/04/2019</t>
  </si>
  <si>
    <t>paul-a-127963</t>
  </si>
  <si>
    <t xml:space="preserve">cette assurance pour son prix me semble Correcte . La  fiche de renseignement est  aérer facile à remplir. La personne qui m'a appelé m 'a 
 donné de bonne indication  à VOIR PAR LA SUITE </t>
  </si>
  <si>
    <t>14/08/2021</t>
  </si>
  <si>
    <t>romain-g-114477</t>
  </si>
  <si>
    <t xml:space="preserve">Interlocuteur disponible et professionnel maîtrisant son sujet ayant pris le temps de répondre à mes questions.
Globalement expérience utilisateur fluide. </t>
  </si>
  <si>
    <t>21/05/2021</t>
  </si>
  <si>
    <t>prenelle-d-132195</t>
  </si>
  <si>
    <t xml:space="preserve">Je suis satisfait de cette assurance et j’espère quel le sera encore pour les prochaines années à venir pour que je sois encore satisfais de cette assurance </t>
  </si>
  <si>
    <t>10/09/2021</t>
  </si>
  <si>
    <t>madloc43-65570</t>
  </si>
  <si>
    <t xml:space="preserve">Bonjour, j'ai choisi AMV depuis 2010 site à de nombreuse recherche et comparaison sur le prix, les prestations, le facilité d'ajouter, supprimé des options ou modification de contrat. </t>
  </si>
  <si>
    <t>17/07/2018</t>
  </si>
  <si>
    <t>bressollette-v-114738</t>
  </si>
  <si>
    <t>Je suis satisfait de l'olivier assurance rapide et efficace et le niveau de prix est correcte.
Très bon accueil téléphonique également personne très compétente.</t>
  </si>
  <si>
    <t>25/05/2021</t>
  </si>
  <si>
    <t>orben-57444</t>
  </si>
  <si>
    <t xml:space="preserve">Bonjour,
à fuire, à éviter, payer un peu plus cher ailleurs, ne vous vous inscrivez jamais chez eux. pour l'inscription c'est des gens sympas on dirait des anges. pour demander par exemple un relevé d'information c'est catastrophique,ils parlent mal et si tu n'est pas content ils t'invite à chercher autre assurance et résilier.
Je suis assurer en conducteur principale avec 0.60 de coefficient et ma femme en conducteur secondaire avec un nouveau permis. j'ai acheté une deuxième  voiture pour ma femme mais malheureusement la voiture avait des problèmes  mécanique du coup je l'ai rendu au garage. eurofil mon résilier le contrat du 2 eme voiture par ce que je n'ai pas fournie la carte grise ce qui est normal car  je l'ai rendu la voiture. maintenant ils ont assuré ma voiture actuelle avec le coefficient du nouveau permis celui de ma femme ça veut dire à 0.95 au lieu de 0.60. donc je repart à nouveau comme un nouveau conducteur. est ce que vous trouvez ça normal? si vous avez une solution et est ce que ils ont le droit de m'enlevez les bonus? je ne comprend rien la je vais payer dans les 80 euros par mois au lieu de 26 euros. 
personnellement je déconseille cette compagnie low cost.
merci </t>
  </si>
  <si>
    <t>19/09/2017</t>
  </si>
  <si>
    <t>j'en-ai-pas-102607</t>
  </si>
  <si>
    <t>Assuré depuis pas moins de 42 ans à cette mutuelle. Je trouve les tarifs élevés est les remboursements en dessous de la moyenne. (Voila pourquoi 3 étoiles). 
En revanche le personnels, toute catégories confondus, est toujours à votre l'écoute est prêt à vous être utile est agréable.
Ce n'est pas à l'aube de ma fin de retraite que je vais aller voir ailleurs si l'herbe est plus fraîche. Au vue de la conjoncture actuelle, est après 42 ans de vie  commune avec ma mutuelle. Je resterais fidèle !</t>
  </si>
  <si>
    <t>13/01/2021</t>
  </si>
  <si>
    <t>pitaguette-105102</t>
  </si>
  <si>
    <t xml:space="preserve">Suite à un sinistre en date de début d'année 2020, je l'ai déclaré à mon assurance groupama. J'ai dû les relancer afin de savoir où en était le dossier car je n'avais aucune nouvelle. C'est clair qu' ils laissent traîner la situation et je ne sais même pas si je serai indemnisée </t>
  </si>
  <si>
    <t>do-85797</t>
  </si>
  <si>
    <t>sinistre auto le 1er Décembre, on nous a trouvé un dépanneur super loin, on a du payer 475E de frais de remorquage. Assurés tout risque
La voiture est épave et ils récupèrent 1000E de franchise..</t>
  </si>
  <si>
    <t>11/01/2020</t>
  </si>
  <si>
    <t>soso3009-113587</t>
  </si>
  <si>
    <t>Je déconseille l assurance habitation étudiant, 2 mois pour être remboursée malgré un recommandé de résiliation dans les 10 jours. Des conseillers qui argumentent à chaque fois que c est une offre internet donc pas de service...dans ce cas, précisez le lors de la souscription "cette offre n est pas chère à 59euros donc nous ne vous répondrons pas". Une honte...alors que les banques attirent les juniors, Groupama les fait fuir.</t>
  </si>
  <si>
    <t>crespin-j-124575</t>
  </si>
  <si>
    <t>Je suis pour le moment satisfait du service que propose l'Olivier Assurance, site très simple d'utilisation. La communication est efficace et les prix sont très abordable.</t>
  </si>
  <si>
    <t>24/07/2021</t>
  </si>
  <si>
    <t>fidel-s-111128</t>
  </si>
  <si>
    <t>Contact téléphonique parfait, conseillé très clair, très aimable, courtois. Je n'ai pas pu noter l'échange avec mon téléphone, cela n'a pas pris en compte ma note. Merci de tenir compte de mon entière satisfaction avec ce monsieur</t>
  </si>
  <si>
    <t>denis-110168</t>
  </si>
  <si>
    <t xml:space="preserve">une ecole se construit a coter de chez moi  les vibrations ont abimés ma maison  et crées une fuite d eau en plus de fissures de facade est de placo. en 15 mois j ai du avoir au telephone la moitiée du personnel MACIF  ils jouent la monte et ne répondent méme plus  ca fait plus de 30 ans que je suis chez eux et n est jamais eu a les solicités je sait plus quoi faire ses gens m ecoeure!! </t>
  </si>
  <si>
    <t>10/08/2021</t>
  </si>
  <si>
    <t>tebounet-70530</t>
  </si>
  <si>
    <t>Suite à un accident non responsable, voiture envoyée à la casse, remboursement basé sur les offres du Bon Coin, offres des particuliers seulement, plus basses que les offres des professionnels, sans aucune garantie, je suis tombé sur kilométrage  erroné, pas de factures, contrôle technique de complaisance, etc... Je ne comprends pas qu'un professionnel prenne pour référence les annonces de particuliers du Bon Coin. Écoeuré !</t>
  </si>
  <si>
    <t>24/01/2019</t>
  </si>
  <si>
    <t>geoffrey-c-111494</t>
  </si>
  <si>
    <t>Conseiller Jean-Michel au téléphone très professionnel, patient et précis;
Facilité de souscription, mais très grandes difficultés de connexion à l'espace personnel et un service client qui semblait indifférent ou impuissant, dommage.
J'espère ne pas avoir à regretter mon choix d'assurances (Habitation + Auto) !</t>
  </si>
  <si>
    <t>23/04/2021</t>
  </si>
  <si>
    <t>alex-76564</t>
  </si>
  <si>
    <t>Salima juste parfaitement qualifier je pose une question simple et accepte de me guider très professionnel merci a vous !</t>
  </si>
  <si>
    <t>07/06/2019</t>
  </si>
  <si>
    <t>chomety-j-134837</t>
  </si>
  <si>
    <t>Je suis tres satisfaite du service .
Prix correct.
Assurance que je recommande a tous. 
En cas de souci très réactif et a l'écoute des clients.
Pas déçue .</t>
  </si>
  <si>
    <t>marc-p-105894</t>
  </si>
  <si>
    <t>Bonjour 
Je trouve que les dix pour cent de franchise en plus des 350 euros sont un peu cher. Certes je suis responsable mais aux prix de mes mensualités cela reste quand même assez chère</t>
  </si>
  <si>
    <t>jason-r-133167</t>
  </si>
  <si>
    <t>Site Rapide simple bien détail inscription sans prise de tête et super tarif je recommande vivement direc assurance il pas plus rapide allez vas-y ??.</t>
  </si>
  <si>
    <t>laurent-89035</t>
  </si>
  <si>
    <t>TOUT EST FAUX DANS LA CHARTE MATMUT: 
Voici l'Engagement Qualité:
La Matmut va plus loin qu'un simple discours et s'engage à :
vous informer dans les 5 jours suivant la réception de votre déclaration de sinistre de l'état d'instruction de votre dossier,
vous tenir régulièrement au courant de son évolution,
vous donner toutes les informations dont vous avez besoin,
vous aider dans toutes vos démarches,
faire procéder, à ses frais, à toutes les enquêtes et expertises nécessaires,
vous indemniser dans les 8 jours suivant votre accord pour votre véhicule et dans les 30 jours pour votre habitation</t>
  </si>
  <si>
    <t>21/04/2020</t>
  </si>
  <si>
    <t>01/04/2020</t>
  </si>
  <si>
    <t>del-80316</t>
  </si>
  <si>
    <t xml:space="preserve">Menteurs, Faux et Company. C'est la première fois de ma vie que je fais un commentaire négatif, mais c'est tellement gros que je me dois d'avertir les éventuels futurs assurés. FUYEZ! Où vous serez obligé de payer pour rien pendant 1 an. Je rejoins le commentaire précédent, tout est absolument fais pour vous faire croire des chose et la personne au telephone vous assure que la conversation est enregistrée, et que donc tout est assurément vrai. Mais tout est faux absolument tout, prenez garde et lisez bien les contrats et ne vous fiez surtout pas aux conversations téléphoniques. On vous propose même un pourcentage de remboursement sur les croquettes vétérinaire avec l assurance Premium, mais les croquettes ils les considèrent comme un medicament donc carence de 60 jours, etc etc Tout est absolument fais pour ne pas vous rembourser, après 14 jours (14 jours où vous êtes même pas couvert) vous ne pouvez plus résilier votre contrat pour une durée d'un an. Donc venu la premiere demande de remboursement vous êtes déjà pris au piège. J'aurai préféré mettre tous les mois cet argent de côté en cas de problème, car clairement je n'ai aucune confiance pour la suite et j'attends avec impatience ma résiliation dans un an. Je ne reprendrai jamais d'assurance, je ne pensais même pas cela possible.  </t>
  </si>
  <si>
    <t>22/10/2019</t>
  </si>
  <si>
    <t>cathie-115281</t>
  </si>
  <si>
    <t>Etant à la MGEN depuis toujours je n'ai vu cette mutuelle que se dégrader au fil du temps. Mon seul désir est d'en partir. Tous les avantages de cette mutuelle se sont évaporés au cours du temps et les inconvénients ne cessent de progresser : prélèvements sur salaires devenus aléatoires, on me demande donc des sommes folles, régulièrement; si on ne rentre pas dans leurs cases impossible de se faire entendre et aucun effort de leur part pour sortir de la situation : il faut se débrouiller seul; remboursements peu intéressants et compliqués quand on a des enfants majeurs car les informations ne sont enregistrées que difficilement.... Les mutuelles ont bien du mal de nos jours à faire un travail équitable, en gardant des valeurs morales. La MGEN se vente de ces valeurs mais n'a pas su du tout prendre le virage du 21ème siècle et n'est pas à la hauteur de ses ambitions. Dommage, vraiment....</t>
  </si>
  <si>
    <t>myriam-m-135110</t>
  </si>
  <si>
    <t>Je suis satisfait du service très rapide et très efficace merci pour cette nouvelle assurance de plus elle est très avantageuse merci merci merci merci</t>
  </si>
  <si>
    <t>29/09/2021</t>
  </si>
  <si>
    <t>gepe-70908</t>
  </si>
  <si>
    <t>Service communication incompétant,
Pour une simple attestation, compté minimun 15 jours pour la recevoir et en plus il manque l'essentiel dessus a savoir date de période cotisé, alors que je l'ai précisé dans ma demande.
Pas d'envois de ce genre de document par mail, 30 ans de retard dans les pratiques informatique !</t>
  </si>
  <si>
    <t>03/02/2019</t>
  </si>
  <si>
    <t>bonnet-c-122444</t>
  </si>
  <si>
    <t xml:space="preserve">Je ne comprends pas pourquoi je ne reçois pas les attestations que j'ai demandées par mail ?
Attestation scolaire et attestation responsabilité civile 
Il me les faut dès demain 
Cordialement </t>
  </si>
  <si>
    <t>05/07/2021</t>
  </si>
  <si>
    <t>gaelle-m-106050</t>
  </si>
  <si>
    <t>Nouvelle auprès de votre compagnie d'assurance, je dois dire que vos tarifs attractifs m'ont convaincu. Ceci étant je n'ai toujours pas reçu la vignette d'assurance à apposer sur mon pare brise....</t>
  </si>
  <si>
    <t>09/03/2021</t>
  </si>
  <si>
    <t>senghor-l-115600</t>
  </si>
  <si>
    <t>Simple et pratique
La souscription s'est faite premièrement avec un devis où j'ai reçu toutes les informations nécessaires. Le conseiller m'a aiguillé</t>
  </si>
  <si>
    <t>gilles-c-131401</t>
  </si>
  <si>
    <t xml:space="preserve">Il est encore trop tôt pour donner un avis très objectif cependant les tarifs sont très intéressants et l'application intuitive ke futur me permettra de juger des prestations </t>
  </si>
  <si>
    <t>serge-s-112896</t>
  </si>
  <si>
    <t>Je suis Satisfait  du service
Les prix me conviennent 
Je n'ai pas de code pour accéder à mon espace personnel
Comment faire pour en obtenir un ?
Merci de me réponde  sur ma boite mail</t>
  </si>
  <si>
    <t>didier-l-126029</t>
  </si>
  <si>
    <t>Prix inintéressant, à voir par la suite si les promesses suivent les annonces.
Facilité de mise en œuvre, normalement Direct assurance s'occupe de la résiliation.</t>
  </si>
  <si>
    <t>02/08/2021</t>
  </si>
  <si>
    <t>fatiha-h-103310</t>
  </si>
  <si>
    <t xml:space="preserve">Simple et rapide, efficace. Gestion via le net appréciable  
Reste à avoir la gestion des sinistres, je n'ai encore eu de souci et c'est tant mieux ...
A suivre </t>
  </si>
  <si>
    <t>27/01/2021</t>
  </si>
  <si>
    <t>mert-99982</t>
  </si>
  <si>
    <t>Assurée MATMUT avec toute ma famille (5 personnes) depuis plus de 30 ans, j'ai fait jouer mon assurance juridique pour une erreur médicale évidente. Mon interlocutrice, qui etait plus une simple assistante qu'une experte juridique (comme l'exigeait mon contrat) était totalement "absente". J'ai constitué moi-même tout mon dossier devant son incompétence évidente. Je lui ai tenu la main pour que ça avance.  Malgré une réclamation (j'ai découvert que les réclamations finissaient sur le bureau de la personne objet de votre réclamation,  qui y répond .... ou pas!!!) au bout de 3 ans et demi, elle a enfin envoyé mon dossier à la partie adverse. Qui n'a pas répondu. Elle les a relancés 1 fois comme l'exige la procédure (ha bon, il y en a donc une !!!). Puis à clôturer le dossier contre mon avis. Plus de 20.000 € de préjudices. Je vais donc prendre un avocat et tout recommencer avec un vrai expert. Conclusion: messieurs dames, prenez votre assurance juridique ailleurs que chez la MATMUT.</t>
  </si>
  <si>
    <t>11/11/2020</t>
  </si>
  <si>
    <t>henry-88946</t>
  </si>
  <si>
    <t>cela fait 9 ans que je cotise (40 000 € ) pour les salariés il n'y a eu a ce jour aucun remboursement et maintenant  ils refusent de payer pour les arrets gardes d'enfants codi virus. donc mes cotisations n'ont servies a rien en 9 ans sauf a enrichir AG2R.</t>
  </si>
  <si>
    <t>17/04/2020</t>
  </si>
  <si>
    <t>albertfils-67555</t>
  </si>
  <si>
    <t>Macif
Bonjour 
Assurance a éviter absolument
Dégât d'eau décembre 2017 et janvier 2018
1er dégât des eaux estimés a 2500 euro et mon devis est de 4400 euro Remboursement 1200 au mois de septembre après de multiples Mail et appel
2ieme dégât d'eau décembre 2017 jusqu'à aujourd'hui non réglé
Il vous prennent pour un menteur avec leur cabinet d'expertise Elex 
Je suis assurée chez eux depuis 1999
Le jours ou j'ai besoin d'eux il ne sont plus là 
Même si vous payer plus cher ailleurs ce serait un meilleur investissement</t>
  </si>
  <si>
    <t>14/10/2018</t>
  </si>
  <si>
    <t>zchristophe-86305</t>
  </si>
  <si>
    <t>"mutuelle" à fuir</t>
  </si>
  <si>
    <t>24/01/2020</t>
  </si>
  <si>
    <t>clavelin-58523</t>
  </si>
  <si>
    <t xml:space="preserve">mon mari M CLAVELIN MAXIME est dédcédé le 27 07 de cette année .il avait souscrit une assurance obseques.impossible de récupérer les fonds je trouve cela scandaleux d autant plus que j attend cet argent  pour payer les obseques cela fait 19 ans que nous payons car moi aussi j ai le meme contrat si cela n est pas débloqué au plus vite je pense que je vais retirer mon argent
ps il faut que je vous mette au courant que le certificat médical m a été demandé au bout de 2 mois
tout ceci pour vous dire que je suis trés décue </t>
  </si>
  <si>
    <t>xxxx-117098</t>
  </si>
  <si>
    <t>Bonjour, je suis très satisfaite de ma conseillère santiane Widad qui a fait le nécessaire pour me débloquer la prise en charge de mes lunettes. Je viens d'avoir la confirmation de l'opticien.
Widad était à l'écoute et très professionnelle.</t>
  </si>
  <si>
    <t>pascalmary-102095</t>
  </si>
  <si>
    <t>Vous avez besoin d'une information, vous n'êtes pas d'accord avec leur estimation  des sommes à verser ? Je confirme les autres avis, on nous balade. Même un recommandé n'a toujours pas de réponse plus d'un mois après ! Si vous faites une réclamation, on vous promet une réponse sous deux mois ...</t>
  </si>
  <si>
    <t>02/01/2021</t>
  </si>
  <si>
    <t>willy-54183</t>
  </si>
  <si>
    <t>prélèvements injustifiés</t>
  </si>
  <si>
    <t>20/04/2017</t>
  </si>
  <si>
    <t>pastoureau-j-127813</t>
  </si>
  <si>
    <t xml:space="preserve">je suis parfaitement satisfait pour preuve je vous assure un 2éme véhicule par contre le prix de départ est très intéressant mais au renouvellement de chaque année faite attention aux hausses qui pourrait me diriger vers la concurrence. </t>
  </si>
  <si>
    <t>13/08/2021</t>
  </si>
  <si>
    <t>seb-60046</t>
  </si>
  <si>
    <t>Nous avons fait faire des embouts auriculaires pour mon fils sourd implanté avec un 100% pour ALD à ce niveau. Facture et feuille de soins fournies. La facture fait apparaitre clairement 2 quantités d embouts. Un seul m est remboursé. Il m est indiqué sur la feuille de soins (il y a un seul embout et non deux) et (celle-ci n'est pas en ALD). Même quand je demande de vérifier la quantité de la facture il n y aurait qu un embout pourtant clairement indiqué sur celle ci. De plus il aurait fallut 2 codes barres identiques sur la feuille de soin et ils refusent de voir le lien entre des embouts auditifs et son ALD liée à sa surdité (même avec les justificatifs). Bref à leur demande je fais faire une feuille de soin rectificative que je dépose en main propre au point mgen de ma section. Ensuite plus de nouvelle. Normal ils ont perdus le document refusant de l avouer clairement puisque indiquant juste qu ils ne l ont pas et que je dois fournir l original que je n ai plus puisqu ils l ont perdu (la preuve pourrait être apportée par la note de mon passage à la section où le même jour j ai déposé une autre feuille de soin qui a bien été traitée elle). J ai beau leur fournir une copie de l original (faite par l audioprothésiste assez prudent) je dois encore récupérer leur erreur en refaisant toutes les démarches puisque cela ne suffit encore pas (2 heures de mon temps la dernière fois enchaînant les déplacements audioprothésiste mgen à plusieurs reprises). Des mels contradictoires des personnes mal informée. bref que de problèmes qui se répètent et qui ont du mal à trouver des solutions.</t>
  </si>
  <si>
    <t>26/10/2018</t>
  </si>
  <si>
    <t>fil-79619</t>
  </si>
  <si>
    <t xml:space="preserve">Bonjour je suis très mécontent mon téléviseur est en panne suite a un orage je téléphone donc à constatel qui me demande d apporter ma tv chez réparateur pour qu il diagnostique la panne et qu'il fournisse un devis de réparation si le téléviseur est réparable. J'apporte donc tv chez réparateur qui me recontact après inspection et m'annonce un devis de réparation de 648euros plus une facture de 110euros pour la recherche de panne. L assurance prends en compte la réparation moins une franchise de 150euros ce qui me semble jusque là tout a fait normal mais ne prends pas en charge la recherche de panne alors que c'est une conséquence du sinistre. De plus il faut avancer l ensemble des frais de diagnostics et de réparation avant de pouvoir se faire rembourser alors que c est une multirisque habitation avec remboursement à l identique ou à neuf  des appareils de moins de 7ans. Donc pour resumer je dois sortir 110euros + 150euros de franchise soit 260euros pour pouvoir faire réparer mon téléviseur soit disant pris en compte.
Merci constatel
</t>
  </si>
  <si>
    <t>Crédit Mutuel</t>
  </si>
  <si>
    <t>fanny-91577</t>
  </si>
  <si>
    <t>J ai souscrit à l assurance ITT et Perte d emploi. En arrêt de travail depuis plus de 6 mois j ai été déclaré inapte à la reprise du travail lors de ma visite de reprise en janvier, pas de possibilité de reclassement j ai donc été licencié. J ai été pris en charge au titre de L'ITT mais CARDIF malgré maintes courriers, appels téléphoniques Ne me repond pas sur la prise en charge sur la période transitoire procédure de licenciement pour inaptitude, (avis du médecin du travail transmis ainsi que le dossier complet) A ce jour prise en charge pour perte d emploi á partir de l inscription à pôle emploi. Jamais le même contact, jamais la même réponse. On me demande pour cette période des documents que je ne peux pas fournir...</t>
  </si>
  <si>
    <t>19/06/2020</t>
  </si>
  <si>
    <t>zagzag-67154</t>
  </si>
  <si>
    <t>tarif trop cher par rapport à la concurrence pour pratiquement les mm garantie</t>
  </si>
  <si>
    <t>28/09/2018</t>
  </si>
  <si>
    <t>abdelkarim-b-106383</t>
  </si>
  <si>
    <t>Je suis satisfait du service rendu, mais vos prix sont exorbitants ! ca fait bientôt 6 ans que je suis avec vous ! faudrait songer à faire des offres. J'achète pas des bagnoles super rare non plus. Sans réaction de votre part et des prix raisonnable pour le type de voiture, je chercherais ailleurs .</t>
  </si>
  <si>
    <t>12/03/2021</t>
  </si>
  <si>
    <t>clemeasy-138475</t>
  </si>
  <si>
    <t>Attention! A fuir. Dès que votre animal est malade AssuOp'oil augmente vos cotisations mensuels années après années jusqu'à vous envoyer une lettre de résiliation. Raison invoquée "un déséquilibre important et récurrent de ses résultats technique". Nous parlons d'un chien ....</t>
  </si>
  <si>
    <t>28/10/2021</t>
  </si>
  <si>
    <t>fifibella-98230</t>
  </si>
  <si>
    <t xml:space="preserve">Nul a ...padonner moi mais je paie une blinde et zero niveau service ... il te demande des decomptes alors qu ils sont reliees secu ?? je sais pas a quoi ca joue mais la c le pompom...d habitude il me rembourse toujours de la meme maniere et là il te demandes des trucs comme des factures déjà remis en scanne. C quoi leurs employer des stagiaires ? omg jpp ??de cette mutuelle. </t>
  </si>
  <si>
    <t>heaven-c-112474</t>
  </si>
  <si>
    <t>je suis satisfaite de ce service, personnel très aimable, repondant aux questions, je la recommande, surtout aux jeunes conducteurs.
J'envisage de m'assurer chez vous
Merci</t>
  </si>
  <si>
    <t>tribout-a-135160</t>
  </si>
  <si>
    <t>les prix sont bas, les franchises élevées! Mais il y a possibilité de choisir des franchises plus faibles en validant des options payantes parmi 3 packs</t>
  </si>
  <si>
    <t>aime-a-130186</t>
  </si>
  <si>
    <t xml:space="preserve">je suis satisfait du contrat d assurance da mon mp3 et pense que le remplacement par le spyder sera de meme
je n ai pour l instant jamais eu de sinistre donc je ne peux en dire plus.
</t>
  </si>
  <si>
    <t>cieslar-c-109383</t>
  </si>
  <si>
    <t>Je suis très satisfait du service et les prix sont très attractifs. La prise de contact par téléphone est très engageante. le processus est simple et efficace.</t>
  </si>
  <si>
    <t>gismo-97008</t>
  </si>
  <si>
    <t>Très déçu au premier abord les pris sont correctes la première année l'année suivante 50% d'augmentation sur la prime de mes deux véhicules. Un seul sinistre non responsable dans l'année ne justifie pas une augmentation de 50 pour mes deux véhicules. Donc assurance à éviter car en cas de sinistre non responsable c'est vous qui prennez le malus super</t>
  </si>
  <si>
    <t>so-51426</t>
  </si>
  <si>
    <t>3 décès en 5 ans avec donc 3 fois à gérer les assurances vie laissées par les défunts et à chaque fois la même galère. Lenteur, retard dans le traitement, demande de papiers plusieurs fois les mêmes, des demandes échelonnées histoire de faire trainer le réglement ...surtout ne pas placer d'argent chez eux c'est une galère pour les bénéficiaires !!! pas de suivi, A fuire !!!</t>
  </si>
  <si>
    <t>18/01/2017</t>
  </si>
  <si>
    <t>bepois-c-137931</t>
  </si>
  <si>
    <t>Très bon accueil téléphonique, explications claires. C'est parfait, tarifs très attractifs, réception rapide de la carte verte provisoire. Signature du contrat en ligne. Au top</t>
  </si>
  <si>
    <t>21/10/2021</t>
  </si>
  <si>
    <t>petit-c-113293</t>
  </si>
  <si>
    <t>Tout    est parfait  rien à dire. Je rajouterai que la conseillère que j'ai eu au téléphone a parfaitement répondue à mes questions et est très sympa.</t>
  </si>
  <si>
    <t>dominguez-j-109600</t>
  </si>
  <si>
    <t>les prix me conviennent et je suis satisfait du service.Simple et rapide pour une souscription en ligne.La validation des documents se fait de maniere rapide sur l'espace perso.</t>
  </si>
  <si>
    <t>alain65-88193</t>
  </si>
  <si>
    <t>Sociétaire depuis 50 ans, j'étais globalement satisfait de la GMF... tant qu'il s'agissait d'encaisser les cotisations. Suite à un dégâts des eaux, plus personne. Six mois pour envoyer un expert. Indemnité qui ne couvre pas la totalité des travaux moins le franchise. pas de service client, pas de réponse au téléphone, ni aux courriers mails. Bref c'est la débâcle! Il est temps de prospecter pour migrer progressivement les assurances vie, habitations et véhicules.</t>
  </si>
  <si>
    <t>10/03/2020</t>
  </si>
  <si>
    <t>chipie-65368</t>
  </si>
  <si>
    <t>Une honte la plus mauvaise assurance existante au monde à a évité vraiment déconseillé à 200 % pour cent cela fait depuis 6 mois depuis janvier que nous avons signalé la maladie j'ai fait un terrible avc à 36 ans et depuis la sogecap prennent un malin plaisir à ne faire que demander des pièces manquantes toutes les trois semaines il demande les papiers bout-à-bout vous font tourner en bourrique on arrive quand même le mi-juillet cela fait plus de 6 mois vous êtes hors délai !!!!vous êtes largement a plus de 3 mois de carence il faut bien savoir qu'un avc ne se prévoit pas ils sont à l'heure pour les prélèvements j'attends aussi pour l'assurance genepro qui ne sais toujours pas mise en route avant de avoir le crédit immobilier Cette assurance et des siennes et des surprime exorbitantsur la tête de mon mari  mais je peux vous assurer que ne tombez jamais malade avec eu car c'est devenu le véritable parcours du combattant je passe ma vie à chercher des papiers appeler la sécu et aussi à aller au médecin car il faut arrêter de chercher l'aiguille dans la botte de foin vous ne la trouverai pas je suis excédé par la façon de faire !! avec cette assurance qui font tout pour gagner du temps et ne pas vous mettre en route l'assurance que l'on paye tous les mois inadmissible!!!! Je suis revolter user par tout ce cirque !!12 decembre 2017 avc 5 mois d hopitale et pas gueri avec des sequelles irreverssibles nous somme le 9 juillet2018 aberant !!!</t>
  </si>
  <si>
    <t>09/07/2018</t>
  </si>
  <si>
    <t>francois-l-132103</t>
  </si>
  <si>
    <t>Je suis très satisfait
L'outil est vraiment simple intuitif et rapide
Les prix sont plus raisonnables par rapport à mon assureur précédent.
Je recommande.</t>
  </si>
  <si>
    <t>09/09/2021</t>
  </si>
  <si>
    <t>herve-n-116695</t>
  </si>
  <si>
    <t xml:space="preserve">Vos services me conviennent mais je ne suis pas sure que le prix me satisfasse encore par ce que vous ne mettez pas à jour le prix des clients déja sociétaires ! De plus, vous ne m'avez fait aucun geste commerciale de remise pour la période de confinement ou mon véhicule ne roulait plus donc aucun risque. !  </t>
  </si>
  <si>
    <t>11/06/2021</t>
  </si>
  <si>
    <t>williams-128919</t>
  </si>
  <si>
    <t>satisfaite du service téléphonique de souscription, excellent contact. Prix intéressants, moins chers que chez de nombreuses compagnies qui n'ont pourtant pas de service supplémentaires..</t>
  </si>
  <si>
    <t>21/08/2021</t>
  </si>
  <si>
    <t>tanaka-52956</t>
  </si>
  <si>
    <t>Très dur à recevoir le relevé information après plusieurs coups de téléphone pas encore arrivé 8jours rien il trenne les pieds pour vous envoyer pour s'assurer rapide mais le contraire sa marche pas pas sérieux</t>
  </si>
  <si>
    <t>03/03/2017</t>
  </si>
  <si>
    <t>korella-94432</t>
  </si>
  <si>
    <t xml:space="preserve">je suis assez satisfaite ... prix assez abordable, je suis impatiente de savoir comment ça va se passer avec cette assurance concernant ma première voiture </t>
  </si>
  <si>
    <t>17/07/2020</t>
  </si>
  <si>
    <t>christine-t-105541</t>
  </si>
  <si>
    <t xml:space="preserve">Bonjour,
Je vous déconseille de souscrire chez eux, la 1ère année le prix est correct, la seconde j'ai reçu (le 04/02/2021) une très forte augmentation, 
Donc par rapport à ça je décide de résilier le contrat immédiatement à compter du 01/03/2021 (date d'échéance du contrat) par courrier recommandé AR, 
Le 17/02/2021 je reçois une confirmation de résiliation par mail, je me dit que c'est bon le nécessaire est fait,
À ma mauvaise surprise, aujourd'hui 05/03/2021 je suis prélevé de la cotisation annuel pour l'année 01/03/21 au 28/02/2022 malgré la résiliation du contrat (si j'avais su j'aurais bloqué tout prélèvement)
En gros je ne suis plus assuré chez eux mais je dois payer l'année !? Pour l'instant je suis dans l'impasse, j'ai tenté de les contacter par téléphone mais ils ne répondent pas (une erreur s'est produite veuillez réessayer)
Cordialement.
</t>
  </si>
  <si>
    <t>john-101480</t>
  </si>
  <si>
    <t xml:space="preserve">Attention en cas de sinistre pour responsabilité civile non responsable, ils font payer un franchisé qui nous est remboursée SEULEMENT si ils se font rembourser par l’assurance adverse. Une véritable blague cet « assureur », être assureur c’est un métier. </t>
  </si>
  <si>
    <t>22/12/2020</t>
  </si>
  <si>
    <t>xyz-99995</t>
  </si>
  <si>
    <t>Mécontent du service client.
Impossible de vous joindre la plupart du temps et on me dit que c à cause de la nouvelle alliance, d'une task force qui n'a aucune compétente... Ce n'est pas mon problème.
J'envoie un mail + message via mon compte client, aucune réponse depuis 3 semaines et c moi qui doit appeler?
J'envisage changer d'assureur.
Cordialement
Michel HARDY (36358428)</t>
  </si>
  <si>
    <t>lefp31-59573</t>
  </si>
  <si>
    <t>Malgré la lettre de résiliation d'assurance suite à la remise des clés du bien loué faite le 20 juillet Pacifica me retire toujours les mensualité et nous sommes en novembre</t>
  </si>
  <si>
    <t>stribic--138932</t>
  </si>
  <si>
    <t xml:space="preserve">Matmut très bonne assurance. J'ai 4 contrats et aucun problème. Je ne change pas. Je recommanderais bien sûr la Matmut à toutes les personnes qui sont intéressés. </t>
  </si>
  <si>
    <t>04/11/2021</t>
  </si>
  <si>
    <t>audrey-d-132564</t>
  </si>
  <si>
    <t>Je suis satisfaite que se soit pour les prix ou les services.
Quand j'appelle pour un renseignement ou une adhésion j'ai toujours une personne très compétente en ligne</t>
  </si>
  <si>
    <t>13/09/2021</t>
  </si>
  <si>
    <t>cat69-57634</t>
  </si>
  <si>
    <t>9 mois à me ballader de services en services, de coups de fil en coup de fil, des tonnes de courrier envoyés pour qu'ils me remboursent plusieurs centaines d'euros...
Il a fallu que j'aille leur faire de la mauvaise pub sur facebook pour les faire réagir. 
A fuir !</t>
  </si>
  <si>
    <t>27/09/2017</t>
  </si>
  <si>
    <t>amarena-62317</t>
  </si>
  <si>
    <t xml:space="preserve">depuis 15 jours souscription d un contrat automobile 
dans ma demarche sur internet je commets un erreur sur l immatriculation du vehicule le lendemain j appel le service client pour rectification mais pas moyen de corriger 2 jours après j envoie un mail avec l immatriculation exacte je recois alors une attestation avec la bonne immatriculation mais non datèe donc pas valable il y a 3 jours je scanne ma nouvelle carte grise et je recois ce jour une attestation d assurance avec l ancienne immatriculation non valable c est vous dire le niveau d incompetence de la societè ce jour j envoie en AR la carte grise definitive a mon avis evitez cette societè personnellemnt je vais voir les recours devant tant de nègligeance de plus ce jour control gendarmerie et aucun papier d assurance a prèsenter qui soit en regle je garde espoir j ai jusqu a lundi pour presenter aux forces de l ordre une attestation datèe avec la bonne immatriculation 
en rèsumè 6 mails 3 appels telephoniques et rien qui prouve que je suis assurè  FUYER AVANT QU IL NE SOIT TROP TARD par prudence j ai donnè tous mes èchange avec cette societè a mon conseil si nous avons des oligations papiers a fournir en AR la societè d assurance se doit de fournir des attestations reprenant les caracteristiques du vehiclule </t>
  </si>
  <si>
    <t>bouger--134650</t>
  </si>
  <si>
    <t xml:space="preserve">Très contente de l accueil que j'ai eu avec  Rawane un bon conseiller  il m'a aidé pour  vous faire parvenir les documents  manquant à mon dossier ?? en 2 mouvement sa été  fait  très bon élément  pour la société  merci encore 
</t>
  </si>
  <si>
    <t>paul-s-109378</t>
  </si>
  <si>
    <t xml:space="preserve">Je suis satisfait des prix, du service clients. Je n’ai pas beaucoup été en contact avec vous mais je n’ai rien à reprocher. Je recommande direct assurance </t>
  </si>
  <si>
    <t>papy89-124644</t>
  </si>
  <si>
    <t>adhérents depuis mon entrée dans la police  (53 ans) je doit subir  (pour le moment) un appareillage d'un genou , la personne que j'ai eu au téléphone (isabelle) m'a tres bien renseigné ,sur les  différents problèmes administratifs,j'en suis trés satisfait et cela dans le calme et gentillesse veuillez la remercier
                                                                                  daniel villardry</t>
  </si>
  <si>
    <t>niiiico-79868</t>
  </si>
  <si>
    <t xml:space="preserve">Super assurance toujours super réactive jamais de problème et des personnes au top et toujours de très bon conseillé et à l'écoute n'hésiter plus c'est là meilleur assurance tout confondu </t>
  </si>
  <si>
    <t>09/10/2019</t>
  </si>
  <si>
    <t>fgrn-100148</t>
  </si>
  <si>
    <t xml:space="preserve">La Mutuelle Générale de la Police est une très très bonne mutuelle à l écoute et près de ses adhérents grâce à ses délégués et ses bureaux de proximités. De plus la prévoyance, les contrats perte de salaire, contrat dépendance, contrat décès et aides etc...permettent d'avoir une couverture selon ses besoins et maximum. Les remboursements rapides ont font une excellente mutuelle malgré son prix. </t>
  </si>
  <si>
    <t>16/11/2020</t>
  </si>
  <si>
    <t>vivien-b-135146</t>
  </si>
  <si>
    <t>Moitié prix par rapport à mon ancienne assurance. Parfait! C’est la première fois chez direct assurance , on verra bien ce que ça donne . Inscription simple et rapide.</t>
  </si>
  <si>
    <t>sara-131085</t>
  </si>
  <si>
    <t xml:space="preserve">Mon avis sur direct assurance est le suivants:
Les prix me conviennent, ils sont abordables.
Satisfaite de vos services en ligne.
Merci à direct assurance.
     </t>
  </si>
  <si>
    <t>03/09/2021</t>
  </si>
  <si>
    <t>chkhimi--98817</t>
  </si>
  <si>
    <t xml:space="preserve">J’ai 14 contrat et je suis pas du tout content c’est ma banque qui m’a fait souscrire tout c’est contrat car je suis désuet de l’assurance perte des loyers il abuse de leur position en vere les propriétaires bailleurs </t>
  </si>
  <si>
    <t>16/10/2020</t>
  </si>
  <si>
    <t>gilles-45634</t>
  </si>
  <si>
    <t>Au niveau juridique c'est nul ,avant de prendre l'assurance habitation j'ai pris un rendez vous en agence pour savoir si il m'aiderait si la banque qui me doit des intérêts ne me paye pas ,la réponse a été oui si vous n'avez pas engagé de procédure, donc j'assure ma maison chez eux et quelques semaines plus tard je leur demande de l'aide car la banque ne me paye pas.Et là stupeur l'assurance juridique ne fonctionne pas car soit disant je savait qu'il y avait un litige, donc mauvaise foi de leur part pour ne pas intervenir et juste encaisser les cotisations!</t>
  </si>
  <si>
    <t>27/08/2017</t>
  </si>
  <si>
    <t>01/08/2017</t>
  </si>
  <si>
    <t>pat85-52000</t>
  </si>
  <si>
    <t>AUCUN RESPECT DES CLIENTS, résiliation en cours pour mes trois contrats et bientôt le 4ème car les prises en charge qui étaient prévues  N'ONT PAS ETE RESPECTEES autan pour l'assurance habitation que les accidents de la vie.
ASSURANCES A FUIR ET SURTOUT FAIRE SAVOIR A CEUX QUI NE CONNAISSENT PAS DE NE JAMAIS S'ASSURER.</t>
  </si>
  <si>
    <t>03/02/2017</t>
  </si>
  <si>
    <t>mohammed--96792</t>
  </si>
  <si>
    <t xml:space="preserve">Ils veulent votre argent rien de plus. 
Le jour où vous tomber en panne il ne sert à rien de les appeler. 
La pire expérience de ma vie.
Aucun interlocuteur pour vous répondre </t>
  </si>
  <si>
    <t>andrei-c-106477</t>
  </si>
  <si>
    <t>Le prix de l'assurance augmente cette année alors que je n'ai pas commis de sinistre et qu'avec les confinements successifs je n'ai pas quasiment pas roulé et la valeur de mon véhicule a diminué en un an</t>
  </si>
  <si>
    <t>13/03/2021</t>
  </si>
  <si>
    <t>manuel-b-109788</t>
  </si>
  <si>
    <t>Je suis satisfait des prix (meilleur du marché) , du service, de la faciliter à utiliser le site  et de la facilité à compléter le dossier pour valider l'assurance.</t>
  </si>
  <si>
    <t>martine-62561</t>
  </si>
  <si>
    <t>A la souscription en 2017 : 284,46 et je viens de recevoir pour 2018: 342,29;et aucun accident a mes torts! prix attractif au début,suis très decu d assurance direct, je vais faire des devis ailleurs!
PERSONNE DE MON ENTOURAGE a subit une augmentation de la part de son assureur tel que!</t>
  </si>
  <si>
    <t>fredydono-57722</t>
  </si>
  <si>
    <t>Nulle assurance ne prends rien en charge et en plus il faut payer des franchises pour moi 0 niveaux assurance  ça fait deux fois de suite qu' il me grille2</t>
  </si>
  <si>
    <t>30/09/2017</t>
  </si>
  <si>
    <t>flo-122615</t>
  </si>
  <si>
    <t xml:space="preserve">Satisfait de cette information et souscription je vous remercie de tout je recommanderais votre assurance à mes parents et amis merci cordialement mr petitdemange </t>
  </si>
  <si>
    <t>07/07/2021</t>
  </si>
  <si>
    <t>jclaude-80674</t>
  </si>
  <si>
    <t>Voila 2 ans que ma soeur est decedée et ma nièce seule heritière n'a toujours rien touché...et la cerise sur le gâteau, c'est qu'elle a recu plus de 10 réponses, lui demandant de surveiller son compte, ou alors que sa banque (banque americaine) n'accepte pas les euros. Le dernier courrier  promet  une attention sur son dossier. A croire que le personnel de cette assurance est totalement incompétent, ou joue au chat et à la souris pour ne pas débourser l'argent...scandaleux de la part d'une banque internationale...</t>
  </si>
  <si>
    <t>04/11/2019</t>
  </si>
  <si>
    <t>chris74250-96499</t>
  </si>
  <si>
    <t>Alors que je dois changer mes lunettes, je prends contact avec ma complementaire afin de m'assurer du montant du forfait que j'ai. le forfait est prévu pour 250 euros.
Je me rend donc chez un opticien non partenaire (optique2000) je trouve mes lunettes et obtiens un devis de plus de 300 euros. Generation me confirme me rembourser 250 euros soit le montant de mon forfait. Mia s Generation me dit egalement qu'il est preferable de rentrer en contact avec un partenaire santéclair afin d'obtenir de meilleurs tarifs et un meilleur remboursement. Chose que je fais pour voir la difference. Me voici donc à Grand Optical et certes j'ai de belles reductions, mais le montant remboursé tombe à 190 euros contrairement au forfait de 250 pour lequel je paye. Je prend donc contact avec Generation pour savoir ce qu'il se passe. On m'explique que les verrres ne sont pas totalement pris en charge par santeclair ( chose dont je me fou royalement) et que par consequent je n'obtiendrai pas plus, si je ne suis pas content je peux partir !
Et bien c'est ce que je vais faire dès la fin de mon contrat. Je n'aime  pas etre pris pour ce que je ne pense pas etre et c'est clairement ce qu'il se passe avec Génération.</t>
  </si>
  <si>
    <t>20/08/2020</t>
  </si>
  <si>
    <t>seb-96004</t>
  </si>
  <si>
    <t>Pas cher mais zéro si on a un souci même mineur !
Et hausse exponentielle de la cotisation sans explication.... incompréhensible !
Je résilie mes deux véhicules avec beaucoup de mal et menaces, incroyable c'est des oufs !</t>
  </si>
  <si>
    <t>09/08/2020</t>
  </si>
  <si>
    <t>ankri-m-135288</t>
  </si>
  <si>
    <t xml:space="preserve">tres satisfait des interlocuteurs et des services proposes si j avais su je serais venu chez l'olivier avant et si j'ai la possibilite de recommanderais cette compagnie a mon entourage.
</t>
  </si>
  <si>
    <t>30/09/2021</t>
  </si>
  <si>
    <t>david-b-133347</t>
  </si>
  <si>
    <t xml:space="preserve">C'est rapide et les prix sont très compétitifs! J'espère que le service client sera satisfaisant lui aussi. Je vais passer chez DA pour un autre véhicule!
</t>
  </si>
  <si>
    <t>18/09/2021</t>
  </si>
  <si>
    <t>thibault-28393</t>
  </si>
  <si>
    <t xml:space="preserve">Attention à cette assurance,qui, d'après plusieurs avis dont le mien, préfère voir ses adhérents en tord ou responsable plutôt que le contraire et ce, malgrès les preuves. </t>
  </si>
  <si>
    <t>26/01/2020</t>
  </si>
  <si>
    <t>guy-r-108422</t>
  </si>
  <si>
    <t>Très bon contact. Disponible. et donne les renseignements souhaitaient.
Suivit du dossier  appel du conseillé à chaque étape si besoins. Merci à lui .</t>
  </si>
  <si>
    <t>29/03/2021</t>
  </si>
  <si>
    <t>chalamene-97743</t>
  </si>
  <si>
    <t xml:space="preserve">je suis chez AXA VALENCIENNES agence SULLI depuis plus de 10 ans et même si j'habite maintenant à Nantes, je suis restée chez eux (toutes mes assurances y sont regroupées). je suis plus que satisfaite de leur écoute et de leur compréhension. Il ne s'agit pas seulement du montant de la cotisation qui compte quand on choisit une assurance, c'est également le côte humain des interlocuteurs. J'ai rencontré divers soucis que cette agence a su régler sereinement et rapidement. L’accueil a toujours très polie et très gentil. Je recommande vivement cette agence </t>
  </si>
  <si>
    <t>23/09/2020</t>
  </si>
  <si>
    <t>chucky-81155</t>
  </si>
  <si>
    <t xml:space="preserve">Je met une etoile car on ne peux pas mettre zero!! Depuis le mois d aput que j attends un remboursement  que il me.remboursse que la moitier  de plus 20 euro de franchise  et il me remboursse que la moitié  du vaccin que j ai pris leur assurance  la plus  cher pour mon chien sachant que je suis que au rsa !!! D assuree vous pas la bas !!! </t>
  </si>
  <si>
    <t>20/11/2019</t>
  </si>
  <si>
    <t>kevin-o-130284</t>
  </si>
  <si>
    <t>Satisfait du tarif et de l économie que je vais réaliser.
Souscription rapide et simple
Prix très attractifs et avantageux. 
Conducteur secondaire assuré très appreciable</t>
  </si>
  <si>
    <t>vtfe-64811</t>
  </si>
  <si>
    <t xml:space="preserve">ENTREPRISE A FUIR 
Management à l'image du matériel date des années 80 du temps de l'ORIC pour ceux qui connaissent ...
Politique embauche diversité mais trop de diversité tue justement la diversité ....
Copinage cooptation qui favorise la diversité qui ne se diversifie plus car toujours le même type de population bien soumise et servile ....
Objectifs incohérents pour espèrer être augmenté il faut rogner sur son temps de pause et sur la qualité des rendez vous pris en laissant au collègues les rendez vous pourris ... Bonjour l'esprit d'équipe ....
Si vous voulez vous épanouir passez votre chemin car burn out dans quelques mois
</t>
  </si>
  <si>
    <t>06/01/2021</t>
  </si>
  <si>
    <t>patou59-103363</t>
  </si>
  <si>
    <t>Je suis très contente par le professionnalisme et l'écoute de la conseillère MGP que j ai eu au téléphone  pour une demande de secours santé elle m'a très bien informée de la démarche à faire   J'ajoute que  les remboursements sont effectués dans un délai très raisonnables et sont consultables avec accès direct à Ameli un + de la MGP De plus, je trouve les offres de remboursement particulièrement intéressantes pour le dentaire (frais réels) et médecine douce par rapport à d'autres mutuelles et le forfait automédication est un + car il n'existe pas dans certaines mutuelles le tarif reste un peu élevé car il augmente avec l'âge pour le capital décès mais le contrat reste souple car il est facultatif .</t>
  </si>
  <si>
    <t>28/01/2021</t>
  </si>
  <si>
    <t>laborderie-e-113117</t>
  </si>
  <si>
    <t>Je suis entièrement satisfait de ma souscription simple et rapide. Dans l'attente de cotre appel pour mes questions complémentaire. En vous remerciant. Cordialement.</t>
  </si>
  <si>
    <t>08/05/2021</t>
  </si>
  <si>
    <t>cedric-p-126506</t>
  </si>
  <si>
    <t xml:space="preserve">Vraiment satisfait du service de cette assurance facile simple à mettre en route Assure dans l'heure qui suit cet vraiment super bien cordialement direct assurance </t>
  </si>
  <si>
    <t>vincent-z-107479</t>
  </si>
  <si>
    <t>Très simple à souscrire, quelques minutes suffises.
Le site est bien fait dans le sens où j'ai pu trouver les informations nécessaires.
Bon rapport qualité / simplicité</t>
  </si>
  <si>
    <t>jean-marc--137301</t>
  </si>
  <si>
    <t>Contrat Allianz souscrit en passant par Sésame assurance basée à  Nice, devenue Verspieren, avec le passage de l'assureur à notre domicile. Nous lui avions indiqué que nous voulions être très bien assurés pour notre maison, ainsi que nos parties extérieures. Or, lors des grosses pluies que les Alpes Maritimes ont subi en juin 2019, nous avons eu un affaissement de notre escalier extérieur, devenant donc impraticable. 
Après plusieurs demandes de prises en charge et la venue d'un expert qui nous avait dit que nous serions indemnisés, nous venons d'essuyer un refus de prise en charge de la compagnie. Motif: l'escalier n'est pas bétonné, alors qu'il l'est et que la compagnie a les photos et que l'entreprise de maçonnerie qui a fait les travaux à notre charge (car impraticable), atteste bien que l'escalier est bétonné.
Tout ceci résulte du fait que les métrés intérieurs qui avait été pris par l'assureur, sont différents de ceux de l'expert, alors qu'aucuns travaux d'intérieur ont été réalisés. A cause de ceci, notre dossier est remonté au siège d'Allianz qui refuse de nous prendre en charge pour les raisons évoquées précédemment. 
Conclusion : fuire le cabinet Sésame qui ne reconnait pas l'erreur de son agent, et fuire Allianz qui refuse de prendre en charge.
Nous allons donc résilier tous nos contrats.</t>
  </si>
  <si>
    <t>13/10/2021</t>
  </si>
  <si>
    <t>grognon-60118</t>
  </si>
  <si>
    <t xml:space="preserve">Ayant fait un devis sur le net,au final ce n'est pas le bon prix annoncé,j'ai du payer plus cher,soit disant que les documents ne correspondait pas!!!
la seule faute de ma part c 'est d avoir indiqué un mauvais bonus.15euros de plus pour changer le contrat .ok j 'accepte mais entretemps mon contrat été plus cher.Ils me revoient un contrat soit disant modifié  et c'est exactement le meme .
Service incompétent. J ai mis fin a l'assurance chez eux,ma voiture à la casse,et le signalant en suivant la procédure légale et contractuelle je ne vois aucun remboursement venir et ce malgré un courrier, juste plusieurs sms m 'indiquant qu'un virement qui ne correspond nullement à la somme qui doit etre remboursé et ce depuis juillet 2017,on est le 3 janvier 2018;
Aussi, vu que je ne vois rien venir je vais déposer plainte;
  </t>
  </si>
  <si>
    <t>03/01/2018</t>
  </si>
  <si>
    <t>olivier-99020</t>
  </si>
  <si>
    <t xml:space="preserve">Client depuis des années chez cet assureur, je les contacte pour la première fois en juillet 2020 pour un sinistre mettant en cause ma responsabilité civile. J'ai cassé les lunettes du fils de mon voisin en le faisant tombé et je demande donc à mon assurance de prendre en charge les frais de réparations des lunettes. Après 3 mois de coup de fil, de documents scannés (il en manque toujours un ...) l'assurance prend en charge les réparations des lunettes ... A MOITIE !!! Soit disant parce que nous étions 2 (le fils de mon voisin et moi même). Absolument honteux, la résiliation auprès de ces incompétents se fera dans les jours qui suivent. </t>
  </si>
  <si>
    <t>21/10/2020</t>
  </si>
  <si>
    <t>mel-60839</t>
  </si>
  <si>
    <t>J’attends, j’attends, j’attends et l’assurance ne bouge pas j’ai besoin que l’assurance fasse son job pour ne pas mettre en danger mon entreprise mais ça n’en bouge pas...</t>
  </si>
  <si>
    <t>levante-108133</t>
  </si>
  <si>
    <t xml:space="preserve">assurance a fuire ca fais plus de 1 mois que jattend un remboursement personne et capable de repondre pourquoi cela prend aussi longtemp jai du payer toute les reparation moi meme en attendant detre rembourse ... franchise a presque 300 euro plus 750 donc 10% qui reste a mes frais service client desagreable ! </t>
  </si>
  <si>
    <t>26/03/2021</t>
  </si>
  <si>
    <t>abdelhay-abdelhay-a-133583</t>
  </si>
  <si>
    <t xml:space="preserve">Je suis satisfait au service, offre par votre assurance.
Le prix que m'avez donne me convient beaucoup .
J'aimerais bien que vous restiez fidèle à vous engagement. </t>
  </si>
  <si>
    <t>audi-110588</t>
  </si>
  <si>
    <t>Cotisation en augmentation permanente bien qu'1 seul sinistre non responsable en 10 ans et changement de zonage d'assurance sans concertation.
A part cela globalement satisfait et vous consulterais en cas de nouvelle acquisition.</t>
  </si>
  <si>
    <t>kimy-96788</t>
  </si>
  <si>
    <t>Une honte
J'ai eu un accident, d'une les personnes de l'assistance et de l'assurance ne parle quasiment pas français donc impossible de les comprendre. 
En plus Ils disent qu'ils vous rappelle pour vous dire ou va Être réparé votre voiture mais vous restez 5 jours sans nouvelle. D'un coup vous recevez trois appel de personnes différentes qui se contredisent sur le sujet de Quel garage va reparer votre voiture. 
Vous finissez par perdre patience et leur dire" Bah laissez la dans le garage ou vous l'avez fait remorqué "
Vous recevez ensuite un message via l'application qui vous dit " Vous avez souscrit le pack tranquilité avec prêt de véhicule en cas d'accident, Celui-ci n'est valide que dans les garages partenaires, le garage que vous avez choisi n'en est pas un! 
Bye bye direct assurance</t>
  </si>
  <si>
    <t>28/08/2020</t>
  </si>
  <si>
    <t>ftr772-64977</t>
  </si>
  <si>
    <t>Lourdeurs administratives lors d un bris de glace.
La loi hamon indique un libre choix du réparateur. Quand l expert de direct assurance donne un tarif inférieur à ce que dit le garagiste, est ce toujours un libre choix du réparateur? je vais aller voir une association de défense de consommateur pour poser la question</t>
  </si>
  <si>
    <t>22/06/2018</t>
  </si>
  <si>
    <t>stephan-corde-47362</t>
  </si>
  <si>
    <t xml:space="preserve">Simple et pratique. 
C'est la meilleure offre que j'ai reçu parmi tout les comparateurs et les leaders du marché. 
Conseiller disponible et très professionnel et à l'écoute </t>
  </si>
  <si>
    <t>03/08/2021</t>
  </si>
  <si>
    <t>oups-65223</t>
  </si>
  <si>
    <t>très mauvais conseillé sinistre... leur but est de racheter notre véhicule en accord avec l'expert. pour un prix dérisoire et surtout en tout risque et pas en tort une franchise déduite et 10% en plus.... faites attention aux petites lignes.</t>
  </si>
  <si>
    <t>03/07/2018</t>
  </si>
  <si>
    <t>jalil-51537</t>
  </si>
  <si>
    <t>Contrairement à ce que l'on peut voir sur le Net, leurs prix ne sont pas réellement compétitif (j'ai changé d'assurance au bout d'un an avec 5 % de bonus je suis passé de 90 a 60€ par mois chez la macif). Lorsque j'ai annoncé vouloir changer d'assurance, j'ai reçu quelques semaines plus tard une lettre en provenance d'huissier pour un "impayé" avec des frais supplémentaire ! J'ai pourtant payé chaque mois, ni moi ni ma banque n'avons refusé de prélèvement et tous on bien été effectués (relevé de compte à l'appuie). Assurance à éviter à tout prix ! Je souhaite mettre en garde les jeunes permis qui pourrait se faire avoir comme moi par le prix qui change d’ailleurs assez vite sans comprendre pourquoi.</t>
  </si>
  <si>
    <t>20/01/2018</t>
  </si>
  <si>
    <t>mpanda-h-126442</t>
  </si>
  <si>
    <t xml:space="preserve">la franchise bris de glace est élevé
le service client est bien par contre le fait qu'on ne sache pas d'une année à une autre si les prélèvement mensuel resteront les même (lorsqu'on ne commet aucune faute) est dérangeant
</t>
  </si>
  <si>
    <t>fahfouhi-c-136095</t>
  </si>
  <si>
    <t xml:space="preserve">Je Satisfait du service
tres aimable, répond a toute question avec clarté , que du plus , je recommander olivier assurance a toute personne cherchant une meilleur assurance
</t>
  </si>
  <si>
    <t>tartempion-57234</t>
  </si>
  <si>
    <t xml:space="preserve">Je suis très mécontent de cet assureur , j'ai envoyé dès réception du nouvel échéancier un pli recommandé avec avis de réception ,  afin de résilier mon  contrat d'assurance, et il continue de toujours prélever sur mon compte, avec bien sûr une augmentation des tarifs. </t>
  </si>
  <si>
    <t>10/09/2017</t>
  </si>
  <si>
    <t>baudrillard-f-137709</t>
  </si>
  <si>
    <t>Je suis satisfait du service mais le prix est exorbitant le prix est presque triplé pour avoir consommé de l'alcool au volant je ne comprends pas trop de 55e a 138 e pour le même véhicule c'est très difficile à comprendre donc je ne resterai pas bien longtemps chez vous désolée</t>
  </si>
  <si>
    <t>18/10/2021</t>
  </si>
  <si>
    <t>erixes64-104353</t>
  </si>
  <si>
    <t>De nouveau client, depuis quelques mois, la MGP a revu ses tarifs, qui me semblait plus élevé que ses concurrents. (et c'était d'ailleurs le cas !). Ses services se sont grandement améliorés ainsi que la rapidité d'exécution des demandes. Le site est fluide, et l'attente pour un contact téléphonique est raisonnable.
J'y ai fait adhérer mon épouse et ma petite fille.
rien à dire quand à présent !
Pourvu que ça dure !</t>
  </si>
  <si>
    <t>17/02/2021</t>
  </si>
  <si>
    <t>gorizia-k-115277</t>
  </si>
  <si>
    <t>L'accueil est qualitatif, les renseignements sont précis et le personnel à l'écoute. Les prix sont attractifs pour un jeune conducteur. Très satisfait dans l'ensemble, à voir avec le temps</t>
  </si>
  <si>
    <t>heloise--m-131412</t>
  </si>
  <si>
    <t>Pour 1ere assurance ça vaut le coup par rapport aux autres assurances. Avec la géolocalisation par le boîtier pas d excès de vitesse pour payer moins. C est genial</t>
  </si>
  <si>
    <t>ma-j-112116</t>
  </si>
  <si>
    <t>je suis satisfait du prix et du service puisque dans l'ensemble ca me semble correct. Ils sont assez réactif au niveau téléphonique ce qui me plait bien.</t>
  </si>
  <si>
    <t>29/04/2021</t>
  </si>
  <si>
    <t>larcanche-m-117843</t>
  </si>
  <si>
    <t>personnes très sympathiques. Vraiment très bien... HIER, RENSEIGNEMENTS pour le contrat et finalisation... Aujourd'hui renseignements concernant l'avancée de mon dossier : très  bien également. Cela change d'autres compagnies auxquelles j'avais demandé des devis et vraiment désagréables et limite irrespectueux</t>
  </si>
  <si>
    <t>yannick-l-116272</t>
  </si>
  <si>
    <t>Les tarifs ne font que d'augmenter, je ne suis pas satisfait et je vais chercher ailleurs. Je vais faire des devis et résilier mon contrat avec Direct Assurance</t>
  </si>
  <si>
    <t>07/06/2021</t>
  </si>
  <si>
    <t>gazou30-44655</t>
  </si>
  <si>
    <t>Allianz a mis 14 années pour me retrouver, rien que ça.....en effet une personne est décédée en 2007 me laissant une partie de son assurance vie Allianz, j' ai été contacté par cette société pour fournir certains renseignements et depuis plus d' un mois rien, absolument rien, ma question est : vais-je devoir attendre encore 14 années pour toucher les sommes dues  ????   je serai décédé d' ici là   !!!!!!!!!</t>
  </si>
  <si>
    <t>alban-107847</t>
  </si>
  <si>
    <t xml:space="preserve">Toujours des réponses aux questions que je pose 
Très à l'écoute sur mon dossier 
Prends le temps de tout expliquer dans les moindre détails 
Très efficace </t>
  </si>
  <si>
    <t>24/03/2021</t>
  </si>
  <si>
    <t>bma-112436</t>
  </si>
  <si>
    <t xml:space="preserve">A fuir,  pas de suivi sérieux,  mélange les dossiers,  multiples interlocuteurs à  qui il faut répéter sans cesse les erreurs qu'ils commettent, personnel très incompétent , je déconseille fortement cet assureur. </t>
  </si>
  <si>
    <t>marine69-103232</t>
  </si>
  <si>
    <t xml:space="preserve">Une honte, cela fait maintenant plus de 4 mois qu'on me ballade à chacun de mes appels...( délai de traitement de 2 mois, dossier non traité passé à la trappe, dossier porté en réclamation, délai de réclamation de 4 semaines maxi et maintenant délai qui passe à 12 semaines...) j'attends des indemnités pour un arrêt maladie hors mission qui date de août 2020) 
Quels peuvent être les voies de recours pour ce genre de situation?  Je suis bien décidé à ne pas lâcher l'affaire et faire valoir mes droits ! C'est encore bien malheureux d'être obligé de se battre sur tous les fronts!!!Bon courage à tous!!! </t>
  </si>
  <si>
    <t>26/01/2021</t>
  </si>
  <si>
    <t>mimi54-103726</t>
  </si>
  <si>
    <t>4 assurances chez eux, pour les cotisations, champion, 4% d'augmentation minimum tous les ans. Quand vous avez un sinistre, c'est là que les choses se compliquent. Interlocuteur absent ne répond jamais aux courriers, ni aux recommandés. On doit se justifier apporter des éléments qui sont réfuter par le bureau d'expert saretec, même si ces éléments sont officiels!!!
A bannir le couple Pacifica/seretec</t>
  </si>
  <si>
    <t>gandon-g-109291</t>
  </si>
  <si>
    <t xml:space="preserve">Je suis satisfait du prix, le service clients est rapide et très aimable, je suis recommande l'olivier assurance pour son prix et sa rapidité d'exécution. </t>
  </si>
  <si>
    <t>mani68-116484</t>
  </si>
  <si>
    <t>Attention !! Lisez bien les petites lignes..Contrat auto souscrit "tous risques" donc bris de glace, vols, incendies garantis.. Mais voilà il y a un hic.. Aucune indemnité si l'incident est dû à un acte de vandalisme ou un acte délibéré d'un tiers..seuls les incidents d'origine accidentelle sont pris en charge chez eux.. Bien insister sur ces clauses lors de la signature de votre contrat car je peux vous assurer que votre interlocuteur n'y fera jamais référence.. Et leur service sinistre ?Mon Dieu! Une catastrophe..Une autre personne à chaque appel qui vous dit l'exact opposé de son collaborateur..bref a fuir!!!</t>
  </si>
  <si>
    <t>nic-53572</t>
  </si>
  <si>
    <t>assure depuis 4 ans a active assurance j ai mis cette annee 2 mois pour recevoir ma carte verte de renouvellement d assurance pour mon vehicule ils me faisait croire a chaque fois que je telephonais que le papier etait parti j ai telephone pratiquement chaque jour en les harcelant finalement je l ai recu hier 1 honte</t>
  </si>
  <si>
    <t>25/03/2017</t>
  </si>
  <si>
    <t>oce0202-113983</t>
  </si>
  <si>
    <t xml:space="preserve">J'ai souscrit récemment à une mutuelle avec l'aide de Mohamed qui a su me conseiller et m'orienter. Je suis ravis du service qu'il ma offert, il a été très agréable et a l'écoute. Je le recommande ainsi que cette assurance. </t>
  </si>
  <si>
    <t>172268562-72452</t>
  </si>
  <si>
    <t>Je suis assuré à la Macif depuis 34 ans. Aucun souci jusqu'à il y a 1 ans. Un dégât des eaux. Et là catastrophe... Un expert qui n'a d'experts que le nom, des entreprises agréées qui sont sous le contrôle de ce fameux expert, une agence qui est incapable de vous renseigner au répondre à vos questions, idem pour le service téléphonique. Ils sont indemnisés seulement une partie des dégâts et inutile de tenter de faire quoi que ce soit personne ne vous écoutera où prendre en vos réclamations en compte. Sachez d'avance qu'il vous faut accepter et vous taire. Ensuite il faut réussir à percevoir l'indemnisation, encore un challenge</t>
  </si>
  <si>
    <t>25/03/2019</t>
  </si>
  <si>
    <t>matthieu-f-109517</t>
  </si>
  <si>
    <t xml:space="preserve">En appelant un conseiller (très aimable) pour effectuer ma première adhésion pour une assurance Auto, chez direct assurance, au téléphone, on me fait bénéficier du bonus de ma femme (qui est cliente depuis 7 ans chez direct assurance pour sa voiture, et notre assurance habitation, garage), ainsi qu'un prix attractif, qui me décide a changer d'assureur, on conclut donc l'accord par téléphone pour un montant annuel de 700e.
En envoyant les documents demandés, mon bonus promis est supprimé suite à une erreur informatique, après quelques heures au téléphone, passé de service en service, parce que les employés téléphoniques ne comprennent pas le problème, je dois repasser par les commerciaux de mon appel initial.
une fois une annotation effectuée par un commercial sur mon dossier, on me réattribue le bonus convenue, je rappel donc le service suivi de dossier, mais une employé téléphonique trouve dans le dossier de ma femme un accident non responsable de 2019 qui fait grimper la facture, ainsi je suis passé d'une offre initiale convenue avec le commercial avec bonus de 0,64 a 700e l'année, à une offre avec un bonus de 100 à 1200e l'année, à enfin une dernière offre de 1090e l'année avec un bonus de 0.64... qu'on m'a gentiment proposé de renoncer au contrat, si cela ne me convenait pas.
Une équipe de commerciaux français très agréables et à l'écoute, un service téléphonique à l'étranger horrible et incompétent. 
Je suis profondément déçu de ma première expérience chez direct assurance.
</t>
  </si>
  <si>
    <t>nicomar62-137919</t>
  </si>
  <si>
    <t xml:space="preserve">Je suis très satisfaite de l'entretien téléphonique que j'ai eu avec MARIA, j'ai apprécié l'efficacité de répondre à mes diverses questions, ainsi que sa gentillesse et son amabilité, merci pour tout
</t>
  </si>
  <si>
    <t>brunus24-96721</t>
  </si>
  <si>
    <t xml:space="preserve">Tant que nous étions en contact avec notre agence de Périgueux en Dordogne, il n'y avait rien à reprocher, les conseillères étaient très avenantes et compétentes. Depuis plus d'un an c'est catastrophique, lamentable ! Vous n'avez jamais la même conseillère au téléphone.....L'une vous dit "blanc",  la seconde vous dit "noir", la suivante contredit les deux précédentes ! On vous promet de vous rappeler à plusieurs reprises, sans résultat... Personne ne répond aux mails que vous leur adressez. Trente jours jours plus tard, vous êtes dans l'expectative et l'interrogation? Aucune décence de vous rappeler !!! Et tout ceci avec une couverture santé (garantie plénitude tranquillité) à 200 € mensuel pour un couple !
A fuir impérativement sans se retourner, cette attitude sent très mauvais !!!!!!!!!!!!!! </t>
  </si>
  <si>
    <t>27/08/2020</t>
  </si>
  <si>
    <t>david-a-132605</t>
  </si>
  <si>
    <t xml:space="preserve">La souscription viable site est à améliorer. Sinon je suis satisfait du prix. L'offre est claire et accessible. Je recommande car cette assurance revient toujours  dans les comparateurs positivement 
</t>
  </si>
  <si>
    <t>jeans-49662</t>
  </si>
  <si>
    <t>Augmentation IMPORTANTE et automatique du Tarif apres 1 an. Très grande méfiance de l'assureur et de ses conseillers, même après des années sans accidents.</t>
  </si>
  <si>
    <t>28/11/2016</t>
  </si>
  <si>
    <t>01/11/2016</t>
  </si>
  <si>
    <t>camille-s-130658</t>
  </si>
  <si>
    <t>je regrette l impossibilité de joindre quelqu un
et ce n est pas rassurant pour une assurance c est pas le pied
existe t il une agence dans les hautes alpes?</t>
  </si>
  <si>
    <t>pierre-m-112415</t>
  </si>
  <si>
    <t>Je viens juste de m'assurer chez L'olivier. Je suis satisfait des prix et du service informatique à distance. Ensuite, si jamais, j'ai un souci, on verra bien s'ils tiennent leur engagement.</t>
  </si>
  <si>
    <t>yasmina2603-79464</t>
  </si>
  <si>
    <t>Si j avais pu mettre 0, je l aurais fait!Une bonne trentaine d appels pour n obtenir pour seule réponse  "je ne suis pas formé au logiciel" Lorsqu il s agit d'encaisser les sous en revanche,c est une autre histoire.Me réclame de prendre moi-même contact avec les experts alors que c est a eux de le faire.Mission quasi impossible!J ai pris Rdv deux fois avec les experts,Rdv annules deux fois par la fourrière pour encaisser des frais de gardiennage supplémentaires.Je préviens l assurance qui s en tamponne le coquillard.Et quand enfin on propose une offre d'indemnisation,je dois de nouveau faire le travail de l assurance en contactant l acheteur potentiel.Cerise sur le gâteau,je dois leur fournir les.cles d un véhicule sinistre que je ne possède plus,et qui se trouve a la fourrière depuis deux mois!J en suis a une bonne trentaine d appels pour savoir ce qu il se passe,une seule réponse "je ne suis pas formé au logiciel" le recommandé a votre entreprise et à mon avocat seront envoyés dès demain matin</t>
  </si>
  <si>
    <t>25/09/2019</t>
  </si>
  <si>
    <t>ffrancois-104395</t>
  </si>
  <si>
    <t xml:space="preserve">Au départ choisi pour ces prix attractifs, je me suis rendu compte que c'était une très bonne assurance. Lors de mes 2 sinistres, j'ai été guidé pas à pas pour les différentes démarches à faire. La plateforme sur internet est très facile d'utilisation. J'ai été surtout surpris par la qualité de la relation avec les services sinistres qui était à l'écoute et qui m'ont beaucoup aidé pendant les démarches. Evidemment, un sinistre n'est jamais facile à vivre surtout quand c'est votre première voiture (Comme mon cas) et quand j'ai subi mes 2 sinistres, le services sinistre m'a beaucoup rassuré et à été très clair sur quoi faire et comment. Aussi le service a été très rapide et directement j'ai pu envoyer ma voiture dans un garage agréé et je n'ai même pas eu à avancer l'argent. Je recommande vivement. </t>
  </si>
  <si>
    <t>vick-89327</t>
  </si>
  <si>
    <t xml:space="preserve">Budget très élevé concernant toutes les prestations. Avec garanties similaires, plus de 200€ d écart. Assurance maison  et Mutuelle très élevées pour des garanties similaires ailleurs. Réactivité des conseillers mauvaises </t>
  </si>
  <si>
    <t>02/05/2020</t>
  </si>
  <si>
    <t>01/05/2020</t>
  </si>
  <si>
    <t>pascal-l-131638</t>
  </si>
  <si>
    <t>Les prix me conviennent et tout est rapide est efficace maintenant à voir dans la durée si vous êtes une bonne assurance, j espère que vous êtes a l' écoute de vos client</t>
  </si>
  <si>
    <t>07/09/2021</t>
  </si>
  <si>
    <t>alexandre-t-124895</t>
  </si>
  <si>
    <t xml:space="preserve">Prix très attractif, le site est très bien fait. Maintenant à voir si les garanties et le service sera bien au rendez vous. En tout cas j ai gagné 50 pour-cent du prix par rapport à mon assurance alliance </t>
  </si>
  <si>
    <t>lolotte-85572</t>
  </si>
  <si>
    <t>Une bonne écoute, gestion de la demande efficace et rapide le tout avec une amabilité peu courante de nos jours je ne regrette absolument pas d'avoir changé mes assurances pour aller chez Pacifica</t>
  </si>
  <si>
    <t>07/01/2020</t>
  </si>
  <si>
    <t>philippe-nice-103221</t>
  </si>
  <si>
    <t>Je suis extrêmement déçu de l'incompétence de la Matmut à gérer les sinistres. En effet, mon père a été renversé, à Nice par une voiture. Police présente, identification de la conductrice, pompiers. Cela fait, maintenant, 2 ans que la MATMUT gère le dossier SANS RESULTAT. 2 ans et rien, quelle honte pour une société qui se veut mutuelle.
Qu'attendez vous? Jusqu'où votre cynisme vis à vis d'un homme de 85 ans, ira? Sur un autre dossier, cela fait plus de 2 ans qu'il attend une action de la Matmut, sur un dégât des eaux dans sa SDB, dont il a été victime. Encore une fois, aucune solution, aucune proposition, aucune relation client. J'oubliais, nous avons plusieurs contrats depuis 30 ans. Mais à quoi bon?</t>
  </si>
  <si>
    <t>25/01/2021</t>
  </si>
  <si>
    <t>micha95-63205</t>
  </si>
  <si>
    <t>Assuré depuis environ 20 ans à la MACIF. Un véhicule a démoli ma clôture la MACIF refuse de prendre en compte la totalité des dégâts, me demande de faire certains travaux moi-même. Quand je réclament me menacent de réduire mon remboursement. Quel comportement !</t>
  </si>
  <si>
    <t>12/04/2018</t>
  </si>
  <si>
    <t>guetat-l-110437</t>
  </si>
  <si>
    <t xml:space="preserve">les prix me conviennent 
le service est qualitatif. Informations claires précises et concises 
les prix me conviennent 
le service est qualitatif. Informations claires précises et concises </t>
  </si>
  <si>
    <t>14/04/2021</t>
  </si>
  <si>
    <t>taj-96412</t>
  </si>
  <si>
    <t>Bonjour, Ma sœur et moi sommes bénéficiaires d'une assurance-vie contractée chez AFER, par ma maman décédée le 14 décembre 2019. Notre dossier est complet depuis le 29 mai dernier nous avons réglé l'impôt fiscal sur ce capital et à jour malgré l'intervention de l'ancien conseiller Afer de ma maman, de mon Avocate, des nombreux mails, appels téléphoniques, recommandés, AFER reste muet. On ne veut tout simplement pas nous régler ce capital qui nous est dû. pour quelle raison ? placer son argent chez AFER c'est prendre le risque de ne pas en disposer en cas de besoin urgent comme c'est notre cas !!!! je fais appel au Directeur de Gestion GIE AFER,  de bien vouloir enfin faire le virement de ce capital sur nos comptes respectifs (merci de respecter l'article L132-23-1 du code des assureurs, prévoyant que le délai ne peut excéder un mois après réception des pièces, pour le versement du capital au bénéficiaire dudit contrat) !!! 
Aujourd'hui j'ai également déposé un dossier à UFC QUE CHOISIR de Cahors 46000.
C'est inadmissible de prendre les gens en otage de la sorte.</t>
  </si>
  <si>
    <t>19/08/2020</t>
  </si>
  <si>
    <t>mel-63929</t>
  </si>
  <si>
    <t>La pire mutuelle que j'ai eu de toute ma vie. Ça fait 3 mois que je me bat pour que ma fille ai sa mutuelle. On me fait tourner en bourrique depuis sa naissance début février. Service client clairement incompétent ! Qui ne rappel pas alors que c'est prévu, qui sont même pas capable d'écrire une date de naissance correctement. C'est la deuxième carte mutuelle fausse que je reçois et du coup forcément la teletransmission ne se met pas en place ! Remboursement pire qu'en retard voir inexistant pour certains. Le pire c'est que lorsqu'on réclame le remboursement d'une facture pharmacie, il me réponde que ce n'est pas des produits pris en charge par mon contrat. Depuis quand des compresses et de la biseptine ce n'est pas remboursé. De plus il me les ont remboursé sur d'autres factures. Comme quoi vraiment on a affaire à des incompetents. D'ailleurs ag2r. J'attends toujours l'appel promis de Catherine qui m'a encore zappé pour la énième fois !!! Vous devriez avoir honte de laisser un bébé de 3 mois dans cette galère. Depuis 3 mois je vous appel minimum tout les 10jours. Vous répondez toujours à côté de la plaque. Je dois en être à 40 euros d'hors forfait avec vos bêtises. Bref avec tout les soucis que vous me faite, je prépare la paperasse pour résilier mes contrats chez vous.</t>
  </si>
  <si>
    <t>11/05/2018</t>
  </si>
  <si>
    <t>ml-60859</t>
  </si>
  <si>
    <t xml:space="preserve">Aucun commentaire à ajouter
Contente du service toujours au téléphone et explications superbe très contente de votre service merci </t>
  </si>
  <si>
    <t>26/01/2018</t>
  </si>
  <si>
    <t>hic-130918</t>
  </si>
  <si>
    <t xml:space="preserve">Pacifica est en moyenne 20% plus chère que la concurrence. Donc si l'on choisit cette assureur c'est pour bénéficier de meilleures garanties.
Que nenni, lors d'un sinistre le cabinet d'expertise BCA est missionne et payé par les assureurs don't PACIFICA pour réduire au maximum le coût des réparations a la demande de l'assureur. Donc en conclusion choisir l'assurance la plus compétitive. </t>
  </si>
  <si>
    <t>02/09/2021</t>
  </si>
  <si>
    <t>pompiste-86413</t>
  </si>
  <si>
    <t>Bonjour, en arrêt maladie depuis le 23 octobre 2019 je n'ai toujours pas eu de complément de salaire. Le service contacté m'a dit que c'était à mon patron d'appeler. Il l'a fait et il lui a été répondu :" c'est en cours " en attendant ce que je touche de la sécu ne paye pas mes charges fixes. Ma banquière est sympa mais elle s'impatiente. Se sera la surprise ce mois ci encore.....</t>
  </si>
  <si>
    <t>28/01/2020</t>
  </si>
  <si>
    <t>christophebd1-50718</t>
  </si>
  <si>
    <t>Client chez eux depuis 15 ans (j'ai suivi naturellement l'assureur de mes parents après la conduite accompagnée), premier déplacement en agence Maif et le dernier. Tous mes contrats et ceux de ma compagne sont résiliés !
Voici l'histoire : Devis en ligne, prix exorbitant demandé pour une Audi (+1600€ d'assurance) alors que les autres assureurs sont plutôt autour de 900/1000€. Je me déplace donc en agence, quand j'essaie d'obtenir une petite ristourne étant client depuis 15 ans, ayant déjà 2 voitures+habitation et AUCUN sinistre déclaré depuis (0, NADA, peut être 1 bris de glace il y 7/8 ans), la conseillère me répond que "les tarifs sont calculés au plus juste et qu'aucune ristourne n'est consentie". Celle-ci met ensuite mon profil à jour qui en était resté à "étudiant". Et ses petits yeux s'illuminent quand j'indique que nous sommes 2 cadres du secteur privé et essaye illico de me vendre de l'assurance vie, une assurance décès etc...etc.. LA BONNE BLAGUE 2 minutes après m'avoir dit que je n'aurai pas 1€ de ristourne sur une berline premium ! Et le pire vous passez du coq à l'ane en 30 secondes (assurance auto, vie, décès tout y passe), on vous balance les feuillets de présentation et la signature doit suivre. Il est inadmissible d'avoir de tels conseillers aussi peu formés qui vous demandent votre patrimoine au milieu d'un open space!
INADMISSIBLE ! PLUS JAMAIS chez vous, vous n'aurez pas mon argent</t>
  </si>
  <si>
    <t>29/12/2016</t>
  </si>
  <si>
    <t>f-benhamouda-69891</t>
  </si>
  <si>
    <t xml:space="preserve">Vraiment déçu de cette assurance.
Enormément de mensonges concernant les commercial dans l'agence de Soissons!
Et maintenant ils nous résilient notre assurance auto alors qu'il ne sais rien passé du tout!
</t>
  </si>
  <si>
    <t>04/01/2019</t>
  </si>
  <si>
    <t>noemie-t-129949</t>
  </si>
  <si>
    <t xml:space="preserve">Je suis satisfait du service...
Les taris sont très attractifs...
Bon rapport qualité/prix ...
Je recommande maintenant à voir par la suite niveau prélèvement et ainsi de suite. 
</t>
  </si>
  <si>
    <t>28/08/2021</t>
  </si>
  <si>
    <t>dom14-79027</t>
  </si>
  <si>
    <t>50 ans d'expérience d'assureurs. Automobiles : 4 assureurs durant cette période. Je n'ai jamais, jamais été traité aussi mal. On me menace maintenant d'une résiliation à date anniversaire et d'une inscription au fichier central professionnel parce que leur service n'a pas reçu le mandat SEPA. Depuis l'envoi initial de mon contrat en décembre 2018, je me débats : aucun formulaire ne figurait dans les pièces jointes, donc pour eux LETTRE DE MENACE IMMEDIATE. j'ai proposé MOI-MEME par mail qu'ils m'envoient ce formulaire, me renvoie un mail en avril comme quoi c'est fait. J'ATTENDS ENCORE ce formulaire (et pourquoi ne pas l'envoyer par mail, je me suis renseignée cela existe mais quand je vois le manque de qualité de leur courrier, police désuète, traitement client datant du XIXème siècle). Alors que mes prélèvements s'effectuent sans incident, on me menace encore dans ce courrier de bien les continuer (SINON PANPAN CUCUL????). Eh bien, je vais être heureuse de terminer cette année d'assurance DISCOURTOISE (c'est un mot léger).</t>
  </si>
  <si>
    <t>07/09/2019</t>
  </si>
  <si>
    <t>laura2-68807</t>
  </si>
  <si>
    <t xml:space="preserve">Cela fais 3 ans que je suis chez Santiane et toujours contente de l efficacité il suffit simplement d appelé dans les temps ils prennent toujours soin de mettre en avant mes besoins avant un prix et surtout la possibilité de comparer d année en année ils expliquent tout </t>
  </si>
  <si>
    <t>21/11/2018</t>
  </si>
  <si>
    <t>thomasduran-101630</t>
  </si>
  <si>
    <t>Attention à ces rapaces !
Ils peuvent vous faire payer une assurance sur un bien qui n'existe pas ! Vérifiez bien vos compte car ils sont bien connus pour récupérer de l'argent dés que possible. Aucune possibilité de les contacter, seul des réponses automatiques sont transmises</t>
  </si>
  <si>
    <t>18/12/2020</t>
  </si>
  <si>
    <t>fontaine-70553</t>
  </si>
  <si>
    <t>C'est assurément la pire des assurances car c'est -à ma connaissance- une des seule à jouer sur la fibre militante. Au moins les autres n'ont pas la goujaterie de faire croire qu'ils vont accompagner les clients.
Dans le macaron de la MAIF est accolé "assureur militant", alors que comme le disait fort justement un contributeur il s'agit vraiment d'un "assureur défaillant". Mais tant qu'ils arriveront à faire croire aux grand public et aux médias que leur démarche est motivée par le bien-être de leurs sociétaires, ils auront partie gagnée. Pourtant ce ne sont vraiment pas des gens biens. Leur seule -réelle- motivation : gagner le plus d'argent possible.
Utilisons les réseaux sociaux pour révéler ce qu'est vraiment la MAIF....</t>
  </si>
  <si>
    <t>isa-68317</t>
  </si>
  <si>
    <t xml:space="preserve">Juste fuir cette assurance. Fuyez fuyez fuyez  
3 ans cliente. Je vis à létranger. Jai eu lannée dernière un très gros accident où jai faillit perdre la vie. 2 semaines dhopital reanimation etc. April na rien voulu savoir a fait traîner le dossier 1 an. Aucun remboursement alors que les frais médicaux dans mon pays sont chers. Une communication déplorable par email avec des gens basés au Mexique ... impossible de les joindre par téléphone. Il a fallu que je prenne un avocat ici pour me defendre et quils daignent me répondre par email. Pour avoir gain de cause mon avocat ma dit quil fallait en prendre un autre en France. plus le coût que ça engendre. Je nai pas les moyens. Jai reçu un email du Mexique dans un français très approximatif qui nous a plus fait penser à une traduction Google trad qua autre chose avec des réponses confuses. Ils ont fait traîner en longueur me demandant des explications quil était tout simplement impossible de leur donner. Ils ont noyé le poisson et tourner autour du pot pendant des mois.ils ne vous remboursent tout simplement pas le jour où vous avez un gros pépins. Tout ça maura coûté une petite fortune. En resume il faut être en bonne santé et ne jamais avoir daccident pour souscrire chez April.
Je suis prête à avertir les gens sur tous les sites comme celui ci. Cest inacceptable detre traité comme cela. </t>
  </si>
  <si>
    <t>04/11/2018</t>
  </si>
  <si>
    <t>a-guezou-58624</t>
  </si>
  <si>
    <t xml:space="preserve">ALERTE NE PAS ALLER CHEZ EUX !!
J'ai pris une assurance auto par téléphone, j'avais demandé à ce que l'on me détail ce que je prenais, le conseillé ne m'a pas dit que l'assurance Vol d'objet était à souscrire en plus, il ne me l'a même pas proposé, ne m'en a même pas parlé.
Du coup Bris de glace, vol d'ordinateur dans le coffre et rien de remboursé ou d'indemnisé mais tout est normal pour eux. Il aurait fallu que je le devine. Et maintenant je suis dans la panade. C'est juste inadmissible donc je change dès que possible. 
ALERTE NE PAS ALLER CHEZ EUX !!  </t>
  </si>
  <si>
    <t>06/11/2017</t>
  </si>
  <si>
    <t>francesco77-70971</t>
  </si>
  <si>
    <t>juste un petit problème de télétransmission sinon pas de problème, il a fallu plus 6 mois pour regler la télétransmission de mon épouse, le service est facile a contacter, et régler le problème rapidement dans certain cas. mais rien d'autre a dire.</t>
  </si>
  <si>
    <t>05/02/2019</t>
  </si>
  <si>
    <t>maxime--103630</t>
  </si>
  <si>
    <t>Bien et conciliant. Conseil et rassure. Prix abordable. Je conseil ce mutuelle à toutes personnes qui souhaite une bonne mutuelle. Je vous remercie. M</t>
  </si>
  <si>
    <t>03/02/2021</t>
  </si>
  <si>
    <t>sebastien-b-138236</t>
  </si>
  <si>
    <t xml:space="preserve">Je suis content d'avoir trouver enfin une bonne assurance pour mon quad merci pour tout les opstion que vous apporter pour que on soit en tout sécurité </t>
  </si>
  <si>
    <t>25/10/2021</t>
  </si>
  <si>
    <t>constantin-m-127247</t>
  </si>
  <si>
    <t>C’est parfait merci , dériveur rapide et efficace ,il n’y pas de souci ,fiable sans souci. ,les personnes sont agréables ils n’y a pas de problème ...</t>
  </si>
  <si>
    <t>mlamx-124040</t>
  </si>
  <si>
    <t>Pour un prêt relais le taux en % semble bas , mais les frais fixes (dossier et résiliation) sont importants, si vous envisagez un prêt relais sur une durée courte.
Quant au service client , il est tres mauvais. Vous lancez votre dossier avec votre agence , une personne que vous connaissez, qui a monté le dossier avec vous , et soudainement apparaît Sogecap.
Votre agence ne peut plus rien pour vous , elle aussi a du mal à les joindre. 
Dans mon cas un dossier de prêt relais donc court terme, bloqué 10 jours avant la signature , car le médecin conseil demande le compte rendu d’une opération du ménisque ….risible ….nous avons du repousser la signature de l’acte chez le notaire.
Temps d’attente super long au téléphone. 
La police des police chez Société Générale, l’administration qui fonctionne mal, la bureaucratie qui se cache ….c’est comme vous voulez , mais ils ont oublié qui est le patron.</t>
  </si>
  <si>
    <t>carlita-63843</t>
  </si>
  <si>
    <t xml:space="preserve">Assurée depuis 29 ans à la Macif, voici mon 4ème sinistre. J'étais assurée au tiers +++ et depuis 2008, je suis assurée tous risques pour un véhicule surcoté de 1993. Véhicule immobilisé pour expertise et sans doute ensuite pour remise en état, j'attendais un véhicule de prêt pour partir en vacances, maison louée et payée. C'était sans compter que mon contrat A003 se commue en "formule protectrice". Je ne bénéficie plus du prêt de véhicule !!! On m'indique que je n'en ai jamais bénéficié alors que jamais l'on ne me l'a proposé en option. Pour 38€ de plus par an alors que je paie déjà 850€ avec un bonus 50 + 10%, il est évident que j'y aurais souscrit. Mais si on ne me l'a pas proposé en option il  y a 10 ans, c'est qu'il n'en s'agissait pas d'une ! Macif préfère donc me prendre pour une dinde décérébrée plutôt que d'admettre une situation. L'assurance mutualiste n'a plus de mutualiste que le nom. Il semble que la fidélité ne paie plus... </t>
  </si>
  <si>
    <t>07/05/2018</t>
  </si>
  <si>
    <t>isa-105448</t>
  </si>
  <si>
    <t>les tarifs ne cessent de s'envoler de façon fulgurante même avec 50% de bonus depuis quelques années. Aucune possibilité de suspendre momentanément l'assurance (pendant la période de confinement). Des "options" obligatoires que l'on ne peut pas résilier "Save" et "Jurimotard"</t>
  </si>
  <si>
    <t>04/03/2021</t>
  </si>
  <si>
    <t>watoo7-77059</t>
  </si>
  <si>
    <t>Il y a toujours une condition qui fait que l'on obtiendra rien de la MAIF. Assuré depuis + 10ans chez eux je songe sérieusement à changer. Le service client est de plus en plus hermétique à toute demande les contrats sont de plus en plus obscurs et on ne sait plus vraiment ce pour quoi on est assuré..</t>
  </si>
  <si>
    <t>24/06/2019</t>
  </si>
  <si>
    <t>caro66-96951</t>
  </si>
  <si>
    <t>Il est dommage de ne pas pouvoir indiquer 0 étoile pour un non assureur, sinistre non-responsable survenu le 02/07 déclaré le 03/07 et depuis aucune nouvelle du service sinistre qui ne répond pas.....jamais...dépôt de réclamation.....aucune réponse. Passive assurance, juste capable d'encaisser les primes et de créer un foutu dossier, une galère pour récupérer la carte verte..incompétence de A à Z !!! plateformes_hot line très très lointaines qui ne répondent à aucune question......A fuir ...à déconseiller....passez votre chemin devant ces prix dérisoires, il n'y a rien, un océan de rien ....rien assurance !!!!</t>
  </si>
  <si>
    <t>02/09/2020</t>
  </si>
  <si>
    <t>cloe-d-121922</t>
  </si>
  <si>
    <t>Simple, efficace, droit au but, démarches simples à suivre. Site internet clair, j’ai pu compléter ma demande assez facilement en l’espace de 40 minutes.</t>
  </si>
  <si>
    <t>teichner-d-113368</t>
  </si>
  <si>
    <t>Satisfait, pour le moment
mise en place efficace
j'espere recevoir ma carte verte dans les plus brefs delais
en revanche je ne souhaite pas être recontacté par des compagnies partenaires</t>
  </si>
  <si>
    <t>11/05/2021</t>
  </si>
  <si>
    <t>sousou93220-85389</t>
  </si>
  <si>
    <t xml:space="preserve">Bonjour je suis chez la matmut depuis deux ans j'ai plusieurs contrats chez eux et je peux vous dire qu'il faut fuir cette compagnie car elle ne respecte pas ses clients service sinistre quasi inexistant délai de traitement monstrueux et aucune réponse à la demande 7 mois pour un remboursement optique caution prise et non rendu 3 mois sur j'attends pour un dégât des eaux je suis plus que déçu par la matmut </t>
  </si>
  <si>
    <t>cafe69-99506</t>
  </si>
  <si>
    <t xml:space="preserve">Bonjour
Très satisfaisant 
Bon prix, rapide et très à l'écoute. 
Dommage j'ai du quitté l'olivier après 6 mois d'ancienneté avec regrèt car elle n'assure pas mon véhicule au Maroc lors de mes vacances. 
Cdl
</t>
  </si>
  <si>
    <t>02/11/2020</t>
  </si>
  <si>
    <t>pybochent-90019</t>
  </si>
  <si>
    <t xml:space="preserve">Suite, a un accrochage entre un caddy et mon véhicule stationné, l'assurance demande une expertise par son bureau local, jusque la c'est correct... l'"expert" se rend sur le parking supposé et contrôle les caddys, mais n'estime pas nécessaire de venir vérifier le véhicule abîmé, les chocs etant sur deux emplacements différent sur le même coté du véhicule l'"expert" se détermine par deux chocs sur des objets fixe, en gros je suis un gros menteur qui veux soutirer les sous de l'assurance....
les photos avec un mètre démontre parfaitement la corrélation des deux chocs tout comme les photos du véhicule.
mais l'assurance se retranche derrière le rapport d'expertise et refuse l'indemnisation malgré une police couvrant la totalité des cas possible.
Bref pas moyen de se faire entendre a rendre fou un bonze thaïlandais. </t>
  </si>
  <si>
    <t>28/05/2020</t>
  </si>
  <si>
    <t>bob-86072</t>
  </si>
  <si>
    <t xml:space="preserve">Assuré depuis 1 semaine malheureusement on m'a percuté à l'arrière dans les bouchons alors que j'étais à l'arrêt cela arrive dégât matériel constat amiable ci-signé et très claire aucune responsabilité pour ma part assure tout risque 
L'expert est passé le chiffrage remonté le garage attend la prise en charge pr réparation Je suis expert contentieux direct assurance appartient à avanssur société d'actif rémunéré à la commission par Axa ce qui entraîne qu'elles font traîner les dossiers au maximum pr faire travailler l'argent en bourse retenez que la loi Badinter de 1985 si vous êtes non responsable et aucun doute ne subsiste la loi s'applique pour le conducteur donc obligé de vous présentez une indemnisation sous 3 mois et un mois pr payer pour dégât matériel d'autre part la convention IRCA inter assureur plafonne le non remboursement par l'assureur du tiers pour une somme de 6000 HT donc c'est pour la pomme de direct assurance d'où les délais long 
Alors ne craignez parce qu il s'agit du assurance ils ne sont pas infaible bcp de société peuvent vous aidez a avoir gain de cause de plus faite jouer les réseaux sociaux pour toucher un maximum de personne et faire chuter leur actif sur le long terme leur portefeuille va trembler sur insta j ai 27 K et snap 10 K faite fuir les futur client qu'ils aillent chez des vrai assureurs 
Je suis déçu parce que le service client m'a dit que peut être je ne serais pas pris en charge pour un sinistre ou je suis assuré tt risque sans aucune responsabilité choc de l'arrière et je suis à l'arrêt dans les bouchons constat ci signe et responsable identifié rassurez vous ils me fond pas trembler mais si je n'ai aucun contact dans la quinzaine je vais respecter les délais puis passer au chose sérieuse pour leur montrer que la vie n'est pas une salade de fruit 
 l'es réseau sociaux éloignez le Max de gens 
 j'attend 15 jours pr voir si ça bouge car mon dossier est vraiment simple ils ont tt l'es document dans les délais meme pas ils vous appellent votre argent et leur actif ce ne sont pas des assureurs mais des financiers Ms je vais patienter un peu pr voir si ils vont envoyer la prise en charge au garage 
La conseillère normal m'a dit il est possible qu'on vous prend pas en charge  elle peut dire sa a un amateur malheureusement ils sont mal tombés </t>
  </si>
  <si>
    <t>19/01/2020</t>
  </si>
  <si>
    <t>delphine-51553</t>
  </si>
  <si>
    <t>Cette mutuelle ne pratique pas le tiers payant.
J'ai du payer 1300€ de frais d'hôpitaux suite à une intervention chirurgicale.
Une lenteur sans nom pour les remboursements ; plus long que la sécurité sociale, il leur faut plusieurs semaines c'est inadmissible</t>
  </si>
  <si>
    <t>23/01/2017</t>
  </si>
  <si>
    <t>gloria02-57130</t>
  </si>
  <si>
    <t>Ils me gont suer!!!tous les appels téléphoniques et les aller retour au Cyber pour envoyyer les documents a plusieurs reprises depuis +de 1 semaine !!!temps et argent escence perdus et toujours pas de carte verte pour voyger!!!</t>
  </si>
  <si>
    <t>06/09/2017</t>
  </si>
  <si>
    <t>desessard-p-125949</t>
  </si>
  <si>
    <t>très rapidement fait Je suis satisfait l Olivier assurance nous a été recomander par notre gendre qui est déja client chez vous MERCI Cordialement P DESESSARD</t>
  </si>
  <si>
    <t>allexis-79883</t>
  </si>
  <si>
    <t>Alors vous effacer et me bloquer pour par que vos méthodes se sache pas grave je vais 
j'avais un bris de glace est et une facture  acquittée ( chèque déposée au garagiste mais pas encaissé en attendant votre paiement ) et vous m'avez obligé à vous donner la preuve de débit sur mon compte bancaire. ( capture d'écran joint) 
Je vous envoie un mail avec la preuve que j'ai payer 1196.52 et depuis le 20 avril plus de nouvelles et moi plus de sous pour nourrir ma famille je vais vous faire un procès car vos méthodes son inhumaine.</t>
  </si>
  <si>
    <t>06/05/2020</t>
  </si>
  <si>
    <t>renard-63666</t>
  </si>
  <si>
    <t>a ignorer n'enregistre pas vos paiements par chèque et si vous déclarer un sinistre vous déclarer résilier.car pas de suivi dans leur comptabilité. Un paiement par C.B pour août septembre octobre novembre, le chèque de septembre remis en banque par eux en novembre n'admette pas que celui ci peut être considérer pour décembre et reçu mise en demeure,en janvier hasard chèque non enregistré février mars oui avril on me le renvoie avec un courrier avec n° de contrat, téléphone adresse société non signe et demandant de faire parvenir l'exemplaire des conditions particulières  mystère car ils sont incapables de fournir une explication.</t>
  </si>
  <si>
    <t>30/04/2018</t>
  </si>
  <si>
    <t>stephanie-d-128541</t>
  </si>
  <si>
    <t>Je suis satisfaite de la rapidité a souscrire un contrat d'assurance automobile. Les prix sont d'un bon rapport qualité prix.
J'attends avec impatience ma vignette verte</t>
  </si>
  <si>
    <t>kj60-69224</t>
  </si>
  <si>
    <t>une assurance qui augmente chaque année depuis 25 ans qui a jamais rien payé en 23 ans et qui rechigne de payé quand 2 année de suite il y a un sinistre</t>
  </si>
  <si>
    <t>07/12/2018</t>
  </si>
  <si>
    <t>phil-105030</t>
  </si>
  <si>
    <t xml:space="preserve">Super mutuelle. Dommage que je dois la quitter pour une autre mutuelle obligatoire. La mgp reste pour nous la meilleur de toute. Les lois sont mal faites. </t>
  </si>
  <si>
    <t>alban-p-107436</t>
  </si>
  <si>
    <t>J'ai changé d'assurance sans soucis. Direct Assurance s'occupe de résilier les anciens contrats, ce qui est confortable. Les prix sont très corrects par rapport aux garanties.</t>
  </si>
  <si>
    <t>roselyne-l-133004</t>
  </si>
  <si>
    <t>Je suis satisfait du tarif. 
On a du mal à vous joindre par téléphone toutefois en cas de sinistre. Ce serait bien de avoir une ligne exclusivement pour les sinistres</t>
  </si>
  <si>
    <t>gabriel-d-134983</t>
  </si>
  <si>
    <t>je suis très satisfait du service niveau prix rapidité réactivité
j'espère que ce sera pareil si problème avec le véhicule. je souhaite donc recommander votre entreprise</t>
  </si>
  <si>
    <t>ammari-n-127880</t>
  </si>
  <si>
    <t xml:space="preserve">1er Acceuil telephonique terriblement positif , 2eme appelle qui me confirme le caractere exceptionnelle de vos courtier assurance ou mafois mes inyerlocuteur . Merci encore pour leurs parience .
</t>
  </si>
  <si>
    <t>chemam-m-137450</t>
  </si>
  <si>
    <t>Parfait mais dommage de ne pas pouvoir souscrire au tout risque en plaque provisoire. Pour les prix c'est plus que correct, pour le soutien en ligne également.</t>
  </si>
  <si>
    <t>dylan-t-110223</t>
  </si>
  <si>
    <t xml:space="preserve">Très bien je recommande cette assurance pas cher est très bien  
Merci cordialement 
Je vais pouvoir rouler je suis très content de ne pas payer si chère que sa </t>
  </si>
  <si>
    <t>13/04/2021</t>
  </si>
  <si>
    <t>rose-mina-o-114361</t>
  </si>
  <si>
    <t xml:space="preserve">satisfaite des services proposer 
rendez vous rapide a avoir
très bon accueil
employé à l'écoute et sais conseillé dans les démarche a faire lors des rendez vous
</t>
  </si>
  <si>
    <t>20/05/2021</t>
  </si>
  <si>
    <t>maurine-d-117434</t>
  </si>
  <si>
    <t xml:space="preserve">Je suis satisfaite du service. Je ne comprend pas comment les prix peuvent augmenter chaque année alors que mon bonus augmente également, qu'avec le confinement, les gens ont moins circuler donc moins d'accident, la taxe attentat n'a pas eu lieu d'être cette année. J'étais venu chez vous car vous étiez un des moins cher du secteur (pour la voiture et la maison) mais au final chaque année cela augmente. </t>
  </si>
  <si>
    <t>tempo-86175</t>
  </si>
  <si>
    <t>Client chez eux depuis plus 1 ans nous déménageons dans les dom donc nous vendons notre voiture. Tous va bien il résilie le contrat après plusieurs pièces justificatives demandés bon cela reste compréhensible. Pensant finir avec tous sa et prendre une assurance arrivé cest la que tous commence nous demandont alors un releve informations pour la nouvelle assurance et la ce fût le choc pour nous on contaste un sinistre datant du mois de mars 2019 hors que nous sommes au mois de octobre 2019.donc nous appelons de suite le service client qui dit quil y a un dossier qui a ete ouvert a notre demande nous informons que nous avons jamais eu de sinistre et que cela nest pas possible. Il décide de nous passer le fameux service sinistre qui nous explique quil y a une personne qui a eu un accrochage nous ne savons pas si cest un accrochage ou autres avec nous et qui a déposé un constat avec son assurance qui est donc revenu vers eux au fin septembre 2019 au moment de la demande de résiliation je precise. Trouvant cela assez louche vu que laccident a eu lieu en mars 2019 et que lassurance adverse ouvre le dossier en septembre 2019 nous demandons des informations sur ce sinistre et la elle nous informe quelle nas que cette date pas de lieu mais quand même une responsabilité a 100 donc déjà si ils nont pas plus informations comment dire que jai 100 tort  on lui demande qui est assurance adverse et la elle nous dit que cela est confidentiel. Je lui explique la situation quon a déménagé hors France Métropolitaine et que nous avons acheté un véhicule ici mais avec ce sinistre le prix assurance est bien élevé sachant que nous navons pas eu ce sinistre et il possible appelé la partie adverse et savoir un peu plus elle me répond que cela nest pas possible quils ne fonctionnent uniquement par mail.elle nous demande donc de contester par mail chose faite. Le service prend énormément de temps pour revenir vers nous je décide de rappelez et la ce qui était confidentiel commence à ne plus être elle nous dit le nom de l'assurance adverse donc déjà les personnes se contredisent. A ce jour nous Sommes toujours en attente dinformations sur ce sinistre et surtout quil régule mon relevé informations</t>
  </si>
  <si>
    <t>21/01/2020</t>
  </si>
  <si>
    <t>gillesjer-50469</t>
  </si>
  <si>
    <t xml:space="preserve">Assure tius risques : Un pare brise cassé et des coups de clé (peinture porte a refaire) et je suis viré comme un malpropre.
Un assureur juste bon a prendre l argent et qui vous vire lorsque qu il y a un probleme. </t>
  </si>
  <si>
    <t>19/12/2016</t>
  </si>
  <si>
    <t>jaipatouvu-67380</t>
  </si>
  <si>
    <t>Bonne assurance mais un peu chère pour une mutuelle.</t>
  </si>
  <si>
    <t>05/10/2018</t>
  </si>
  <si>
    <t>vannida-p-107146</t>
  </si>
  <si>
    <t>Je suis satisfaite du service.
Vous êtes de bon conseil.
Vos tarifs sont intéressants.
Vous êtes réactif par rapport aux demandes que je vous ai faites</t>
  </si>
  <si>
    <t>19/03/2021</t>
  </si>
  <si>
    <t>balavaux-55961</t>
  </si>
  <si>
    <t>Compagnie menssongère, aprés avoir cotisé 7 ans sur un contrat prévoyance obsèque, cette compagnie arrété les prélèvement eux même, impossible de dialogué afin qu'ils rétablissent leurs erreurs, 5 mois aprés sans réaction de leurs parts il m'a fallut demander le rachat qui fut versser 10 jours aprés la demande, bref ils nous font cotisé et avant la fin du contrat ils font en sorte qu'il y a des erreurs pour nous dégouté et demander le rachat qui bien entendu sont à leurs profit, donc méfiance voir à éliminé</t>
  </si>
  <si>
    <t>19/06/2019</t>
  </si>
  <si>
    <t>vero-87256</t>
  </si>
  <si>
    <t xml:space="preserve">En réalité, contraignant et rigide : Pas de conducteur occasionnel.  Des modifications à la main des conseillers qui n'écoutent pas ou ne comprennent pas.   En terme de tarif, vous avez choisi votre type de clientèle ( sans risque évidemment ) et n'êtes pas si compétitif que ce vous voulez le laisser entendre </t>
  </si>
  <si>
    <t>valy92-100749</t>
  </si>
  <si>
    <t xml:space="preserve">Totalement satisfaite. Praticite, rapidite et suivi dossier optimum. Accueil telephonique professionnel et interlocutrice tres agreable. Finalement, nous avons souscrit un deuxieme contrat auto. </t>
  </si>
  <si>
    <t>29/11/2020</t>
  </si>
  <si>
    <t>nono1961-79172</t>
  </si>
  <si>
    <t>a éviter absolument on regrette d'être partie de chez AXA d'ailleurs on est retourné car l'interlocuteur de pacifica ma rétorqué et bien si vous n'êtes pas content partez he ben c'est se qu'on a fait en fait pacifica en fait vous payer mais il ne faut surtout pas avoir de sinistre un conseil ne changez pas votre assurance sans lire les commentaires et pourtant on avait 4 contrats</t>
  </si>
  <si>
    <t>13/09/2019</t>
  </si>
  <si>
    <t>meriam-t-105971</t>
  </si>
  <si>
    <t xml:space="preserve">Au fil du temps, je pensais payer mon assurance moins chère mais sa reste au même prix.
Niveau clientèle, je reste satisfaite dans la globalité.
Cordialement  </t>
  </si>
  <si>
    <t>dawnspeed-90079</t>
  </si>
  <si>
    <t>Suite à un sinistre, l'expert a entièrement rejeter la faute sur moi.
Il à fallu se battre auprès de l'expert, pour obtenir satisfaction.
Etant tout risque, si je me serais laisser faire, 9000 € de réparation à payer plein pot de ma poche !!!
Pour prendre votre argent, aucun soucis, par contre, en cas de sinistre on essaie de vous dédommager le moins possible.</t>
  </si>
  <si>
    <t>30/05/2020</t>
  </si>
  <si>
    <t>christophelandes-98211</t>
  </si>
  <si>
    <t>Nullissime.... le site web ne fonctionne jamais, il refuse les identifiants tout le temps, même en changeant le mot de passe via "mot de passe oublié" il le refuse en suivant.
Personne ne réponds au téléphone et quand par miracle , une personne répond, elle affirme que la demande est prise en compte et que je vais avoir une réponse..... réponse qui ne vient jamais, ni par mail, ni par courrier ni par téléphone....
A fuir absolument si vous pouvez, mais, pour les mutuelle d'entreprise obligatoire et souscrites par l'employeur, nous sommes prisonnier de leur bon vouloir....
Leur nouvelle excuse, c'est le covid et le télétravail qui explique le retard. Sauf depuis 8 ans , cela a été toujours ce genre de problème.
c'est un service mutuelle prévoyance totalement minable.</t>
  </si>
  <si>
    <t>nicolas-m-118024</t>
  </si>
  <si>
    <t>Je suis satisfait des services proposés que ce soit les tarifs où la prestation téléphonique je suis un client satisfait rien à dire d'autre que la satisfaction</t>
  </si>
  <si>
    <t>23/06/2021</t>
  </si>
  <si>
    <t>nadine-117369</t>
  </si>
  <si>
    <t>Bonjour,
suite à conversation téléphonique avec Widad j'ai eu tous les renseignements qu'il me fallait elle a été très professionnelle c'est parfait
Nadine</t>
  </si>
  <si>
    <t>elise9509-103986</t>
  </si>
  <si>
    <t>Prise en charge hospitalière non reçue par la clinique, j'ai dû payer la facture. Depuis 3 semaines après l'envoi de cette facture, aucun remboursement n'a été effectué !!!</t>
  </si>
  <si>
    <t>hedi-h-131970</t>
  </si>
  <si>
    <t>Depuis maintenant 2  Années assurée chez AMV Je n'ai jamais eu de soucis que ce soit avec le service client par téléphone ou par mail ça toujours était très clair  Je suis plus que satisfait je les recommande fortement pour une assurance  Moto</t>
  </si>
  <si>
    <t>degremont-g-135891</t>
  </si>
  <si>
    <t xml:space="preserve">Les prix des cotisations sont très intéressantes, le service téléphonique est agréable et explique bien les différents points à savoir lorsqu'on souscrit chez un assureur. </t>
  </si>
  <si>
    <t>calleri-a-108634</t>
  </si>
  <si>
    <t>Les informations sont très claires, les prix très attractifs. L'interlocutrice a répondu à toutes mes questions. La démarche est rapide et sans problèmes. Satisfait.</t>
  </si>
  <si>
    <t>31/03/2021</t>
  </si>
  <si>
    <t>becassier-52162</t>
  </si>
  <si>
    <t>Pacifica est une bonne assurance . J'y suis assuré depuis plus de quinze ans.</t>
  </si>
  <si>
    <t>07/02/2017</t>
  </si>
  <si>
    <t>celine-c-124932</t>
  </si>
  <si>
    <t>Je suis satisfaite de mon espace GMF (facile d'utilisation pour l'impression des attestations) cependant je ne suis pas contente pour mon assurance GMF risque spécifique car pas d'accès compte internet .</t>
  </si>
  <si>
    <t>27/07/2021</t>
  </si>
  <si>
    <t>elobx33-94786</t>
  </si>
  <si>
    <t xml:space="preserve">Catastrophique !!! la mensualité a augmenté de 66% et les conseillers du service qualité, ainsi que leur responsable ne prennent meme pas la peine de traiter le problème, pire ... il raccrochent au nez si vous demandez un responsable </t>
  </si>
  <si>
    <t>florian-b-135271</t>
  </si>
  <si>
    <t xml:space="preserve">Merci satisfait pour l'instant en espérant ne pas avoir de surprise et je vous assure que je ferait très attention à ne pas avoir d'accidents sous ma responsabilité merci </t>
  </si>
  <si>
    <t>nenette-62259</t>
  </si>
  <si>
    <t>dans l'ensemble je suis assez satsfaite de cette mutuelle ,juste qu'il faut qu'il cirrige au plus vite la mise à jour de leur logiciel informatique sur l'espace adhérent car depuis janvier 2018 je suis bien à jour de toutes mes cotisations mais sur l'espacs adhérent il mette que je suis débiteur et effectivement au téléphone ils ont confirmer un problème de logiciel informatique et qu'ils allaient faire le nécessaire pour corriger cela.</t>
  </si>
  <si>
    <t>13/03/2018</t>
  </si>
  <si>
    <t>charly75-89847</t>
  </si>
  <si>
    <t>J'ai fait un avenant à mon contrat, ils m'avaient indiqués que mon tarif annuel était désormais de 570€ / an.. hors c'était en fait le tarif intégrant le pro-rata, le conseiller vient de m'en faire prendre conscience 6 mois après. Je recalcule donc que mon nouveau tarif annuel devrait donc être de 670€ / an. Hors, quelle surprise, je viens de recevoir un avis d'échéance de 870€ /an, sous prétexte que j'ai eu un accident non responsable (une dame a ouvert sa portière sur mon véhicule, et on a rempli un constant.) Incompréhension totale et opacité totale lors de mon échange avec le service client à ce sujet.</t>
  </si>
  <si>
    <t>22/05/2020</t>
  </si>
  <si>
    <t>marianne-l-105712</t>
  </si>
  <si>
    <t>je suis satisfaite du service pour l'instant. Je n'ai pas eu confirmation du contrat encore. La personne était aimable. les mails arrivent rapidement.  rien de plus à signaler</t>
  </si>
  <si>
    <t>06/03/2021</t>
  </si>
  <si>
    <t>elt-53157</t>
  </si>
  <si>
    <t>Problème pas compliqué : envoyer une nouvelle carte verte suite à un changement d'immatriculation. 1 mois 1/2 que j'attends. J'appelle toutes les semaines, on me réponds que ça va arriver, je reçois des mails comme quoi l'envoi est fait mais toujours rien dans ma boite aux lettres ! 
C'est pourtant pas compliqué : imprimer un document, le mettre dans une enveloppe et l'envoyer.
Je n'ai jamais vu un service aussi incompétent !!! J'ose imaginer vos solutions si j'ai un accident ????
Par contre pour vous harceler au téléphone, 15 fois/semaine pour vous vendre d'autres assurances, là ils sont forts !
Bref FUYEZ !!!</t>
  </si>
  <si>
    <t>10/03/2017</t>
  </si>
  <si>
    <t>sygati-76329</t>
  </si>
  <si>
    <t>aujourd'hui j'ai voulu appeler un conseiller pour me faire un devis complémentaire santé (option optimum)</t>
  </si>
  <si>
    <t>29/05/2019</t>
  </si>
  <si>
    <t>01/05/2019</t>
  </si>
  <si>
    <t>arbuste33-62091</t>
  </si>
  <si>
    <t>Assurance éccesivement chère pour un débutant avec une auto de 95 ch, j'avais du racheté une voiture moins puissante.. et l'agent de la Macif m'avais glissée dans le contrat sans me le dire un garantie décès et une assurance habitation, ce fut un cauchemar pour l'enlever.</t>
  </si>
  <si>
    <t>14/03/2018</t>
  </si>
  <si>
    <t>allison-a-125686</t>
  </si>
  <si>
    <t xml:space="preserve">Un peu cher pour les jeunes chauffeurs qui décide de prendre une voiture récente avec de la puissance,Sinon le service clients et super.
Merci à bientôt </t>
  </si>
  <si>
    <t>30/07/2021</t>
  </si>
  <si>
    <t>mandrin-134250</t>
  </si>
  <si>
    <t xml:space="preserve">J'ai reçu mon échéance, et surprise +220€ alors que j'ai 50% de bonus et aucun sinistre. Appel au service clientèle qui n'a pas de réponse à m'apportée mais qui veut bien me faire une remise de 110€. Aurevoir l'olivier et à jamais... petit conseil surveillé bien vos avis d'échéances! </t>
  </si>
  <si>
    <t>michoo86-54300</t>
  </si>
  <si>
    <t>Payé au complet decembre envoyé tous les docs sauf preuve. Preuve de bonus malus envoyé en retard mais le bonus max, pas de sinistres. Par temps de temps j’ai reçu um mail qui dit “Aucune action n'est nécessaire de votre côté la balle est dans notre camp. Nous vous préviendrons dès que votre demande vos documents auront été traités.” Ils ont ignoré mails demandant mon contrat et certificat, contacts sur le ‘mon espace perso’ et n'a pas répondu au téléphone. Hier, j'ai téléphoné et un homme a répondu, j'ai posé des questions sur mon contrat il a dit "un instant" et m'a laissé entendre un message enregistré pour 35 minutes et ne sont pas revenus. J'ai essayé d'appeler à nouveau pour 40 minutes à écouter le message enregistré sans réponse du conseiller. Ensuite, j'ai regardé mon contrat page sur leur site et il dit avenant de contrat. J'ai reçu un mail disant que mon faits avait changé et était attaché un nouveau formulaire complété à signer avec exactement les mêmes informations que décembre sauf pour la date, et ils veulent un autre paiement annuel le même que j'ai fait en décembre. Mes faits sont exactement les mêmes que l'an dernier. Ma femme et que j'ai conduit des voitures assurées pendant 50 ans, propres licences, sans sinistres. Pourquoi ai-je été traité comme cela ? Mon conseil si vous envisagez l'assurance de l'Olivier, de ne pas        contrat 1080141338</t>
  </si>
  <si>
    <t>26/04/2017</t>
  </si>
  <si>
    <t>marigoi-110060</t>
  </si>
  <si>
    <t>Je cherchais une assurance voiture tous risques,  mais au kilométrage car nous ne roulons plus beaucoup -  Avec tact et connaissances approfondies de ses produits,  la dame que j'ai eu en ligne m'a démontré efficacement qu'il était préférable de conserver notre assurance tous risques actuelles -   compliments pour son professionnalisme et sa gentillesse -   Sinon, j'ai en cours un litige pas très élevé au niveau des remboursements à nous accorder,   je souhaite vivement que le service assurance habitation responsabilité civile soit aussi efficace -  Il m'est dit que les téléviseurs qui chutent ne sont pas pris en charge par la MACIF alors que je lis le contraire sur votre contrat ???   j"aimerais comprendre -   D'autant que vous allez vous retourner vers l"assurance du responsable ...-Néanmoins,  si cela devait nous arriver à nouveau pour le téléviseur salon  plus onéreux , j'aimerais savoir si,   OUI ou NON  l'assurance habitation couvre ce genre de chose -  Sinon nous sommes de vieux clients,   une trentaine d'années d'anciennete presque... et nous n'avons jamais eu à nous plaindre de la MACIF -  Bonne journée  Meilleurs sentiments  MME GOIX Bernard   Sociétaire 0766044</t>
  </si>
  <si>
    <t>coco220522-104332</t>
  </si>
  <si>
    <t xml:space="preserve">Je suis satisfaite de cette mutuelle. Service client agréable et compétent. Site internet très pratique pour l'envoi de documents. Prix raisonnable par rapport aux montants des remboursements. </t>
  </si>
  <si>
    <t>turfi94-56696</t>
  </si>
  <si>
    <t>Prix les plus bas du marché pour une qualité relationnelle nulle .</t>
  </si>
  <si>
    <t>18/08/2017</t>
  </si>
  <si>
    <t>nikko-72039</t>
  </si>
  <si>
    <t xml:space="preserve">Bonjour, 
Je tiens à mettre en garde tous les futurs clients de L'olivier quant à leur politique de tarification très agressive. 
En effet, ils proposent des tarifs très avantageux sur tous les comparateurs du net ... mais faites très attention à l'augmentation de vos primes et franchises en cas de sinistre.
A titre d'exemple, voici mon cas personnel : je souscrit en Avril dernier chez eux avec un bonus de 50%. Malheureusement dans l'année, j'ai un sinistre responsable et un bris de glace.
Mes franchises et prime d'assurance ont tout simplement doublées cette année !! Et oui, tout est multiplié par 2 !!! 
Je m'attendais simplement a être sanctionné par l'augmentation de mon malus, mais non, la cotisation de base et les franchises sont allègrement revue à la hausse (fois 2)
Bref ... réfléchissez bien avant de signer !
</t>
  </si>
  <si>
    <t>11/03/2019</t>
  </si>
  <si>
    <t>fernandes--134635</t>
  </si>
  <si>
    <t xml:space="preserve">Bonjour 
Je suis tombé en panne au Portugal, et quelle expérience ! J’ai déposé mon véhicule au garage le mardi 14 septembre j’ai appelé j’ai dû appeler l’assistance MACIF  et insisté pour l’ouverture d’un dossier : F 1E25 98 40 Et puis c’est tout ! PAS de prise en charge  retour domicile PAS le droit À la prise en charge du retour sur le lieu de villégiature, PAS de véhicule de remplacement ! 
J’ai récupéré mon véhicule le vendredi 14, il est entendu que le garage m’a facturé quatre jours de location (avais-je le choix ?)
Puis j’ai appelé l’assistance de ma carte bancaire visa premier de la BCP (peut-être mondial assistance) Et après une bonne heure de balade  téléphonique de service en service, Après avoir eu quelqu’un au téléphone qui a noté l’immatriculation de mon véhicule la communication a coupé ! charmante expérience ! 
Si vous n’avez besoin de rien, et du temps à perdre appeler les !!
</t>
  </si>
  <si>
    <t>pavelk-66919</t>
  </si>
  <si>
    <t>Le service est pratiquement injoignable</t>
  </si>
  <si>
    <t>18/09/2018</t>
  </si>
  <si>
    <t>rila-52092</t>
  </si>
  <si>
    <t xml:space="preserve">Bonjour à vous ; je ne sais comment vous agissez pour obtenir un relevé d’infos lorsque vous êtes obligé de résilié votre contrat (pour incompétence d’Axa) mais je ne sais comment faire ! L R envoyé le 9/05, A R reçu 15/05 
TOUJOURS S	ANS REPONSE au 10/06 .   si …….si 
									AXA France IARD
						             313 TERRASSE DE L’ARCHE 
								    92727 Nanterre cedex 
Je décide de changer de voiture ce qui m’entraine à vous consulter au sujet du prix de l’assurance, j’ai téléphoné 6 fois (0970821010) pour entendre continuellement le même ‘’bla bla ‘’ taper 1 puis re 1 etc……..15mn d’attente ……a 23mn la dernière fois je me suis dit ‘’j’arrête’’ peut être qu’il y a des compagnies d’assurance plus respectueuses ou plus facilement contactables ?? J’ai encore des remords (il est vrai que je suis assuré à AXA partenaire depuis 1977) je fais 0173180979 et oui manque de chance elle n’est pas du tout au courant de mon dossier et ne peut rien faire.
J’envoie une demande de tarification le 21/04 en donnant toutes les coordonnées de la voiture, TOUT, j’attends toujours ????? J’essaie le 0164734388, je suis dégouté 
La nouvelle voiture est arrivée ……. AXA a réussi à m’user.
Tant d’autres mon envoyés leur devis SANS AUCUN PROBLEME peut-être sont-ils un peu plus cher ?????????? Mais serviable et en un coup de téléphone (le rêve) je m’assure dans une autre compagnie CONTACTABLE pour aller chercher ma voiture, pas le choix, je n ais toujours pas de réponse !!!!!! sur RIEN.
Ah j’ai oublié, j’ai demandé le 26/04 un relevé d’infos qui est toujours sans suite, ……….normal en fonction de ce que je viens d’expliquer. Cette lettre est également une demande de me l’envoyer par retour de courrier 
Tout ceci pour vous expliquer la résiliation du contrat cité en référence et la demande de ristourne de la prime non utilisée (3jours) dans les 15 jours qui suivent l’ accusé de réception ensuite je m’occuperais d’informer mes amis ainsi que toutes les personnes susceptibles d’être intéressées .
A cela se joint un sinistre précèdent de clause ‘’défense et Recours’’ R.C. géré lamentablement d’un règlement qui a trainé dans vos bureau pendant un petit mois ,repondu par mensonge pour ce justifié 
</t>
  </si>
  <si>
    <t>10/06/2017</t>
  </si>
  <si>
    <t>marcoucha-85919</t>
  </si>
  <si>
    <t>inadmissible, en arrêt depuis le 26 septembre, j'attend toujours mon complément de salaire. A chaque appel, mon dossier est en étude. On me demande mes relevés d'indemnités journalières mais le fait de les envoyés repoussent le traitement du dossier de 3 semaines. Aucun appelle de leur part, aucun mail. Si on appelle pas, on ne sait rien.</t>
  </si>
  <si>
    <t>15/01/2020</t>
  </si>
  <si>
    <t>gilles-81-105702</t>
  </si>
  <si>
    <t xml:space="preserve">Depuis le 20 janvier 2021 j'attends une prise en charge pour des aides auditives. J'ai reçu un mail m'accusant réception de ma demande. A ce jour le 7 mars 21 toujours aucune réponse malgré trois appels au service réclamations avec â chaque fois la promesse d'une reponse imminente.
Mutuelle à fuir absolument et au plus vite.
</t>
  </si>
  <si>
    <t>mamie--121513</t>
  </si>
  <si>
    <t xml:space="preserve">Nouvellement assurée   tres satisfaite de mon échange avec EMELINE 
Explications claires   intervenante  efficace et très sympathique   c est rassurant </t>
  </si>
  <si>
    <t>29/06/2021</t>
  </si>
  <si>
    <t>boughlam-y-130614</t>
  </si>
  <si>
    <t xml:space="preserve">Je trouve que les frais de dossier sont vraiment excessifs 100€ pour souscrire c’est légèrement exagéré et 15€ pour changer d’adresse alors que sa prends 30 secondes moyen aussi mais pas le choix de payer </t>
  </si>
  <si>
    <t>marie-agnes-b-121376</t>
  </si>
  <si>
    <t>Je suis satisfaite du service. J'apprécie la simplicité et la rapidité des réponses dans dans le traitement des demandes d'attestations.. Bons conseils.</t>
  </si>
  <si>
    <t>christophe-b-121516</t>
  </si>
  <si>
    <t xml:space="preserve">bonjour très satisfait des prie proposser par direct assurance et a la personne qui ma conseiller pour assurance voiture et l'habitation  merci a direct assurance </t>
  </si>
  <si>
    <t>jalal-a-124589</t>
  </si>
  <si>
    <t xml:space="preserve">Simple efficace et abordable mais quelques soucis de serveur qui a corriger pour plus de fluidité . Sinon le site et très explicite et il est facile pour n’importe qui de souscrire chez vous </t>
  </si>
  <si>
    <t>vedel-j-129730</t>
  </si>
  <si>
    <t>Tres satisfait de la methode d'etre assuré! Si seulement toutes les assurances pouvaient etre aussi simple. Merci encore des tres bons tarifs et de la simplicité pour s'assurer.</t>
  </si>
  <si>
    <t>27/08/2021</t>
  </si>
  <si>
    <t>zabou-104400</t>
  </si>
  <si>
    <t xml:space="preserve">Résiliée par la gmf suite à 3 sinistres non responsables en 2 ans on m'a conseillé l Olivier assurance. Après un devis sur internet et une conversation téléphonique avec une opératrice j'ai signé sans hesitation... Prix sensiblement identique à la gmf pour des garanties pratiquement équivalentes même si les franchises sont un peu élevées. Moi qui pensais avoir du mal à retrouver un assureur et avoir une surprime énorme... </t>
  </si>
  <si>
    <t>xav83870-60951</t>
  </si>
  <si>
    <t>Suprise suprise :-) Qu'est ce qui se cache derrière cette pub de la MAAF? 
Un conseille d'ami ne surtout pas vous assurer à la MAAF, auto ou autre...
amabilité = 0
conseille = 0
sens du service = 0
donc la note est de 0/20
Merci pour cette pub à la con qui me fait bien rigoler, d'une stupidité exemplaire ! bravo la MAAF, à oublier trés vite .</t>
  </si>
  <si>
    <t>30/01/2018</t>
  </si>
  <si>
    <t>sergio-3005-107771</t>
  </si>
  <si>
    <t>Bonjour à toutes et à tous, 
Je suis très satisfait de ma mutuelle, la MGP depuis plus de quarante ans; remboursements rapides; contacts téléphoniques en cas de problèmes ou de besoin de renseignements, très satisfaisants; interlocuteurs à l'écoute et précis dans leurs réponses ! Rien à redire !!!</t>
  </si>
  <si>
    <t>friebe-s-123868</t>
  </si>
  <si>
    <t>Très bien rapide et simple
Pour la réalisation d'un contrat comme pour toute autre question
Je recommande fortement 
Jamais eu de souci 
Et prix compétitifs</t>
  </si>
  <si>
    <t>19/07/2021</t>
  </si>
  <si>
    <t>askahan-67457</t>
  </si>
  <si>
    <t>Manque de réactivité, inefficacité du service client,  délais extraordinaires de l'expertise après dégât, les rappels promis jamais fait...</t>
  </si>
  <si>
    <t>08/10/2018</t>
  </si>
  <si>
    <t>jean-marcel-m-134840</t>
  </si>
  <si>
    <t>Simple et pratique, déjà assuré chez vous une première fois, je reviens vers vous encore une fois car très satisfait de vos prestations. Je vous recommande à mon entourage</t>
  </si>
  <si>
    <t>koneswaran-v-123694</t>
  </si>
  <si>
    <t>Site qui beug beauucoup mais rapide quand ça fonctionne.
Peut-être l'exploreur qui n'était pas le bon.
Outil assez intuitif et rapide. 
Globalement satisfaite sans les beug</t>
  </si>
  <si>
    <t>17/07/2021</t>
  </si>
  <si>
    <t>dominique-e-129509</t>
  </si>
  <si>
    <t>Je suis satisfait du site pour faire ma demande/proposition  et du contact rapide pour pouvoir discuter de cette proposition suite à contact téléphonique</t>
  </si>
  <si>
    <t>25/08/2021</t>
  </si>
  <si>
    <t>jeremy-b-106728</t>
  </si>
  <si>
    <t xml:space="preserve">je pense on peut encore mieux faire sachant que j'avais déjà fait un devis il y a quelque mois et j'étais a 48 euros par moi au lieu de 55 aujourd'hui </t>
  </si>
  <si>
    <t>16/03/2021</t>
  </si>
  <si>
    <t>korinette-63863</t>
  </si>
  <si>
    <t>je suis chez ag2r depuis des années sous le couvert de mon employeur</t>
  </si>
  <si>
    <t>09/05/2018</t>
  </si>
  <si>
    <t>majid-56726</t>
  </si>
  <si>
    <t>Bonjour fuyez ils vous propose le devis le moins et dès que vous vous engagez avec eux c'est la où commence les ennuis: après avoir payer un accompte de 3 mois et reçu l'attestation d'assurance provisoire ils ont  résilié le contrat par recommandé (le lendemain de la souscription je pars en vacances et a mon retour je récupère le recommandé et surprise ils m'ont pas assuré car sur mon relevé d'informations il manque 3 jours...normal je n'avais plus de voiture car je l'ai vendu et acheté une autre 3 jours plus tard, heuresement que je n'ai pas eu de pépins car je n'était pas assuré!!!!.</t>
  </si>
  <si>
    <t>19/08/2017</t>
  </si>
  <si>
    <t>alan-132095</t>
  </si>
  <si>
    <t>Très satisfait du contrat et des services. Conseiller très à l’écoute et pas de problème rencontré. Prix attractif, compagnie d’assurances à recommander</t>
  </si>
  <si>
    <t>jack27630-59651</t>
  </si>
  <si>
    <t>Sociétaire de famille depuis plus de 10 ans ils n'ont trouvé aucune solution suite à un accident de la route. Service commerciale sans grande réactivité.
Je me suis fait baladé pendant plus de deux semaines pour au final avoir mon dossier refusé.
Comme d'habitude quand tout vas bien ça encaisse et quand ça ne va pas plus personne ne suit.
Je déconseille la MACIF</t>
  </si>
  <si>
    <t>14/12/2017</t>
  </si>
  <si>
    <t>thomas-f-139558</t>
  </si>
  <si>
    <t>Je suis satisfait de cette assurance les tarifs sont juste incroyable 
Facile et simple a realiser son devis 
Je recommande vraiment April moto 
Vous ne serait pas decu</t>
  </si>
  <si>
    <t>13/11/2021</t>
  </si>
  <si>
    <t>cocom06-80053</t>
  </si>
  <si>
    <t>Prévoyance subie puisque en intérim lors de l'AT de mon mari. au début payé régulièrement, depuis 2019 tous les 3 mois et encore, messages envoyés restent sans réponse, au téléphone on vous dit qu'ils sont dans les temps, bref à éviter ------- FUYEZ</t>
  </si>
  <si>
    <t>15/10/2019</t>
  </si>
  <si>
    <t>xavier1991-136281</t>
  </si>
  <si>
    <t xml:space="preserve">Le pire assureur de tous les temps ne jamais mettre les pieds chez eux sous peine de faire souffrir vos nerfs, ils vous baladent de service en service ne répondent jamais au téléphone en plus de ne pas savoir de quoi ils parlent catastrophique !!!!!! </t>
  </si>
  <si>
    <t>06/10/2021</t>
  </si>
  <si>
    <t>claude-c-133855</t>
  </si>
  <si>
    <t>Bonjour,
bon contact téléphonique
il manque toutefois la possibilité de modifier la franchise en ligne 
ou bien c'est moi qui ne sait pas faire.
Rapport service /prix    avantageux</t>
  </si>
  <si>
    <t>chanquoy-d-127501</t>
  </si>
  <si>
    <t>Je suis satisfait du service le prix me conviennent simple et pratique et par trop cher et très facile à vous contacter sur le site internet et très simple</t>
  </si>
  <si>
    <t>pilte-c-112627</t>
  </si>
  <si>
    <t xml:space="preserve">Je suis satisfaite par le contact que j'ai eut avec la conseillère. Un peu de soucis avec le site pour réussir à aller au bout mais tout a été finalement fait au téléphone. 
À voir dans le temps ce que donne cette assurance. </t>
  </si>
  <si>
    <t>04/05/2021</t>
  </si>
  <si>
    <t>compagnon88-52157</t>
  </si>
  <si>
    <t>Je viens de quitter la MGP depuis le 1er janvier 2017 après 44 ans moins un mois d'adhésion. Il y a un an et demi j'ai subi une opération importante avec infection sévère et j'ai eu une infirmière à domicile durant plus de deux mois. Il était impossible qu'elle soit remboursée car je n'ai rien avancé, à l'inverse de la MFP qui a remboursé ses prestations sur le champ. Il a fallu envoyer 4 factures à la MGP dont deux en R avec AR, et il fallait une 5ème. L'attente a duré plus de quatre mois. Un administrateur national et local qui vous traite plus bas que terre. Ce n'est pas son boulot d'intervenir pour les adhérents. Je l'étais qu'il portait encore des couche culotte. Un administrateur des affaires sociales qui dit le contraire : le national s'est battu férocement pour moi. Du personnel à Créteil caché sous les bureaux, on ne peut avoir personne.</t>
  </si>
  <si>
    <t>supermamix-59203</t>
  </si>
  <si>
    <t>Le tarif conventionnel chambre seule qui aurait été pris en charge n'a pas été appliqué car Neoliane n'a pas signé la convention avec les cliniques. Pas de prise en charge pour le supplément chambre particulière...  j'ai résilié dès l'échéance annuelle suivante.</t>
  </si>
  <si>
    <t>09/01/2019</t>
  </si>
  <si>
    <t>daniel-c-107372</t>
  </si>
  <si>
    <t>je suis satisfait du prix et de la facilité d'accès au site ainsi que l'enregistrement  du dossier et les démarches pour le règlement pour l'année à venir.</t>
  </si>
  <si>
    <t>21/03/2021</t>
  </si>
  <si>
    <t>ermite2511-132494</t>
  </si>
  <si>
    <t xml:space="preserve">Hormis l'augmentation de mon contrat auto de 36,54 % qui m'a surpris ce mois ci, bien que j'ai eu 1 sinistre mineur matériel responsable fin juin... précédé d'1 contre 1 cerf en 09/20 !...
mais reçu par mon conseiller. il m'a dit qu'elle était ponctuelle et sans doute dû à une modif des conditions générales...? et que ça retournerais à la normale en Octobre prochain... mais sans doute que j'aurais une augmentation en mars lors de l'échéance annuelle ? ... à voir, même si mon bonus 0,50 a été maintenu...Ceci dit cela mis à part je suis très satisfait de leur accueil et traitement et règlement des dossiers sinistre...et il faut reconnaître qu'ils sont de loin les mieux placés au niveau tarif et niveau des prestations ! 
</t>
  </si>
  <si>
    <t>Suravenir</t>
  </si>
  <si>
    <t>12/09/2021</t>
  </si>
  <si>
    <t>jm-67932</t>
  </si>
  <si>
    <t>Je viens de prendre une assurance chez eu et ai été cambriolé. N'ayant pas fermé tous les verrous j'ai subi un abbatement de 50%. La question était de savoir si l'abbatement avait lieu avant ou après la déduction de la franchise (75 euros de différence).
La conseillère est allée à l'encontre de l'avis de l'expert (qui en plus n'a pas tenu compte d'une facture fournie) pour me verser les 75 euros manquants.
Etant donné que ce site ne recense que les avis négatifs de toutes les assurances, je me disais qu'il fallait avoir quelques avis positifs, pour changer...</t>
  </si>
  <si>
    <t>21/10/2018</t>
  </si>
  <si>
    <t>karine-t-110127</t>
  </si>
  <si>
    <t xml:space="preserve">Satisfaite d'avoir pu revoir mon tarif avec un conseiller par téléphone par contre il m'a annoncé une réduction de 10% or ensuite je reçois par mail une réduction de 9% seulement. Dommage... </t>
  </si>
  <si>
    <t>cd-64179</t>
  </si>
  <si>
    <t>Service client déplorable et irrespectueux!!!!!!!!!!!!!!!! 2 mois que j'attends pour que quelqu'un prenne contact avec moi!!!! Et je ne compte pas les relances. Je déconseille vivement.</t>
  </si>
  <si>
    <t>24/05/2018</t>
  </si>
  <si>
    <t>bribri-101666</t>
  </si>
  <si>
    <t>j ai eu un accident le 2 octobre je voulais choisir mon garage (HONDA)ce qui n a pas été le cas contre mon avis j ai attendu 2 mois pour récupérer mon véhicule (2 décembre )et j ai du appeler honda france pour obtenir les pièces ... je n ai pas pu avoir un véhicule de courtoisie habitant à 750 km 
j ai du payer des taxis pour mes courses et différentes visites médecin dentiste ..
ils m ont dit que j aurais une compensation  qui m a été refusée une fois le véhicule réparé</t>
  </si>
  <si>
    <t>19/12/2020</t>
  </si>
  <si>
    <t>sylvain-101866</t>
  </si>
  <si>
    <t>Je suis satisfait de de Direct assurance mais j'ai eu un mauvais contact téléphonique -mauvais contact téléphonique mais je suis satisfait quand même de Direct Assurance</t>
  </si>
  <si>
    <t>cat-80483</t>
  </si>
  <si>
    <t>La personne que j'ai eu au tel très gentille et sympathique</t>
  </si>
  <si>
    <t>adrien-58504</t>
  </si>
  <si>
    <t>Moisissures sur un mur en placo et eau qui coule des prises électriques, constatée par un plombier, fuite temporaire et dont l'origine est restée inconnue.
Un voisin ayant subit le dégât des eaux au même moment a été couvert par son assureur.</t>
  </si>
  <si>
    <t>31/10/2017</t>
  </si>
  <si>
    <t>jpc-99518</t>
  </si>
  <si>
    <t>Sociétaire depuis 52 ans (adhésion en 1968) viré comme un malpropre  car 3 ou 4 sinistres en 5 ans. J'ai toutes mes assurances chez eux (2 voitures 3 assurances maison ou appartements 1 assurance vélo électrique ) A qui sert une assurance si ce n'est pas pour nous aider en cas de problèmes, à engranger nos cotisations et ensuite sauve  qui peut?</t>
  </si>
  <si>
    <t>emmanuel--g-116725</t>
  </si>
  <si>
    <t>Je suis très satisfait de mon choix , de plus les conseillers de Direct Assurance sont toujours très agréable et très disponibles pour toutes questions concernant mes contrats d'Assurance, pour preuve je vais souscrire un 5ème contrat AUTO en parrainage.</t>
  </si>
  <si>
    <t>parisko-71974</t>
  </si>
  <si>
    <t>Bonjour
si MACIF ASSURANCE un moins cher je change pas lui.pour commencer et pour finir avec MACIF aucune problem,,,,,je suis tres satisfait</t>
  </si>
  <si>
    <t>07/03/2019</t>
  </si>
  <si>
    <t>jalton-e-121426</t>
  </si>
  <si>
    <t xml:space="preserve">Les prix sont corrects et excellent accueil Je recommande vivement 
Très bonne explication au téléphone et le conseiller est à l écoute les prix sont attractifs </t>
  </si>
  <si>
    <t>maxb-61360</t>
  </si>
  <si>
    <t>Ayant lu pas mal de mauvaises critiques, j'ai quand même décidé de tester par moi-même cette assurance.
Et bien pour le moment que du bon, prix vraiment correct, les conseillés disponibles (pour ceux qui râlent sur les temps d'attentes, il existe un grille avec les horaires à privilégier pour ne pas patienter... Si si cherchez bien)
J'ai bien été aidé par Marion pour déchiffrer mon relevé d'information. Et étrangement pas de soucis de changement de prix entre le devis et le prix final, comme quoi... Donc encore pour les râleurs envoyés vos relevés d'info. à l'avance et vous n'aurez pas de surprise.
Dernier point ma carte verte définitive envoyée en moins d'une semaine, super.
Pour le moment rien à dire sur cette assurance, je ne peux pas juger sur les remboursements ou autre étant nouveau client.
Mais je me rends compte que les personnes ce plaignant sont celles qui " oubli de déclarer " des sinistres. 
Voilà pour c'est bien de dire quand ça va pas, mais quand tout ce passe bien il faut le dire aussi.</t>
  </si>
  <si>
    <t>lemire-v-116306</t>
  </si>
  <si>
    <t>Service téléphonique est parfait! Le prix est l’un des plus bas que j’ai trouvé. Je suis très satisfait d’avoir signé mon contrat d’assurance auto ici.</t>
  </si>
  <si>
    <t>marion-m-105425</t>
  </si>
  <si>
    <t>je suis très satisfaite des services et très arrangeant en cas de difficultés de paiements avec cette crise sanitaire que nous traversons!
Les conseillers sont toujours a notre ecoute et trouves des solutions qui arrange tous le mondes et les prix sont vraiment super!</t>
  </si>
  <si>
    <t>antonin-f-122084</t>
  </si>
  <si>
    <t xml:space="preserve">...     pour l’instant le sac au téléphone est bien nous veron pas la suite si cette assurance me convient 
Elle est plutôt bien placé en prix donc c’est très bien </t>
  </si>
  <si>
    <t>gecko-97288</t>
  </si>
  <si>
    <t xml:space="preserve">Suite à des dégâts causés par une tempête sur notre habitation, nous avons fait le nécessaire pour la déclaration et l expertise. Après plus de 6 mois, de multiples appels sans suite et de contre informations, nous sommes toujours dans l attente de règlements. Il n y a aucune considération pour les assurés et nous payons le prix fort pour l adhésion, cette assurance est à reconsidérer dans son fonctionnement </t>
  </si>
  <si>
    <t>11/09/2020</t>
  </si>
  <si>
    <t>charles-64555</t>
  </si>
  <si>
    <t>Un tarif qui augmente à mesure que le bonus progresse, et sans sinistres ! Des conseillers qui justifient par des (probables) mensonges : le taux de sinistres aurait augmenté de ...25% dans mon département, mais impossible d obtenir la moindre source officielle</t>
  </si>
  <si>
    <t>06/06/2018</t>
  </si>
  <si>
    <t>victor-b-135368</t>
  </si>
  <si>
    <t>Adhésion simple et pratique car tous nos contrats sont centralisés au même endroit, prix attractifs et équipe disponible et sympa, le bonheur quoi !!!</t>
  </si>
  <si>
    <t>mathieu-p-117991</t>
  </si>
  <si>
    <t>le service avec le vendeur et bien et agréable le vendeur écoute bine se que l'on demande il nous renseigne bien et apré il niveau prix ces bien dans l'ensemble rien a dire</t>
  </si>
  <si>
    <t>nopacifica-103127</t>
  </si>
  <si>
    <t>C'est une assurance à fuir, le prix est horriblement cher ,tout est fait à distance, les tarifs augmentent et il est difficile de résilier.
J'ai payé 740€ par an pour une Ford S-max. Je paye maintenant 500€ chez une autre compagnie avec les mêmes garanties.</t>
  </si>
  <si>
    <t>gregoire-m-138024</t>
  </si>
  <si>
    <t>Les documents sont un peu flou sur la signature en ligne mais tout de même lisible sinon aucun problème, les prix sont raisonnable et le délai pour avoir la carte verte définitive plus qu'efficace</t>
  </si>
  <si>
    <t>pilepoil-56517</t>
  </si>
  <si>
    <t>Les commerciaux ne répondent que très difficilement et sont incapables de proposer une assurance qui sort de leur petit cadre étriqué.</t>
  </si>
  <si>
    <t>07/08/2017</t>
  </si>
  <si>
    <t>benyamine-87776</t>
  </si>
  <si>
    <t>A ÉVITER AXA ASSURANCE SURTOUT HABITATION</t>
  </si>
  <si>
    <t>29/02/2020</t>
  </si>
  <si>
    <t>benrault-71808</t>
  </si>
  <si>
    <t>Très mauvais service client, la plate forme qui gère la clientèle n'a aucunement accès à vos échanges de courriers avec Pacifica, ce qui complique les choses en cas de problèmes avec la compagnie. Pour ma part, suite à un changement de banque (de LCL vers le CND), le Rib fournit n'a jamais été traité, puis, après avoir envoyé un cheque de régularisation et à nouveau un RIB, j'ai été tout simplement mis en rupture de contrat le 25dec 2018! Je n'ai donc pas pu m'assurer auprès d'une autre compagnie d'assurance pour rupture de contrat sur mon relevé d'information. Je suis actuellement sans assurance sur mon véhicule, et je n'ai toujours pas reçu de relevé d'information à jour! Nous sommes début mars 2019! Cette compagnie d'assurance est vraiment à éviter!</t>
  </si>
  <si>
    <t>02/03/2019</t>
  </si>
  <si>
    <t>titi-123566</t>
  </si>
  <si>
    <t>très déçu,mutuelle a fuir,conseillers incapable de répondre aux demandes.pour ma part,dossier invalidité en cours depuis bientôt 1 AN !!!.j'appelle régulierement et toujours les mêmes réponses: cela ne dépend pas de nous ,votre dossier est au service médical !!! 
dégouté de cette mutuelle!</t>
  </si>
  <si>
    <t>Intériale</t>
  </si>
  <si>
    <t>16/07/2021</t>
  </si>
  <si>
    <t>rivieres-r-117628</t>
  </si>
  <si>
    <t>Service en ligne très simple d'utilisation et prix très attractif.
Le devis en ligne est très vite validé en contrat.
Je suis prêt pour ouvrir un autre contrat plus tard.</t>
  </si>
  <si>
    <t>19/06/2021</t>
  </si>
  <si>
    <t>vraijob-97193</t>
  </si>
  <si>
    <t>La pire assurance auto &amp; juridique que j'ai jamais pu souscrire de ma vie. Le téléservice est déplorable. Impossible de joindre mon assurance par téléphone; on attend de très longues minutes au standard téléphonique; lorsque nous avons enfin la chance d'avoir un interlocuteur on est éjecté du standard téléphonique. Quand après bon nombre de tentatives nous réussissons à rester en ligne on nous transfère à un autre service avant d'être à nouveau éjecté du standard téléphonique.
A l'heure actuelle, après 3 mois je suis toujours en attente d'un papier Urgent de la part de mon assurance. Je crois qu'il n'ont pas saisi la définition de urgence.
Une assurance est censé nous épauler j'ai surtout l'impression qu'à la GMF on nous met des bâtons dans les roues.
Je déconseille.</t>
  </si>
  <si>
    <t>09/09/2020</t>
  </si>
  <si>
    <t>tatiana-l-115112</t>
  </si>
  <si>
    <t>Rien à redire, mais j'ai l'impression qu'il y a une augmentation ?
Je n'ai eu aucun soucis donc n'ai pu faire réellement appel aux services, mais jusqu'à maintenant tout va bien</t>
  </si>
  <si>
    <t>28/05/2021</t>
  </si>
  <si>
    <t>loicmuraz-94944</t>
  </si>
  <si>
    <t xml:space="preserve">En raison de la perte de clefs de voiture, avec la carte grise à l'intérieur de la voiture, j'ai demandé un Scan de la carte grise à PACIFICA. Ce papier leur a été fourni pour souscrire l'assurance. 
Leur réponse : 
"J'ai eu retour de mon centre de gestion.
Nous ne désarchivons pas de documents pour convenance personnelle.
De plus, ils m'ont précisé que le document demandé a été reçu en 2014, et que donc le désarchivage ne serait pas fait rapidement.
Je reste à votre disposition si besoin.
Au plaisir d'échanger avec vous, " 
En résumé, si vous voulez payer une assurance qui ne cherchera pas à vous dépanner lorsque que vous en avez besoin souscrivez chez PACIFICA, sinon je vous conseille une autre société d'assurance. </t>
  </si>
  <si>
    <t>blanco-67213</t>
  </si>
  <si>
    <t xml:space="preserve">Depuis plus de 30 ans à la MATMUT je viens de perdre confiance dans la Mutuelle qui je croyais ne ce comportait pas comme les autres assurances
Nous l'avons appris à nos dépends lors de notre premier sinistre
Nous avions été prévenu que les assurances cherchaient toujours à éviter de rembourse' ces sociétaires
Nous avons été victime de la foudre et  nous fait économiser un déplacement à notre assureur ainsi  que la facturation de la première heure en combinant l'entretien de notre chaudière avec la réparation. Et quand nous avons demandé un geste commercial pour alléger notre franchise nous avons obtenu un refus c'est vraiment déplaisant </t>
  </si>
  <si>
    <t>30/09/2018</t>
  </si>
  <si>
    <t>leroylacombe-116599</t>
  </si>
  <si>
    <t>Ils inventent tout et rien pour ne pas rembourser l'assurance vie au bénéficaire, je ne recommande cette assurance à personnes. Ils ne sont pas recommandés sur les réseaux sociaux par des milliers de personnes pour le même motif et poursuivis au TGI.</t>
  </si>
  <si>
    <t>mpc973-51212</t>
  </si>
  <si>
    <t xml:space="preserve">Impossible de résilier chez Pacifica !
QUATRE courriers recommandés + une lettre MANUSCRITE exigée par Pacifica, alors que mon contrat n'en fait pas mention (retour à l'âge de pierre) accompagnée de la copie de ma carte d'identité. Autant pour le Crédit Agricole, qui, malgré ma demande d'arrêts des prélèvements, continue les prélèvmements au profit de Pacifica.
A chaque fois, cela dure depuis un mois, Pacifica et le Crédit Agricole me demandent la même lettre MANUSCRITE qu'ils ont pourtant bien reçu (preuves de réception à l'appui). Et j'ai respecté la date anniversaire.
Je déconseille vivement les assurances Pacifica, sauf si vous comptez rester à vie avec eux et/ou si vous n'avez aucun sinistre. </t>
  </si>
  <si>
    <t>12/01/2017</t>
  </si>
  <si>
    <t>auriane-100348</t>
  </si>
  <si>
    <t>Après avoir subi de nombreuses erreurs (erreurs d'orthographe de mon nom, induisant une impossibilité de résilier en loi Hamon mon ancienne assurance) j'ai fini par résilier au bout de 5 mois car il était impossible de faire résilier mes anciennes assurances (2 automobiles + habitation), je continuais de payer mes anciennes assurances. Suivi par téléphone catastrophique. Aucune réponse à mes différents problèmes.
Une horreur. J'ai passé des heures au téléphone avec eux sans succès. 
NE SURTOUT PAS SOUSCRIRE CHEZ EUX</t>
  </si>
  <si>
    <t>19/11/2020</t>
  </si>
  <si>
    <t>tbze-50651</t>
  </si>
  <si>
    <t>1 : Malgré une radiation au 31 12 2016 et une demande écrite en recommandé d'un arrêt de prélèvement automatique à la source (précompte) la cotisation pour 2017 a été prélevée sur notre pension par la MGEN. Le service financier de l'Education Nationale a donc aussi refusé de prendre en compte notre demande d'arrêt de prélèvement automatique.
2 : Malgré une radiation au 31 12 2016 et une demande écrite en recommandé pour connaître le montant de notre capital prévoyance/dépendance et demander son remboursement, la mgen ne nous a toujours pas répondu. Rappel : contrairement à d'autres mutuelles santé, la cotisation mgen inclut automatiquement un pourcentage, dont le montant reste très opaque, pour la prévoyance (paiement des arrêts de travail supérieurs à 3 mois), le handicap jusque 60 ans et la dépendance (critères drastiques et différents du handicap appliqués pour une prise en charge après 60 ans).
3 : suite à un accident du travail et à des erreurs d'imputation de frais à l'assurance-maladie, la mgen ne gérant que l'assurance-maladie par délégation selon un contrat passé avec l'Etat, n'a pas demandé aux moments nécessaires de remboursements à l'Education Nationale gérant elle-même l'assurance des accidents du travail. Des remboursements de forfaits, franchises médicales, d'achats de matériel, ..., n'ont pas été effectués, malgré plusieurs courriers et dossiers déposés pour 4 ans de soins, des soins plus récents pendant 1 an et 3 mois.
4 : le pourcentage inconnu de cotisation prévoyance et dépendance prélevé automatiquement pendant des années pour une éventuelle utilisation ne peut en aucun cas palier les remboursements à minima de la MGEN pour des prestations santé qui sont elles bien plus courantes.
* les courriers adressés en recommandé au Président de la MGEN sont restés sans réponses.</t>
  </si>
  <si>
    <t>26/12/2016</t>
  </si>
  <si>
    <t>db73-75201</t>
  </si>
  <si>
    <t xml:space="preserve">Suite a une adhesion par un cabinet de courtier et apres reflexion j'ai decide de me retracter  et suite a un coup de telephone mon interlocuteur du nom de Sami m'a indique la marche a suivre et m'a indique toute la procedure avec un grand calme et un professionalisme sans faille malgre mes erreurs de saisi  Sami a ete tres patient et sa devient rare de nos .Encore un grand merci  a Sami pour m'avoir aide a faire le necessaire a ma retractation </t>
  </si>
  <si>
    <t>18/04/2019</t>
  </si>
  <si>
    <t>louise-n-107510</t>
  </si>
  <si>
    <t>Je suis satisfaite des prix ainsi que des services.
Cependant j'aimerais en savoir plus sur l'avantage de bénéficier de 5euros de réductions lorsqu'on effectue un trajet en covoiturage.</t>
  </si>
  <si>
    <t>laura--93480</t>
  </si>
  <si>
    <t xml:space="preserve">Je suis satisfait du servie. Les prix sont plus que corrects c’est très rapide et efficace 
Bonne assurance on m’a recommandé l’assurance par plusieurs personnes </t>
  </si>
  <si>
    <t>08/07/2020</t>
  </si>
  <si>
    <t>mathieu-b-110909</t>
  </si>
  <si>
    <t>Augmentation des tarifs alors que le véhicule a très peu roulé en 2020. Covis et baisse des accidents en France mais le tarif augmente de +10% !!!
Je pense changer rapidement</t>
  </si>
  <si>
    <t>19/04/2021</t>
  </si>
  <si>
    <t>makno-64658</t>
  </si>
  <si>
    <t>J'ai déclaré un dégat des eaux dont je n'étais pas le responsable et le dossier à été long à traiter,aucun suivi client.
On m'a donné un n° de téléphone pour contacter une personne s'occupant de mon dossier dont le dernier chiffre était faux.
L'expert a expertisé...par téléphone!
Piètre assurance!</t>
  </si>
  <si>
    <t>11/06/2018</t>
  </si>
  <si>
    <t>anthony-m-130963</t>
  </si>
  <si>
    <t>Je suis satisfait du prix et de la qualité des explications je recommande très bon rapport qualité prix. 
N'hésitez à souscrire vous ne trouverez pas mieux !!</t>
  </si>
  <si>
    <t>gloria-s-116923</t>
  </si>
  <si>
    <t>Je suis satisfait du service
Pensez svp à payer les 20 euros de parrainage de mon frère Jule contrat citroen C4 II N°980691115
et ma part de 20 euros aussi.
Merci
Bien cordialement
Mme Gloria Sultan</t>
  </si>
  <si>
    <t>13/06/2021</t>
  </si>
  <si>
    <t>guy-paul-91893</t>
  </si>
  <si>
    <t xml:space="preserve">Satisfait ! J’ai été conseillé par mon manager, de prime abord Pour un devis, et pour l’achat une première voiture, le prix est convenable en théorie... Reste a voir en pratique. </t>
  </si>
  <si>
    <t>23/06/2020</t>
  </si>
  <si>
    <t>thavone-k-113127</t>
  </si>
  <si>
    <t>le prix a encore augmenté pour mon contrat d'habitation.
les deux contrats auto que j'ai avec vous ont aussi subi les augmentations.
je crains que je vais devoir trouver moins chers ailleurs pour les mêmes niveaux de prestations :
- Chez les constructeurs,
- Chez les banquiers 
- ou dans les hypermarchés !</t>
  </si>
  <si>
    <t>guillaume-b-129658</t>
  </si>
  <si>
    <t xml:space="preserve">Satisfait du service prix me conviennent. Devis très rapide, site efficace 
Service client à revoir pour la compréhension de la conversation 
Affaire à suivre </t>
  </si>
  <si>
    <t>26/08/2021</t>
  </si>
  <si>
    <t>laurent-67617</t>
  </si>
  <si>
    <t xml:space="preserve">Ne pas confondre Mgen caisse primaire à laquelle les enseignants sont automatiquement rattachés et Mgen complémentaire que vous êtes libres de choisir. Personnellement j 'ai quitté la MGEN Attention de se faire une assurance prévoyance </t>
  </si>
  <si>
    <t>12/10/2018</t>
  </si>
  <si>
    <t>manne-123794</t>
  </si>
  <si>
    <t>Nous sommes au mois de juillet, j'habite à Paris et j'ai été cambriolée la nuit dans mon appartement. Mes volets étaient baissés mais la fenêtre ouverte... Réponse de l'assurance Macif : les fenêtres doivent être verrouillées pour que le vol soit indemnisable.  
Il parait que toutes les assurances n'ont pas la même façon de pense. Je vous laisse imaginer mon envie de changer d'assurance !</t>
  </si>
  <si>
    <t>audrey-q-133800</t>
  </si>
  <si>
    <t>Je suis satisfaite du service, les prix me conviennent. La réalisation en ligne est simple et rapide. Déjà assurer pour mon logement, je reste fidèle à cette assurance.</t>
  </si>
  <si>
    <t>no6667-99195</t>
  </si>
  <si>
    <t>Tant que vous payez et que vous n’avez pas de sinistres, ça se passe bien, mais ça se gâte au moindre problème, absence totale de communication voir des employés qui ne vous recontactent pas, à croire que c’est la politique maison!
Pas d’explication sur les décisions ou mesures prises, incompétence totale des interlocuteurs quand vous arrivez à les joindre...</t>
  </si>
  <si>
    <t>hodencq-y-126966</t>
  </si>
  <si>
    <t xml:space="preserve">Rapide et simple je recommande cette assurance pour les jeunes conducteur pour le rapport qualité prix je n'ai pas trouver mieux sur internet satisfait </t>
  </si>
  <si>
    <t>07/08/2021</t>
  </si>
  <si>
    <t>thierry-o-109133</t>
  </si>
  <si>
    <t>service pour adhérer tres rapide , trouvé  par le biais des furets, très satisfait pour l’adhésion et espère ne pas devoir faire de déclaration d'accident</t>
  </si>
  <si>
    <t>04/04/2021</t>
  </si>
  <si>
    <t>jm29550-67052</t>
  </si>
  <si>
    <t>J'ai sollicité la Matmut pour obtenir une aide juridique. L'appartement que j'ai acheté il y a 30 mois (neuf) a des défauts dans les deux salle de bain... J'ai ouvert une procédure contre le promoteur, qui fait le dos rond (garantie dommages ouvrages), avec l'aide d'un avocat.
J'ai interrogé la Matmut pour une aide financière éventuelle car les expertises vont être à ma charge. En fait c'est la SCMAC qui porte l'assurance juridique. Réponse laconique (assez rapide pour autant): l'assurance juridique ne marche pas pour les problèmes de construction... 
Bref. Super, merci.
C'est ma première demande auprès de la Matmut... et très certainement la dernière. J'ai la semaine suivante souscrit une assurance juridique auprès de la GMF... Je sais désormais ce que vaut ce contrat juridique avec la SMAC.
Très déçu surtout que tout semblait pour moi assez positif avec cette assurance, que ce soit les contacts téléphoniques mais aussi le rapport qualité / prix. Ma priorité est désormais de basculer chez un concurrent. Je ne veux pas payer pour une assurance qui poliment dit niet au premier sinistre.</t>
  </si>
  <si>
    <t>jean-p-105715</t>
  </si>
  <si>
    <t xml:space="preserve">malgré 3 mois de confinement en 2020 je subi une augmentation sur mes contrats auto je ne suis pas d'accord pour cette augmentation importante cela représente environ 8% du prix annuel c'est scandaleux j'en ai référé aux consommateurs </t>
  </si>
  <si>
    <t>2xencolere-50086</t>
  </si>
  <si>
    <t>Assurée depuis plus de 30 ans, jamais d'accident, le seul déclaré ( un 2 roues qui accroche une aile en doublant alors que j'étais arrête a un stop ) j'écope de 50% de responsabilité !!!! une honte et pas moyen de discuter le partage des tords !!!</t>
  </si>
  <si>
    <t>09/12/2016</t>
  </si>
  <si>
    <t>benjamin-l-134730</t>
  </si>
  <si>
    <t xml:space="preserve">Je suis satisfait du service, je vous remercie de pouvoir m'assurer, je recommanderai l'assurance a d'autre ami motard qui sont en train de passer le permis </t>
  </si>
  <si>
    <t>maxime-p-123311</t>
  </si>
  <si>
    <t xml:space="preserve">Je suis satisfait de la réactivité  des agents téléphonique. Des l etablissement  du devis j ai reçu un appel  pour me permettre de finaliser  ma demande </t>
  </si>
  <si>
    <t>brigitte-r-132688</t>
  </si>
  <si>
    <t>Pour 3 euros de plus, j'ai toutes les options les plus pratiques. après avoir comparé avec les autres assurances en passant par le lynx et les furets, j'ai choisi direct assurance.</t>
  </si>
  <si>
    <t>math-68151</t>
  </si>
  <si>
    <t>AG2R était bien quand il était sous contrat MLB, maintenant la fusion s est faite avec viasanté et c est une catastrophe, ne répondre pas aux courriers et refuse de rembourser des soins qui sont dans mon contrat, je cherche à changer, de plus ils sont chers.</t>
  </si>
  <si>
    <t>28/10/2018</t>
  </si>
  <si>
    <t>crimu-112503</t>
  </si>
  <si>
    <t>Ma voiture ne voulant plus démarrer devant chez moi, j'ai appelé l'assistance à 11 h.
Mon appel a tout de suite été pris en considération et on m'a envoyé un dépanneur dans l'heure qui a pu faire le nécessaire (problème de batterie). A 11h45, j'ai pu partir avec ma voiture. Je suis entièrement satisfaite de la prise en charge de ma panne et je félicite la MACIF pour sa réactivité.</t>
  </si>
  <si>
    <t>herve--92879</t>
  </si>
  <si>
    <t xml:space="preserve">Plutôt satisfait de vos offres, les prix sont corrects. 
A voir en cas de sinistres si la réactivité est aussi présente. 
Je suis assuré chez vous pour mon habitation, rien a redire. 
</t>
  </si>
  <si>
    <t>dominique-b-132776</t>
  </si>
  <si>
    <t>très bon service, bonne prise en charge de mon dossier et de mes demandes, rapidité dans les réponses apportées et des envois de documents par mail ou par téléphone.</t>
  </si>
  <si>
    <t>gbu66000-113292</t>
  </si>
  <si>
    <t>;;;Il est écrit..."Nos équipes restent à votre écoute...." mais impossible de les contacter par tél.trop longue attente. Je raccroche.
C'EST PAS ...COOL
Je suis déçu.</t>
  </si>
  <si>
    <t>valdivarius-55934</t>
  </si>
  <si>
    <t>Très bien tant que vous n'avez besoin de rien...
Après demande d'une avance sur assurance vie on m'informe que les fonds ont été virés sur mon compte alors qu'il n'en est rien, le délai est actuellement d'une semaine alors que légalement tout doit être effectué en un jour ouvré (code monétaire et financier art.133-13)</t>
  </si>
  <si>
    <t>11/07/2017</t>
  </si>
  <si>
    <t>01/07/2017</t>
  </si>
  <si>
    <t>patairliquide-123765</t>
  </si>
  <si>
    <t>Ne faites surtout pas confiance en cette société certainement gérée par ces nouveau PDG qui se nourrisse de l'argent des petits afin de profiter de leurs gros desserts journaliers. Il faut bien les nourrir ces gens là. Je suis en retraite depuis le 1 er mai et je peux vous assurer que je sais de quoi je parle.</t>
  </si>
  <si>
    <t>18/07/2021</t>
  </si>
  <si>
    <t>jj39-101253</t>
  </si>
  <si>
    <t>c'est bien à la télévision mais en réalité service zéro à chaque interlocuteur une information différente un suivi zéro on vous laisse avec vos emmerdes c'est vraiment du bas de gamme c'est pas cher mais ça ne vaut rien</t>
  </si>
  <si>
    <t>10/12/2020</t>
  </si>
  <si>
    <t>chollet-a-115464</t>
  </si>
  <si>
    <t>Très satisfait de cette assurance, d'autant plus pour une première voiture, prix très honnêtes, bonne couverture globale proposée par vos services....</t>
  </si>
  <si>
    <t>gerard-g-128014</t>
  </si>
  <si>
    <t xml:space="preserve">Prix et garanties satisfaisantes 
Le devis en ligne sont faciles à remplir et à concrétiser. 
Merci encore 
Tres bon professionnels des assurances rapides et dont les prix sont très compétitifs 
</t>
  </si>
  <si>
    <t>lyah-67105</t>
  </si>
  <si>
    <t>Bonne prise en charge du client. 
Souscription rapide . Les informations données sont très claires.</t>
  </si>
  <si>
    <t>26/09/2018</t>
  </si>
  <si>
    <t>moh-92914</t>
  </si>
  <si>
    <t xml:space="preserve">Je suis très satisfait de la rapidité du devis de direct Assurace et je ne manquerai pas  de la recommander à mon entourage 
Très simple très détaillé et le prix est très correct </t>
  </si>
  <si>
    <t>georges--l-105948</t>
  </si>
  <si>
    <t>je suis satisfait des prix mais une ristourne par téléphone de 80 euros vu que j'ai 3 contrats chez vous (en geste commercial)   devaient être faits et là personne n'a de trace par téléphone et donc ben je n'aurai pas ces 80 euros actés par un supérieur au téléphone. Je trouve que cela ne fait pas sérieux .</t>
  </si>
  <si>
    <t>mp-103000</t>
  </si>
  <si>
    <t>Pas vraiment satisfaite. J'ai l'impression d'avoir en face des personnes qui ne savent pas lire correctement et ne pensent qu'à se débarrasser des dossiers.</t>
  </si>
  <si>
    <t>paisanu-102851</t>
  </si>
  <si>
    <t xml:space="preserve">les conseillers sont disponibles et compétents 
les prix sont interessants 
les remboursements sont à un bon niveau et sont versés rapidement
la mutuelle générale de la police peut etre conseillée car elle fonctionne bien </t>
  </si>
  <si>
    <t>19/01/2021</t>
  </si>
  <si>
    <t>pierre13400-65690</t>
  </si>
  <si>
    <t xml:space="preserve">un sinistre en 10 2019 dont je ne suis pas responsable
ils me trainent de site en site d avis d expert qui n en fout pas une rame et qui finalement plafond les remboursements uniquement sur échange de mail
on me route sur une plateforme pour les travaux qui une réponds pas et relancée elle se fend d 'un texto en mauvais français pour me dire de me débrouiller ce que je fait .le Corona du coup arrive ils ont tellement lambiné et les travaux sont reportés de deux mois.le sinistre est payé exactement 9 mois après alors que j 'ai eu un sinistre le même mois sur un autre bien et AVIVA m' a réglé le pb et payé sous 15 jours
ALLIANZ  en plus réponds a côté a ma réclamation ne s' excuse pas des erreurs commises par leurs préposés et le fin du fin le courtier n' a jamais daigné me donné un coup de fil.
Moralité passez par une assurance en ligne les. courtiers ne servent a rien et rendent les assurances plus chérs .je ne laisse pas mes coordonnées pour que la assureur me réponde il me reconnaitra et  n' a qu' a répondre a mes mails. leur inspecteur est a Lyon je crois </t>
  </si>
  <si>
    <t>02/08/2020</t>
  </si>
  <si>
    <t>mathieu-m-101928</t>
  </si>
  <si>
    <t>simple et pratique
les prix sont très avantageux
je suis satisfait de cette assurance car mon fils aussi a une assurance auto chez direct assurance et il est satisfait</t>
  </si>
  <si>
    <t>28/12/2020</t>
  </si>
  <si>
    <t>rolando-87204</t>
  </si>
  <si>
    <t>Bonjour, jamais je n'aurai pensé avoir des problèmes avec la macif jusqu'à aujourd'hui et ce, après quasiment 51 ans de cotisations.
J'ai eu un accident en 2017 couvert par mon contrat GAV et depuis, la macif fait traîner les choses. Elle ne répond plus à mes courriers et les conseillers au téléphone me racontent n'importe quoi. Je sens qu'ils cherchent à gagner en du temps en plus des 3 ans d'attente interminable. Pourtant, j'ai été consolidé et vu par un médecin expert mais la macif joue la politique de l'autruche pour reprendre le terme adéquat d'un contributeur. J'ai saisi les services d'un avocat et j'ai résilié tous mes contrats.
La macif, vous devriez avoir honte de ce que vous êtes devenu. Vous n'êtes pas honnêtes avec vos sociétaires et je leur recommande vivement de s'en aller avant de connaître les mêmes déboires que moi et de milliers d'autres.</t>
  </si>
  <si>
    <t>16/02/2020</t>
  </si>
  <si>
    <t>pompon-113252</t>
  </si>
  <si>
    <t xml:space="preserve">Que dire de plus - Tout est écris,  nous sommes tous en attente de remboursement - Nous sommes tous très très en colère et le mot est faible. Nouvelle adhérente depuis Mars, j'attends également des remboursements depuis début Avril. J'attends avec impatience la fin de mon contrat.
Ce qui est complètement aberrant c'est qu'il prélève la cotisation à date fixe, il ne respecte pas leurs engagements et nous, nous sommes prisonniers de leurs contrats. 
La cerise sur le gâteau c'est l'indifférence totale à nos courriers de relance, rien à faire, tout est normal. </t>
  </si>
  <si>
    <t>pierre-m-123415</t>
  </si>
  <si>
    <t>le contact téléphonique est très agréable, rapide et très efficace, le personnel est vraiment a notre écoute. merci a toute l'équipe. une assurance à recommander.</t>
  </si>
  <si>
    <t>14/07/2021</t>
  </si>
  <si>
    <t>melody-j-130100</t>
  </si>
  <si>
    <t>Simple et pratique. Prix attractif même pour les nouveaux conducteurs. Je recommande fortement Direct Assurance. C'est ma première souscription et je me suis senti accompagnée.</t>
  </si>
  <si>
    <t>karine-h-128674</t>
  </si>
  <si>
    <t>l'adhésion est très simple et rapide. Les prix sont compétitifs et même en prenant toutes les options.
Direct assurance s'occupe de la résiliation pour nous</t>
  </si>
  <si>
    <t>19/08/2021</t>
  </si>
  <si>
    <t>peter-64833</t>
  </si>
  <si>
    <t xml:space="preserve">copie de ma lettre envoyée à la MAIF:
"Bonjour ,
            Je viens de recevoir l'avis négatif  de l'expert en ce qui concerne ma déclaration de sinistre du 26/05/2018. Ma véranda a subi une grave inondation suite à un violent orage de grêle dans mon quartier.
En effet, l'expert du cabinet TEXA juge que les travaux demandés relèvent davantage d'une "amélioration" que d'une "remise en état". La MAIF me dit qu'elle ne ne pourrait donc pas intervenir. .
              Je tiens à vous faire part de mon incompréhension, et de mon profond mécontentement au sujet de l'interprétation très restrictive du contrat (RAQVAM ÉQUILIBRE)!
Je ne comprends pas cette exclusion. Pourrais-je  savoir à quel article, à quelle page se trouve cette mention d"'amélioration" qui ne serait pas prise en compte? Je ne l'ai pas trouvée! Il faudrait parler plutôt d'une "réparation rendue nécessaire suite à un orage de grêle"
      Je vous précise que je n'ai rien contre les conseillères de la MAIF, ni contre l'expert. L’accueil a toujours été d'une grande correction. 
     Je suis sociétaire depuis plus de quarante ans, et je suis d'une totale honnêteté. Je n'ai jamais demandé des remboursements pour de gros dégâts. Je paie une cotisation annuelle de 1702 euros par an.
Je me pose tout de même cette question: dois-je rester sociétaire à la MAIF? Dois-je changer de compagnie, ce que je ne souhaite pas...
J'attends une réponse,
Cordialement,
N?° de dossier: M180586298K
N°Sociétaire:.0708284h
</t>
  </si>
  <si>
    <t>26/06/2018</t>
  </si>
  <si>
    <t>nenene-107148</t>
  </si>
  <si>
    <t>NUL!!!!
A fuir!!!!
Ne fait pas son boulot de télétransmission
Attente téléphonique ++++ quand on veut les joindre
A savoir:
Frais de dossier à l’inscription (vite débités)
Pas de mois offerts</t>
  </si>
  <si>
    <t>mortier-y-138416</t>
  </si>
  <si>
    <t>Je suis satisfait du sérique est simple et rapide. Les garanties correspondent à ma volonté et les conseillers sont très à l’écoute de notre demande de renseignements.</t>
  </si>
  <si>
    <t>27/10/2021</t>
  </si>
  <si>
    <t>tania670-102035</t>
  </si>
  <si>
    <t xml:space="preserve">Décevant je suis en arrêt de puis le 31 out la ont est le 31 décembre et je suis toujours pas indemniser j'attend mon complément de salaire c'est injuste ne prenez pas cette assurance c'est scandaleux nous on est dans le merde Financièrement et eux ils nous dise il faut patienter ça cca faut 5 mois j'attend </t>
  </si>
  <si>
    <t>31/12/2020</t>
  </si>
  <si>
    <t>cerenna7-56935</t>
  </si>
  <si>
    <t>Déçue. . Au bout d un an assurée  chez eux ... ils m augmente de 4 euros par mois... sans explications.. j ai un bonus.. pas de sinistre.. rien a foutre des clients..</t>
  </si>
  <si>
    <t>28/09/2017</t>
  </si>
  <si>
    <t>tracer-60131</t>
  </si>
  <si>
    <t>Mon accident survenu le 10 novembre 2017, avec aucune responsabilité engagée n'est à ce jour toujours pas réglé, le rapport de l'expert est du 14/11/17 donc selon l'article 1153 ce règlement devait s'effectuer dans le mois qui suivait, les documents envoyés qui se perdent, ils doivent nous rappeler mais ne rappellent jamais, (et ceci quand ils décrochent)... 2 mois et toujours pas de nouvelle de mon remboursement malgré mes appels quotidiens.</t>
  </si>
  <si>
    <t>benoit85170-69817</t>
  </si>
  <si>
    <t xml:space="preserve">Tout est parfait avec Génération, tout en apparence du moment qu'on ne parle pas réclamation. 
Leur service commercial vous accueille très bien et ceci je ne peux le nier. Les arguments commerciaux sont intelligents et ne disent pas tout. A titre d'exemple "Vous avez 30 jours calendaire pour vous rétracter" c'est la version courte du commercial. La version longue du service client lors de la rétractation c'est " Vous avez 30 jours calendaire pour vous rétracter A CONDITION de ne pas avoir eu de remboursement de soins". 
Ceci dit, c'est la loi, il a parfaitement raison mais les arguments commerciaux ont des arguments plus courts. Comme me la répondu clairement le service client " C'était dans votre contrat maintenant vous êtes engagé chez nous pour un an". Bon là dessus aucun bénéfice du doute c'est de ma faute. 
Je pense qu'il ne faut donc pas hésiter Monsieur les commerciaux à utiliser vos arguments commerciaux dans son entièreté.
Deuxième point, génération profite d'une carte interactive pour trouver des partenaires de santé avec lesquels vous pouvez utiliser le tiers payant. J'ai signalé a plusieurs reprises que cette carte n'était pas à jour et que le contrat qu'ils ont passé avec ces professionnels servent surtout à ces partenaires d'attirer des clients mais ils ne pratiquent pas pour autant le tier payant. 
J'ai donc signalé ce problème lors de ma demande de rétractation, le service client m'a répondu " c'est à vous de leur faire la Morale et de leur préciser qu'ils ont passé un engagement avec nous". 
Donc si je comprends bien, je paye un service et en plus c'est à moi d'aller vérifier si les partenaires font leur travail? Peut être ai je loupé un épisode....
Pour résumer je ne peux pas me rétracter, c'est la loi et je suis d'accord. Je paye un service que je ne peux pas utiliser pleinement et je dois en plus faire la morale aux partenaires santé.
J'ai de gros soins dentaire à effectuer non pas pour l'esthétique mais pour des raisons de santé. La seule réponse que m'a donné le service client " Moi, Monsieur j'ai pas de solution....."
</t>
  </si>
  <si>
    <t>02/01/2019</t>
  </si>
  <si>
    <t>nat13-52380</t>
  </si>
  <si>
    <t xml:space="preserve">Comme quoi Facebook sert à tout car en relation avec ànais chargé clientèle tout à été résolu pour un souci de fin de garantie sur un véhicule je vous conseille vivement facebook l'olivier si vous rencontrez des problèmes </t>
  </si>
  <si>
    <t>pourvousaider-102087</t>
  </si>
  <si>
    <t>En pleine pandémie, GMF ne laisse aucune possibilité d'envoyer des documents par mail sur la page d'accueil de son site Internet, sauf pour faire une réclamation, ce qui suppose de passer des obstacles infranchissables ...
Si le compte mail sécurisé lié au contrat ouvert pour des biens communs d'un couple est ouvert au nom de l'un des conjoints décédé, en toute logique (absolument judicieuse pour les adeptes de l'ubuesque), ce compte mail devient inacessible et donc le conjoint survivant ne peut pas résilier les contrats ou produire des documents par Internet ...
Pas de solution par la page d'accueil, plus de solution par un compte mail sécurisé devenu inacessessible et donc aucune transmission de documents par Internet possible en pleine pandémie.
Un concours de savoir-interne ????
Par voie de conséquence, c'est étrange d'avoir une compagnie d'assurance qui oublie qu'en tant qu'employeur, elle a légalement une obligation de résultat pour la sécurité au travail de ses employés. Elle expose aussi ses clients ne pouvant alors que prendre RDV s'ils veulent agir en zéro papier au nom du développement durable !</t>
  </si>
  <si>
    <t>hennault-o-122773</t>
  </si>
  <si>
    <t xml:space="preserve">Très satisfait du site fluide et très clair, niveau Tarif cela me convient emplement, service rapide. Et Conseil bien niveau pack assurance sont très clair et précis.... Merci l'olivier.. </t>
  </si>
  <si>
    <t>aurden-79405</t>
  </si>
  <si>
    <t xml:space="preserve">6mois que mon conjoint perçoit une pension d invalidité et 6mois que nous attendons la prévoyance de la generali . Aucune info, tant sur le niveau d indemnisation (pour laquelle mon conjoint a cotisé pendant 15ans), que sur le montage du dossier .
Nous n avons pas le droit de les appeler et lorsque par miracle nous avons une personne, ils sont toujours incapable de nous donner des infos . Le retard est inacceptable et à un fort impact sur la santé de mon conjoint (la maladie est déjà là, la générali impose des pb financiers.
Savez vous quels recours pouvons nous avoir ? </t>
  </si>
  <si>
    <t>23/09/2019</t>
  </si>
  <si>
    <t>julien-67732</t>
  </si>
  <si>
    <t xml:space="preserve">Alors , j’ai malencontreusement fait tomber une casserole sur notre tout nouveau plan de travail, une belle oreole dessus et seulement 400 euro pour le remplacement ( îlot centrale).
Et bien non je n’ai pas souscris à une fameuse option ...
Donc on est assuré mais on ne sait pas pourquoi ...
A fuir et bien faire attention à ce pourquoi vous êtes assuré et pas .
Chez eux un accident domestique n’est pas considéré comme préjudiciable .
Enfin bref dès qu’on peux on changera.
C’est cette une assurance connue mais si c’est pour ne pas être dédommagé pour une si petite chose j’imagine même plus as le jour où il arrive un truc grave.
</t>
  </si>
  <si>
    <t>eric-h-113493</t>
  </si>
  <si>
    <t>bien rapide rien n'a dire prix competitif
maintenant occupez vous de resiller mon ancien contrat Macif afin que je puissent récupérer le trop perçu 
 merci d'avance</t>
  </si>
  <si>
    <t>viavia-61694</t>
  </si>
  <si>
    <t xml:space="preserve">Ils sont inefficaces, vous n'avez jamais les bonnes informations, ils ne vous demande pas les bons  documents. Et donc on des délais de remboursement incompréhensible </t>
  </si>
  <si>
    <t>23/02/2018</t>
  </si>
  <si>
    <t>lagobbe-108615</t>
  </si>
  <si>
    <t>Bonjour, jesuis tres satisfait de mamise enrelation avec Emeline qui m'a bien renseigné sur ma demande ,rapidité et aimabilité dans sa réponse.
               Merci</t>
  </si>
  <si>
    <t>patrick-p-114013</t>
  </si>
  <si>
    <t xml:space="preserve">JE NE SUIS PAS SATISFAIT DU SERVICE 
AUCUNE POSSIBILITE DE TELECHARGE UN RELEVE D INFO 
DE PLUS ON PATIENTE AU TEL PLUS DE 20 MN ? SANS AVOIR QQN AU TEL </t>
  </si>
  <si>
    <t>julien-54064</t>
  </si>
  <si>
    <t>Bonjour,
Comme beaucoup d entre vous scooter HS depuis le 8 mars et aucune nouvelle de l assurance. Seul l expert me renseigne merci à lui  car l assurance rien.
Decu de cette assurance ce scooter c est un outil indispensable pour moi. Et je suis en galère depuis plus d un moi. Je suis pas responsable de l accident et j ai deux témoins. Mais ca n avance pas aucune communication voir je dérange...,c est pas la peine de nous contacter  on me dit après mon premier con
Appel téléphonique rassurant non...
Il va falloir si cela continue que je résilie mes contrats chez eux.</t>
  </si>
  <si>
    <t>13/04/2017</t>
  </si>
  <si>
    <t>olivier-p-113634</t>
  </si>
  <si>
    <t>Très bonne surprise que Zen Up, découvert grâce aux Furets.
Très bon contact avec le commercial Benjamin, explications claires et succinctes.
Tarifs très compétitifs et en même temps synonymes de sérieux.</t>
  </si>
  <si>
    <t>13/05/2021</t>
  </si>
  <si>
    <t>mohammed-hichem-b-115438</t>
  </si>
  <si>
    <t>Satisfait je trouve que votre compagnie va à l essentiel avec une efficacité optimale 
Je vous en remercie 
Je ne trouve plus rien à  rajouter tellement vous en demadez</t>
  </si>
  <si>
    <t>firulete-70391</t>
  </si>
  <si>
    <t>Clients de la MAIF depuis plus de 30 ans. Contrats habitation, voiture et moto qui se renouvellent année après année sans comparer la concurrence. Bonus à 50 pour cent et pas d'accidents depuis plus de 15 ans chez eux. Les clients à ne pas perdre, quoi. Mais ils l'ont fait. Je veux changer le type de contrat pour profiter d'une nouvelle formule, qu'ils appellent 4 plus 2, auto plus moto, qui me convenait. Un génie de la direction au siège décide que ma moto qui était assurée chez eux depuis 2005 ne peut pas être acceptée dans cette formule parce qu'ils ont décidé qu'elle est de catégorie sportive. Eux seuls pensent comme ça. Honda, qui la fabriquait la considérait routière, donc, réclamation. Certains conseillers défendent ma position mais, muré dans sa rigidité et dans son absurdité, le décideur éclairé, comme il y en a dans la politique, reste ferme dans ses bottes. La MAIF dit être à l'écoute mais elle est sourde. Enfin, s'ils ne veulent pas m'entendre je ne veux plus d'elle. Avec mon historique et bonus j'ai eu le choix ailleurs. Mais il y a eu un problème. Malgré ma lettre de résiliation, en temps et en heure, la MAIF m'a incorrectement prélevé la cotisation annuelle. Je me présente chez eux et je demande le remboursement immédiat de mon argent. Le ton monte et comme je ne veux pas sortir des locaux sans avoir eu satisfaction ils appellent la police. La police arrive. Une policière me demande de sortir avec elle et sur le trottoir me conseille en bonne amie de les attaquer en justice pour avoir fait ce prélèvement entre autres commentaires sympathiques sur les compagnies d'assurance. Une chose est la publicité à la télé avec leurs dessins naïfs et leurs messages d'assureurs militants et une autre est la réalité au quotidien. Je ne sais pas si la nouvelle compagnie ne sera pas pire que la MAIF mais elle est déjà bien moins chère, ce qui n'est pas négligeable. Moralité. Il ne faut pas attendre d'avoir un problème pour constater que l'assurance n'est pas bonne. On peut le savoir dès qu'on leur demande un peu de sens commercial et de bonne disposition. Pour cela, la MAIF ne sort pas son nez de la médiocrité, militante ou pas.</t>
  </si>
  <si>
    <t>mica-72266</t>
  </si>
  <si>
    <t>Publicité mensongèreaugmentation 150 % sans sinistre pendant 10 ans xxxxxxxxxxxxxxxxxxxxxxxxxxxxxxxxxxxxxxxxxxxxxxxxxxxxxxxxxxxxxxxxXxxxxxxxxxxxxxxxxxxxxxxxxxxxxxxxxxxxxxxxx</t>
  </si>
  <si>
    <t>18/03/2019</t>
  </si>
  <si>
    <t>charlotte--b-109358</t>
  </si>
  <si>
    <t>ON m'a annoncé 617,38 euros au téléphone et le prix à régler est supérieur! Je ne comprends pas trop la raison, merci de me tenir informée de la raison de cette différence de prix.</t>
  </si>
  <si>
    <t>at-105178</t>
  </si>
  <si>
    <t>Une mutuelle décevante.
1) vous ne serez bien remboursés que si vous prenez l'Option la plus chère. N'envisagez pas l'option basse ou intermédiaire.
2) mauvaise organisation. J'ai désinscrit mon mari il y a 3 mois, le changement ne se fait pas automatiquement (et très difficilement) pour Ameli. 
Je quémande un document prouvant la radiation depuis 1 mois, pour faire le changement moi-même (2 coups de téléphone, 3 emails). Le service client n'est toujours pas revenu vers moi car "c'est une personne particulière qui le fournit". Pourtant, c'est un papier tout simple!
3) mauvais service client. Après avoir demandé un document de radiation pour mon mari, on m'a répondu par mail "nous avons bien résilié votre fils" ... - - '
Je dois avouer que le call center est très gentil, mais n'a aucun pouvoir d'action.
J'ai vraiment l'impression qu'on se moque de moi. Pourtant mes mails sont polis, factuels, et je ne demande pas grand chose à part un document!
Nous n'avons aucun remboursement pour mon mari depuis 3 mois.
Fuyez</t>
  </si>
  <si>
    <t>christelle-brunet-75508</t>
  </si>
  <si>
    <t xml:space="preserve">Santiane est très à l'écoute des clients et prend nos demande en compte c'est très agréable. </t>
  </si>
  <si>
    <t>30/04/2019</t>
  </si>
  <si>
    <t>frederic-p-108886</t>
  </si>
  <si>
    <t xml:space="preserve">Content des services et du traitement des dossiers. 
J'espère que si mon fils continu une conduite plutôt douce et prudente, il aura une remise importante pour le renouvellement de son contrat.    </t>
  </si>
  <si>
    <t>02/04/2021</t>
  </si>
  <si>
    <t>quelen-a-108932</t>
  </si>
  <si>
    <t>Réponse, suite une demande sur un site de comparateur, rapide. Interlocutrice cordiale et aimable et souriante, même si pas de présentielle. Société uniquement en ligne.</t>
  </si>
  <si>
    <t>jean-marc-g-116231</t>
  </si>
  <si>
    <t>Je suis satisfait du service et des tarifs de l'assurance voiture. Réactivité et bonne connaissance du sujet. Très professionnel. Facilité de contact.</t>
  </si>
  <si>
    <t>richard-95823</t>
  </si>
  <si>
    <t>Aucun intérêt pour leur client!
Juste bon à prendre leur cotisation. 
Je vais résilier très bientôt et même revoir tous les services du crédit agricole!!!!</t>
  </si>
  <si>
    <t>thierry-b-109579</t>
  </si>
  <si>
    <t>Je suis satisfait du service et les tarifs me conviennent parfaitement ils sont très compétitif avec une lecture très simple du contrat merci à toute l'équipe .</t>
  </si>
  <si>
    <t>patrick-p-117769</t>
  </si>
  <si>
    <t>client chez direct assurance depuis des annees et pour de nombreux contrats j en suis tres content. votre systeme de tchat est pas mal mais juste trop impersonnel. c est sans doute a couse de mon age mais j aurai prefere avoir un interlocuteur en direct</t>
  </si>
  <si>
    <t>jp-kratos-90248</t>
  </si>
  <si>
    <t>Accueil agréable et professionnalisme des conseillers, remboursements rapides, tout ce que l'on attend de la part d'une mutuelle.
De plus les remboursements sont annoncés par mail et/ou sms, ce qui permet un suivi simple et en temps réel.</t>
  </si>
  <si>
    <t>05/06/2020</t>
  </si>
  <si>
    <t>holyfilds-d-134754</t>
  </si>
  <si>
    <t xml:space="preserve">Le montant à règles et trop importantes au moment de la souscription j’ai du recommencer plusieurs fois avant d’avoir un prix mensuels et voie du navigateur privé </t>
  </si>
  <si>
    <t>jc-60759</t>
  </si>
  <si>
    <t xml:space="preserve">Nous sommes beaucoup de victimes de Cardif. Ma mère est décédé au mois d'août 2017. Elle avait 3 prêt avec cette assurance, aujourd'hui nous avons une notification de la non prise en charge de ses prêt alors que 2 prêt arrive nt à  échéances. C'est vraiment abusé ils nous font payé des assurances alors qu'ils prennent rien en charge. Je sais plus comment faire. Avez vous des réponses ? </t>
  </si>
  <si>
    <t>25/01/2018</t>
  </si>
  <si>
    <t>julien63000-132155</t>
  </si>
  <si>
    <t xml:space="preserve">Prévoyance "maintien de salaire " : il faut attendre 15 jours / 3 semaines pour qu'une personne daigne regarder votre dossier et souvent il manque un document donc c'est reparti pour 15 jours supplémentaires  car il faut systématiquement passer par leur formulaire de contact en ligne. Les demandes ne sont pas priorisées, ainsi il faut moins d'une semaine pour obtenir une attestation (aucun caractère urgent) mais attendre un mois pour percevoir le maintien de salaire (bonjour les frais de rejet prélèvements et autre !).  Organisme très mal géré.  En bref, si vous n'avez pas une bonne épargne de côté,  fuyez la MGP car elle vous enfoncera financièrement. Extrêmement déçu. </t>
  </si>
  <si>
    <t>charles73-87815</t>
  </si>
  <si>
    <t>NON RECOMMANDABLE ! Il faut faire marcher la concurrence pour arriver à avoir le tarif diminuer de moitié. A la suite d'une déclaration, mon assureur m'a demandé d'attendre 2 mois de délais et donc d'éviter de les relancer. A l'issue de ces 2 mois, à la 3ème relance il m'informe qu'ils avaient envoyé le dossier à une mauvaise adresse et qui du coup il fallait le renvoyer. Ils ne prennent pas 5 mn pour vérifier l'adresse et ils envoient un dossier en envoie simple... Finalité : la réponse a été négative car mon dégât ne fait pas parti des conditions. 3 mois de perdu alors qu'il aurait fallu qu'ils prennent 10mn de leur temps pour vérifier mon dossier</t>
  </si>
  <si>
    <t>maevap-89390</t>
  </si>
  <si>
    <t>La pire assurance auto que nous ayons eu ! 
Je n'ai jamais autant peiné afin de faire assurer un véhicule : 
- leur site internet ne fonctionne pas, il nous est impossible de télécharger les pièces justificatives afin de les compléter (essais sur différents PC et navigateurs sans succès)
- nous  leur demandons de nous les envoyer par mail plusieurs fois, encore une fois sans succès (sur plusieurs adresses mail également sans succès)
- au bout de multiples appels, car il est très compliqué de les joindre, on nous envoie les pièces par courrier : résultat : nous recevons un courrier en AR le 21/04 nous disant que faute d'avoir les pièces complémentaires le 20/04 nous ne serons plus assurés. Donc comment retourner des papiers en les recevant à posteriori ? 
- nous leur retournons toutes les pièces par mail, une semaine et demie passe, toujours pas de retours : contraints de toujours leur téléphoner pour faire avancer le dossier, et en tombant souvent sur des personnes bien désagréables
A la finale je me retrouve à payer une assurance fictive, car faute de réactivité de leur part mon véhicule n'est plus assuré depuis 2 semaines !!!
Et en plus de cela refus de leur part de faire le moindre geste commercial ....
A FUIR !!!!!!!!!!!!!!!!</t>
  </si>
  <si>
    <t>05/05/2020</t>
  </si>
  <si>
    <t>vacherat-h-122476</t>
  </si>
  <si>
    <t>Je viens de souscrire a l instant.donc je n ai evidement pas encore d avis.juste une presomption positive concernant les criteres annonces que sont le tarif et la rapidite</t>
  </si>
  <si>
    <t>06/07/2021</t>
  </si>
  <si>
    <t>antoine-m-130235</t>
  </si>
  <si>
    <t>Très bien, site bien fait!
Clairement compréhensible, facile à renseigner.
Rapidement renseignable et aisé d'utilisation.
Je recommanderai aux personnes que je connais.</t>
  </si>
  <si>
    <t>nissuor-96184</t>
  </si>
  <si>
    <t>Tarifs encore intéressants mais service clients d’aucune utilité. Vous n’obtenez aucune réponse des questions dont vous attendez la réponse. Augmentation moyenne chaque année de 10 pour cent sans pouvoir obtenir de raison valable: Type de véhicule ayant eu plus d’accidents cette année.Région où il est déclaré ayant plus de sinistres malgré  demenagement avec changement de région.
Vous ne recevez jamais les justificatifs demandés pour ces augmentations.A quitter des que Les tarifs deviendrons moins attractifs. J’ai déclaré un sinistre à 50/50 de tords. Difficultés pour annuler la déclaration alors que nous nous sommes mis d’accord avec le tiers pour régler les dégâts entre nous.
A fuir dès que les tarifs ne seront plus assez compétitifs.</t>
  </si>
  <si>
    <t>duvauchelle-g-115284</t>
  </si>
  <si>
    <t>Très satisfait de mon appel, le conseiller m'a bien détaillé l'offre, les garanties, les franchises et autres informations importantes. 
Je recommanderais vivement.</t>
  </si>
  <si>
    <t>drakce-d-125867</t>
  </si>
  <si>
    <t xml:space="preserve">Satisfait du service prix corrects à voir sur la durée 
Souscrit en ligne rapidement imbattable en parrainage offre intéressante 
Élu meilleur service 2021 </t>
  </si>
  <si>
    <t>sego1811-78344</t>
  </si>
  <si>
    <t>Quel monde bien triste et quelle conscience faut-il avoir pour travailler chez un assureur... J'ai voulu demander un devis pour ma voiture avec laquelle j'ai en effet eu un accident responsable (en reculant juste sur un parking, je vous rassure, rien de bien grave)... On m'a répondu qu'ils refusaient de m'assurer à cause de cet accident... RI-DI-CU-LE. Faut changer de métier là je pense... l'assurance, ça sert à quoi en fait ? 
Je ne suis ni criminelle, ni responsable d'accidents tous les jours, ni même tous les mois... je dirai ni même toutes les annéees. C'est bien tirsite de constater une telle société et des salariés en plus qui défendent ces valeurs... Heureusement que les mutuelles santé ne vous refusent pas encore de vous assurer parce que vous avez eu un cancer... Bien que.. ça pourrait venir. Il est temps que les choses soient légiférées...</t>
  </si>
  <si>
    <t>19/08/2019</t>
  </si>
  <si>
    <t>coco1951-81703</t>
  </si>
  <si>
    <t>Le suivi des dossiers sinistres s'est sérieusement dégradé cette année. Plus de 8 ans d'attente, des relances et toujours du retard...
Je change de Mutuelle après plus de 30 ans d'adhésion.
Le contact téléphonique, quand on peut joindre les services, a subi lui aussi une dommageable "dégringolade". Dommage !</t>
  </si>
  <si>
    <t>steca-99857</t>
  </si>
  <si>
    <t>Ils ne respectent pas leur part du contrat. aucun remboursement en 2 ans = absence identifiant (malgré mes demandes) et changement bancaire non fait...</t>
  </si>
  <si>
    <t>08/11/2020</t>
  </si>
  <si>
    <t>rayane-90764</t>
  </si>
  <si>
    <t>Y’a pas moins chers, du coup je prend cher vous mais je trouve quand même ça abusé le prix qu’ont doit payer pour une assurance auto, cents tout pour moi :)</t>
  </si>
  <si>
    <t>gteu34-66568</t>
  </si>
  <si>
    <t xml:space="preserve">Néoliane fait appel à des sociétés de courtage qui font du démarchage téléphonique agressif, en essayant de conclure le contrat par téléphone (ce qui est légal), mais avec des méthodes peu recommandables (ils font croire qu'ils possèdent vos coordonnées bancaires et vous les demandent au téléphone pour "vérifier" qu'elles correspondent bien aux leurs !) (ce qui est formellement interdit !)
</t>
  </si>
  <si>
    <t>03/09/2018</t>
  </si>
  <si>
    <t>anne26dep-66744</t>
  </si>
  <si>
    <t>Piètre prise en charge après un remorquage sur autoroute, suite à une panne. Il a fallu 6H pour avoir une réservation d'hôtel, faite à Paris alors qu'il y en avait à proximité. Personnel incompétent et échanges irrespectueux. Aucune possibilité d'échanges avec le siège après cet incident, malgré l'envoi d'un courriel. J'ai hâte de pouvoir quitter cette compagnie.</t>
  </si>
  <si>
    <t>10/09/2018</t>
  </si>
  <si>
    <t>vivi--139050</t>
  </si>
  <si>
    <t xml:space="preserve">Accueil chaleureux, très compréhensible, réponse immédiate et surtout une réponse à ma question précise. Prix super, je recommande vivement car rien n'a redire tout était parfait 
</t>
  </si>
  <si>
    <t>05/11/2021</t>
  </si>
  <si>
    <t>pat-58795</t>
  </si>
  <si>
    <t>Service téléphonique assistance médiocre, la personne m'ayant répondu n'étant pas aimable du tout et me criant dessus au téléphone alors que je suis cliente et que j'appelle pour un soucis de voiture.</t>
  </si>
  <si>
    <t>14/11/2017</t>
  </si>
  <si>
    <t>phe-n-128131</t>
  </si>
  <si>
    <t>Je suis satisfait du prix et de vôtres professionnalismes.
Simple, facile rapide et efficace, merci à vous.
Je reviendrai vers vous concernant l'assurance habitation ;)</t>
  </si>
  <si>
    <t>evelyne-77214</t>
  </si>
  <si>
    <t>Cela fait 3ans que mon conjoint et moi-même avons pris une convention obsèques. Mon mari est décédé d'un cancer le mois dernier et Générali a géré toutes les démarches administratives et financières. Tout a été très rapide et je vous remercie du soulagement de ne pas avoir géré ça.</t>
  </si>
  <si>
    <t>29/06/2019</t>
  </si>
  <si>
    <t>manou-133232</t>
  </si>
  <si>
    <t xml:space="preserve">merci a daouda pour ses explications et sa patience avec moi qui ne suis pas à l'aise avec un ordinateur et qui m'a expliqué comment me connecter à mon compte
</t>
  </si>
  <si>
    <t>laulaurangel-69469</t>
  </si>
  <si>
    <t xml:space="preserve">Assurance à bannir : ils ont résiliés mon contrat en s'appuyant sur le malentendu d'une seule conseillère (qui a compris que j avais déménagé or je suis en statut frontalier (travail en suisse, habitant en france). La résiliation a été faite "dans mon dos" (mail reçu un lundi or le samedi le service client m'assure que la suisse est couverte par l assurance, je confirme aussi habiter en france). A chaque appel, la conversation tourne en rond car ils ne savent pas gérer un cas de frontalier alors les informations,selon les différents conseillers,  varient.  Je ne fais pas recours car, réflexion faite, je préfère payer 200 euros de + à l'année (Axa, Assu2000) et avoir une assurance compétente en cas de réels besoins. Quel intérêt de payer une assurance qui le jour où vous en avez besoin vous balade en informations contraires et se perdent dans leurs propres procédures?  Sans moi! </t>
  </si>
  <si>
    <t>17/12/2018</t>
  </si>
  <si>
    <t>benjamin--124295</t>
  </si>
  <si>
    <t xml:space="preserve">Gestion des sinistres déplorables !!! On ose me demander de payer des frais de gardiennage alors qu’April me fait tourner en rond et mets 2 semaine à faire venir l’expert sur place </t>
  </si>
  <si>
    <t>allegreta-116763</t>
  </si>
  <si>
    <t>Incompétents et absents !
Il faut systématiquement s'y prendre à plusieurs fois pour obtenir une carte d'assurance, un relevé d'informations, changer une adresse.
La gestion des sinistres est désastreuse ! On est seul, personne ne répond, personne ne sait où en est le dossier. Les délaisd remboursements sont interminable.
Ca fait 6 mois que j'ai eu un accrochage et ce n'est toujours pas réglé.
Un conseil, passez votre chemin et allez voir ailleurs.</t>
  </si>
  <si>
    <t>popeye-68550</t>
  </si>
  <si>
    <t xml:space="preserve">ma maison à harnes est fortement dégradèe suite à des travaux de terrassement faits par un lotisseur,sinistre déclaré le 04/01/2018.Des experts incompétents sont intervenus et nient la réalité des faits. a ce jour,aucune indemnisation et ma maison s'écroule. agèe de 79 ans,je dois quitter ma maison et être hébergèe. service sinistre laxiste et incompétent.. il y a quatre mois,le service sinistre a conseillé de ne pas entreprendre de travaux tant que l'étude sols n'était pas réalisèe. cette étude a été faite le 26/09/2018 et je suis sans nouvelles. grace à axa ma maison s'est depuis affaissèe. je vais porter cette affaire en justice et devoir engager des frais importants malgré ma pension très modeste. aucune réactivité de cette compagnie d'assurance malgré de nombreux mails. </t>
  </si>
  <si>
    <t>12/11/2018</t>
  </si>
  <si>
    <t>vieira-b-133830</t>
  </si>
  <si>
    <t xml:space="preserve">Bonjour,
Je suis satisfait du services obtenue. Bonne comunication avec le personnel.
Une souscription Simple et rapide. 
Merci 
Cordialement 
Vieira Brayan </t>
  </si>
  <si>
    <t>ninette-91-103299</t>
  </si>
  <si>
    <t>J'ai une Confiance totale en eux
Ils font leur travail avec beaucoup de sérieux.
D une extrême Amabilité l'or des conversations téléphoniques
Bonne Écoute et ce, depuis 23 ans, 
Je leur reste fidèle</t>
  </si>
  <si>
    <t>beirer7-52941</t>
  </si>
  <si>
    <t xml:space="preserve"> Je suis chez eux depuis 1987. Cela s'appelait Cabinet Valois à Tours: aucun problème
Puis AMT assurances repris vers 2011 par APRIL qui n'est absolument pas un spécialiste de la circulation.
La plupart du temps, ce courtier vous place chez ARISA , assurance luxembourgeoise, car April est courtier, pas assureur, il faut le savoir.
Bref, depuis 5 ans, galère pour tout changement de véhicule, modif de contrat etc.. Il faut appeler et envoyer une multitude de mails. Ils demandent des justificatifs illégaux pour suspendre la garantie d'une moto suite à sa vente, style carte grise du nouveau propriétaire à qui on l'a vendu... surréaliste.
A 11H00 ce matin ils m'adressaient en temps réel un mail avec un devis pour ma nouvelle......il leur suffisait de répondre sur le mail. Il est 20 H00 et je n'ai rien reçu !
Je ne parle pas du petit sinistre non responsable à 400 € survenu en 2012.... l'expert est passé au bout de 3 semaines . </t>
  </si>
  <si>
    <t>02/03/2017</t>
  </si>
  <si>
    <t>saidou37-59125</t>
  </si>
  <si>
    <t xml:space="preserve">La compagnie refuse de prendre en charge un sinistre de vandalisme, parce que la carte grise n à pas été faite, de plus elle remet en cause le mauvais tarif appliqué à la souscription, différence de prix sur 1an avec bonus 50% depuis plus de 3ans, sans sinistre durant les 3 dernières années  : 1600 € à déduire du sinistre en plus de la franchise soit un total de 2500 €, simplement pour une erreur entre employé et assimilé  fonctionnaire.
</t>
  </si>
  <si>
    <t>25/11/2017</t>
  </si>
  <si>
    <t>wa-90233</t>
  </si>
  <si>
    <t>Mutuelle chère, peu remboursante et sans doute dotée d'une structure en personnel peu efficace. Gérant de droit depuis 1947 la partie Assurance maladie des personnels de l'Education Nationale, elle profite largement de cette situation de monopole</t>
  </si>
  <si>
    <t>k-114873</t>
  </si>
  <si>
    <t>à fuir.
Mon scooter a été volé et je n'ai rien reçu de la part de mon assurance.
Mon scooter a été volé et je n'ai rien reçu de la part de mon assurance.</t>
  </si>
  <si>
    <t>fauvel-d-111198</t>
  </si>
  <si>
    <t xml:space="preserve">je suis satsfais du prix         
je verais par la suite  si l olivier assurance   me satisfais    
mais  pour la mise en route de mon contrat  je le trouve facile  a mettre en route et a le signée le mois prochain  je pense faire une simulation pour un espace  4 
</t>
  </si>
  <si>
    <t>discojo-92806</t>
  </si>
  <si>
    <t>Site internet très facile à comprendre et à naviguer, Après comparaison, les meilleurs tarifs pour ma part. Un SAV très amical, toujours de bonne humeur, à l'écoute et surtout très efficace. A la fin de chaque échange avec le SAV j'en sors très satisfait</t>
  </si>
  <si>
    <t>30/06/2020</t>
  </si>
  <si>
    <t>bruno-109320</t>
  </si>
  <si>
    <t xml:space="preserve">Une forte démarche de la part de leur courtier Assurance de ADOUR pour adhérer et changer de mutuelles.
3 mois après une adhésion n'ont toujours pas mis en place la télétransmission avec mon régime de base donc aucun remboursement de complémentaire santé
Et pour les joindre c'est la catastrrophe
</t>
  </si>
  <si>
    <t>zilo-96804</t>
  </si>
  <si>
    <t xml:space="preserve">LARGEMENT plus à mon écoute que mon ex agent local . Sans me déplacer !! Avec un service renseignement et résolution des problèmes très très performant </t>
  </si>
  <si>
    <t>29/08/2020</t>
  </si>
  <si>
    <t>dagneaux-e-113350</t>
  </si>
  <si>
    <t>Je suis satisfait du service, la facilitée de souscrire une assurance rapidement via internet facillite énormément la tache et me fait gagner un temps énorme.</t>
  </si>
  <si>
    <t>heinz-c-107519</t>
  </si>
  <si>
    <t>plus mon véhicule vieilli, plus l'assurance est chère....Avant vous faisiez des gestes commerciaux pour les bons conducteurs ! je vous ai souvent conseillés à mes proches pourtant</t>
  </si>
  <si>
    <t>philippe-c-124459</t>
  </si>
  <si>
    <t>J’ai toujours été satisfait par AMV. Rien à redire du service client, très bon accueil téléphonique. Les informations données sont claires et les tarifs sont bons.</t>
  </si>
  <si>
    <t>cuadra-d-111654</t>
  </si>
  <si>
    <t>L'expérience de vente est intéressante, les prix pratiques sont concurrentiels, l'utilisation du navigateur est simple, ergonomique et efficace.
Rien à dire</t>
  </si>
  <si>
    <t>26/04/2021</t>
  </si>
  <si>
    <t>jeand-134243</t>
  </si>
  <si>
    <t>Assuré depuis plusieurs années avec cette assurance, j'ai essayé de les joindre pour voir si en cas de décès il serait difficile de les joindre, et bien après plusieurs essais et par différents moyens site web, téléphone,  impossible de les joindre, ce qui m'interroge beaucoup sur comment des enfants mineurs peuvent ils obtenir la somme qui devrait leur permettre de faire face à la perte d'un parents ?</t>
  </si>
  <si>
    <t>soso-113055</t>
  </si>
  <si>
    <t>Très bon esprit motard et mutualiste! Gestion des sinistres rapide, toujours un interlocuteur qualifié. Niveau tarif très bon rapport prix/garanties, remboursement achat équipement de protection. Mutuelle engagée auprès des motards et leurs intérêts avec le partenariat FFMC (c'est grâce à eux qu'il n'y a pas de contrôle technique depuis 12 ans)!!</t>
  </si>
  <si>
    <t>youssef-b-109332</t>
  </si>
  <si>
    <t xml:space="preserve">je suis satisfait de mon offre et de ma nouvelle assurance auto , j'ai longtemps cherchez une assurance  et aujourd'hui je l'est enfin trouver je remercie l'équipe du service client.
Merci et bonne continuité. </t>
  </si>
  <si>
    <t>dewil-e-135953</t>
  </si>
  <si>
    <t>Je suis un peu bcp déçu du niveau des prix qu'on est obligé de payer d'avance un acompte d'une somme importante et en+ qu'on est obligé de payer des frais supplémentaires pour le dossier d'assurance ce que je trouve pas normal par ce que pour souscrire une assurance il est obligatoire de créer un dossier sinon cela est impossible sans dossier donc il est normal de constituer un dossier qui devrait être gratuit alors ici c'est pas le cas c'est payant chez L'olivier Assurance c'est dommage je suis déçu et dégoûté..Voici mon avis</t>
  </si>
  <si>
    <t>joyeux-f-135217</t>
  </si>
  <si>
    <t xml:space="preserve">Simple et pratique 
Mais le tarif en bas du contrat n'est pas le même que sur le devis. 
J'espère avoir de vos nouvelle et une régularisation rapidement   </t>
  </si>
  <si>
    <t>ladamcat-69054</t>
  </si>
  <si>
    <t>Bien déçue après 40 ans à la MAIF</t>
  </si>
  <si>
    <t>30/11/2018</t>
  </si>
  <si>
    <t>siberchicot-q-138923</t>
  </si>
  <si>
    <t xml:space="preserve">Je suis très satisfaite du service. Les explications du conseillé parfaitement bien expliquées.
Rapide, efficace et à l'écoute . Je recommande cette assurance
</t>
  </si>
  <si>
    <t>anne-l-124531</t>
  </si>
  <si>
    <t>rapide efficace et tarifs ok 
seule contrainte les 2 premiers mois à régler alors que les concurrents sont sur un mois
et le code parainage ne semble pas avoir fonctionné</t>
  </si>
  <si>
    <t>antoinev-59807</t>
  </si>
  <si>
    <t>Bonjour,
Je m'occupe de ma mère.
Début septembre 2018, nous avons reçu une mise en demeure de l'hôpital Lavéran pour des frais de janvier. Durant 6 mois, l'hôpital n'a pas à obtenu de réponse de Néoliane.
Nous avons contacté Néolianee par la messagerie de l'espace adhérent (comme nous l'avait conseillé un opérateur de Néoliane lors de l'adhésion). 
Mais sans réponse de Néoliane, nous avons du réglé les factures.
Nous avons renvoyé messages, à ce jour sans réponse...</t>
  </si>
  <si>
    <t>leolili63-114747</t>
  </si>
  <si>
    <t>Aucune arrangement avec eux je déconseille cette assurance en plus trop chère !!! Ce n'a rien à voir avec leurs Pub sérieux....!!! il mon resilier au bout de 6 mois d'assurance car il ne voulait pas d'arrangement, seulement j'ai perdu en salaire a cause de mon chômage partiel, donc maintenant faut que je retrouve une assurance merci la MAAF !!!</t>
  </si>
  <si>
    <t>vandermeeren-j-117722</t>
  </si>
  <si>
    <t>Très réactif et sympathique au téléphone.Tout est clair et précis,j'ai obtenu directement par email ma carte verte provisoire.
Suivi électronique très simple et fiable. 
Bonne continuation.</t>
  </si>
  <si>
    <t>fadapa-56279</t>
  </si>
  <si>
    <t>CARDIF m'a envoyé pour un suivi de mes dossiers un identifiant et un code confidentiel provisoire. Aucun des identifiants et code confidentiel n'est reconnu sur le site CARDIF. J'ai donc écrit à CARDIF via CETELEM (qui m'a prêté les fonds assurés par CARDIF). CARDIF m'a envoyé un courrier précisant que le nécessaire sera fait sous 15 jours, mais que si cela n'était pas fait, un délai de 2 mois supplémentaires de traitement sera demandé. Bien évidemment, CARDIF a mis en application immédiatement le délai de 2 mois car je n'ai toujours rien reçu. Fin août, une assignation en justice les attend avec médiatisation auprès de l'émission de Mr Courbet sur RTL.</t>
  </si>
  <si>
    <t>26/07/2017</t>
  </si>
  <si>
    <t xml:space="preserve"> Bonjour,
J'ai tenté de souscrire ce vendredi 10 avril 2020 par téléphone.
L'opérateur a refusé un parrainage, au motif que j'avais effectué des devis via un comparateur.
Je précise que le devis à partir duquel je souhaitais souscrire, a été effectué sur leur site, devis n°2253856080.
Par ailleurs, on souhaitait m'assurer au tiers, soit disant compte tenu de l'âge de ma voiture, alors que je ne le souhaitais pas.
On voulait également me faire souscrire un pack sérénité, dont je ne voulais pas.
Bref, je crois que je vais en rester là.....car cet assureur m'inspire tout, sauf de la sérénité....
Je n'ose imaginer ce qu'il en serait si j'avais un sinistre chez eux...
Honnêteté de cette assureur douteuse.
A éviter.</t>
  </si>
  <si>
    <t>10/04/2020</t>
  </si>
  <si>
    <t>sjdb7374-94676</t>
  </si>
  <si>
    <t xml:space="preserve">Tres bonne assurance avec des conseillers à l'écoute et disponibles. Je recommande cette assurance. Il n'y a pas de surprises dans les garanties couvertes </t>
  </si>
  <si>
    <t>20/07/2020</t>
  </si>
  <si>
    <t>christina-c-131299</t>
  </si>
  <si>
    <t xml:space="preserve">Simple même si la première mensualité est assez conséquente
Rapport qualité prix assez interessant pour des tarifs abordable en temps que jeune permis </t>
  </si>
  <si>
    <t>04/09/2021</t>
  </si>
  <si>
    <t>estelle-71395</t>
  </si>
  <si>
    <t>Axa me résilie mon assurance auto et refuse de m'envoyer le relevé d'information malgré des courriers recommandés et des appels téléphoniques au siège!!!!
aucun retour de leur part sauf répondre "ça ne va pas tarder"!
ma première demande date du 11/10/2018. On est le 18/02/2019 et toujours rien!!!</t>
  </si>
  <si>
    <t>nicolas-k-129540</t>
  </si>
  <si>
    <t xml:space="preserve">Très satisfait des prix, enfin des dépenses en adéquation avec l'utilisation actuelle de mon véhicule (trajet domicile-travail 
                            </t>
  </si>
  <si>
    <t>sihem-s-111778</t>
  </si>
  <si>
    <t xml:space="preserve">Je suis satisfait 
Merci beaucoup pour votre service 
Les conseillers sont tjrs à notre écoute 
Direct assurance est la meilleure assurance .
je recommande </t>
  </si>
  <si>
    <t>broyant-n-134992</t>
  </si>
  <si>
    <t>Satisfait pour le moment, nous verrons bien à l'usage si nous avons bien fait!!!
Les prix sont très corrects, les garanties aussi, et les franchises ajustables.</t>
  </si>
  <si>
    <t>ninamax-117952</t>
  </si>
  <si>
    <t xml:space="preserve">Service super rapide et a un très bon prix je n'ai rien a dire sur le service je le recommande vivement a tout jeune permis ,le prix défi toute concurrence </t>
  </si>
  <si>
    <t>stephanie-a-126287</t>
  </si>
  <si>
    <t>Je suis satisfait du service, les prix sont résonnables. Je recommande direct assurance sans problème. La souscription est simple et rapide 
Rien à rajouter de plus</t>
  </si>
  <si>
    <t>dico-101625</t>
  </si>
  <si>
    <t>Pour ma part j'ai eu un accident la personne c'est barré j'ai fait un constat où j'ai mis sa plaque d'immatriculation mes j'ai jamais eu de réponse depuis 1ans donc a fuir et il sent moque complètement et le prix et extrêmement chère 
Assurance nul</t>
  </si>
  <si>
    <t>rocheuse250-75029</t>
  </si>
  <si>
    <t xml:space="preserve">Ne recommande absolument pas cet assureur, des prix excessifs pour un service déplorable. 
10 ans chez eux pour me rendre compte que les garanties ne sont pas interessantes par rapport à des concurrents moins chers. </t>
  </si>
  <si>
    <t>12/04/2019</t>
  </si>
  <si>
    <t>bories-c-129370</t>
  </si>
  <si>
    <t xml:space="preserve">Je suis très satisfait de votre assurance bon voilà vous m’avez radié pour un jour de retard de paiement mais je reste chez vous vous êtes une bonne assurance merci </t>
  </si>
  <si>
    <t>jean-francis-g-105176</t>
  </si>
  <si>
    <t>très réactif efficace ,a l'écoute du client , niveau prix très intéressant et très compétitif  traitement des dossier rapide entreprise sérieuse et qualifier</t>
  </si>
  <si>
    <t>marinaf-50406</t>
  </si>
  <si>
    <t>je ne suis plus cliente car plus de véhicule suite à un sinistre mais je dois dire que le service a été excellent et bien au-delà de mes attentes (après avoir lu des commentaires négatifs sur ce site). si je devais acheter un nouveau contrat pour une future voiture, j'irais sans hésitation chez cet assureur à nouveau</t>
  </si>
  <si>
    <t>17/12/2016</t>
  </si>
  <si>
    <t>mm-53953</t>
  </si>
  <si>
    <t xml:space="preserve">Deux petits sinistres indemnisés et,... un courrier qui nous  informe que notre contrat est résilié. Pour... abus. 
On marche sur la tête ! Pourquoi toutes ces publicités partout, dans la vraie vie, il existe de vrais soucis et c'est précisément pour cela que l'on se couvre avec une assurance...qui vous viré. </t>
  </si>
  <si>
    <t>kofab-103537</t>
  </si>
  <si>
    <t>Honteux! , , service clientèle pitoyable, ils en ont rien à foutre de vous , pas capable de résilié le contrat de l ancien assureur, te retrouve à payer 2 assurances, te rembourse pas, et maintenant me retrouve avec 2 assurances sur la meme voiture,  et maintenant c'est à toi de faire les démarches pour t en sortir. Je déconseille!  , à fuir !</t>
  </si>
  <si>
    <t>02/02/2021</t>
  </si>
  <si>
    <t>panegyrix-62182</t>
  </si>
  <si>
    <t>A fuir</t>
  </si>
  <si>
    <t>cynthia--115433</t>
  </si>
  <si>
    <t xml:space="preserve">Le service client et le service assistance est vraiment déplorable.  De nombreux service de remorquage refusent de travailler avec cette assurance à cause d'impayé. Jai été pris en grippe car le service par des vendeurs qui t'agresse au téléphone et se permet de vous parler comme ci vous étiez une moins que rien. En oubliant que nous payons une certaine somme tous les mois, pour avoir un service de qualité et c'est très loin detre leur cas.  </t>
  </si>
  <si>
    <t>stelle--94798</t>
  </si>
  <si>
    <t xml:space="preserve">Triste de devoir faire un comparatif d’assurance et de ce rendre compte que le tarif est 200€ moins cher que ce que je paie actuellement Chez vous ! Merci de me rappeler </t>
  </si>
  <si>
    <t>kakiss-85927</t>
  </si>
  <si>
    <t>Accident non responsable, indemnisation qui ne permet pas du tout d'acheter un véhicule similaire, pensant être bien couvert, en fait pas du tout. Toujours en attente du versement 3 semaines après l accident.
Temps d'attente au call center de 15 minutes en moyenne (matin, midi, ou soir ).
Indemnisations corporels, pendant 3 semaines, aucunes nouvelles, demande énormément de justificatifs or étant blessés, aucune aide à la constitution du dossier, assurance qui cherche à tout minimiser par rapport à d autres ....</t>
  </si>
  <si>
    <t>brevinois-44-98775</t>
  </si>
  <si>
    <t xml:space="preserve">Assuré pendant 10 ans au prix fort 381€ mensuel, jamais contacté pour avoir un nouveau contrat moins cher aucune considération elle n a que le nom de mutuelle ce sont des financiers quelle honte de jouer sur l éthique des gens </t>
  </si>
  <si>
    <t>15/10/2020</t>
  </si>
  <si>
    <t>mohamed--a-134588</t>
  </si>
  <si>
    <t xml:space="preserve">Merci  je vous fait confiance c’est pour ça je choisi direct Assurance  mais il faut améliorer votre service client en ligne par tél il faut que vous serez joignable même les week-ends </t>
  </si>
  <si>
    <t>26/09/2021</t>
  </si>
  <si>
    <t>tavernier-l-122364</t>
  </si>
  <si>
    <t xml:space="preserve">Facilement joignable par téléphone. Cependant si le conseiller n'est pas compétent, on se retrouve avec un dossier incomplet, un contrat non supprimé et un prélèvement non prévu! Heureusement, tous ne sont pas "à côté de la plaque" </t>
  </si>
  <si>
    <t>lionel-b-113844</t>
  </si>
  <si>
    <t>Le service est satisfaisant. En revanche, les prix sont excessifs, étant donné que Direct Assurance se vante d'avoir les contrats les moins chers. Par ailleurs, malgré mon ancienneté et mon bonus, les tarifs augmentent tous les ans.</t>
  </si>
  <si>
    <t>16/05/2021</t>
  </si>
  <si>
    <t>nathalie-g-134969</t>
  </si>
  <si>
    <t>Rapidité fluidité je me suis trompée en enregistrant mon adresse mail rapidité pour le changement merci pour la réactivité je recommande aux nouveaux assures</t>
  </si>
  <si>
    <t>bastien-b-106535</t>
  </si>
  <si>
    <t>Les prix ont augmenté malgré l'année 2020 marquée par une baisse significative des sinistres en tout genre du a la crise sanitaire et au confinement..</t>
  </si>
  <si>
    <t>14/03/2021</t>
  </si>
  <si>
    <t>mamiefranckie-22575</t>
  </si>
  <si>
    <t>Je quitte à regret April pour une question financière,car retraitée je la trouve un peu trop chère pour moi. Mais par contre ,rien à dire sur les échanges, sur les remboursements, sur la conformité garanties et remboursements. Je n'ai jamais eu le moindre litige avec eux. Perso, je recommande   cette mutuelle ,ma garantie se complétait d'une petite garantie bien être que bien d'autres mutuelles ne proposent pas.
Peut être y retournerais je, on verra à l' usage des autres mutuelles.</t>
  </si>
  <si>
    <t>melodie-m-113186</t>
  </si>
  <si>
    <t xml:space="preserve">Je suis satisfaite mais dommage de payer les deux premiers mois d'un coup ce n'est pas toujours évident !
En tout cas les prix sont quand même tops et le site est très bien fait. </t>
  </si>
  <si>
    <t>thierrysf-58877</t>
  </si>
  <si>
    <t>La MAAF semble être une bonne assurance jusqu'à ce qu'on ait un sinistre. Là il n'y a plus personne. Suite à un sinistre je suis dans l'incapacité de joindre la MAAF depuis 2 jours (standard ne répond pas). Pire mes emails me sont renvoyés par cause de boite à lettres pleine! Jamais vu cela en 20 ans d'internet. La MAAF avait promis de m'envoyer un remorqueur pour déplacer mon véhicule. Celui-ci n'est jamais venu. Lorsque j'ai rappelé la MAAF mon interlocuteur m'a agressé au téléphone me rendant responsable de l'incident. J'avais pourtant bien précisé à la MAAF que mon véhicule se trouvait dans un parking souterrain.</t>
  </si>
  <si>
    <t>16/11/2017</t>
  </si>
  <si>
    <t>pommes69-100054</t>
  </si>
  <si>
    <t>Allianz a fait une erreur dans la répartition de mon versement volontaire sur mon PER. Cela fait un mois et demi que je les ai informé. Le problème n'est toujours pas réglé ! La palme d'or du service clients bureaucratique..."On va gérer votre problème dans un délai de 3 semaines à 2 mois". Entendre ça en 2020, on croit rêver !</t>
  </si>
  <si>
    <t>13/11/2020</t>
  </si>
  <si>
    <t>adil-86537</t>
  </si>
  <si>
    <t>aucun respect au niveau de la clientèle, ne sont pas à l'écoute ils ne suivent aucun dossier correctement j'ai un patrimoine important et je suis donc à la recherche d'une autre assurance, car je n'est plus confiance a sogessur ils sont vraiment irrespectueux je déconseille fortement. j'attendais un remboursement depuis 3 mois si je ne l'est appelé pas ils comptais pas rembourser ils attendais tout simplement que j'oublie mon argent. Une autre conseillère qui s'appelle Gladis m'a envoyer clairement m'envoyer balader car j'ai appelé pour demander des feuilles de constats fin bref une grosse catastrophe</t>
  </si>
  <si>
    <t>30/01/2020</t>
  </si>
  <si>
    <t>cricri-110953</t>
  </si>
  <si>
    <t>Je déconseille la gmf
Mon fils a retrouvé la voiture endommagé  et malgré que je sois assurée tous risques la gmf refusé catégoriquement de prendre en charge les réparations . Cela ne sert absulument à rien de payer une assurance tous risques à la gmf depuis 30 ans!!!
N'allez pas à la gmf.</t>
  </si>
  <si>
    <t>mia-m-112437</t>
  </si>
  <si>
    <t>bonne assurance, à l,ecoute.bon suivi.conseiller a l,ecoute agreable explique bien donne toutes les information necessaire.bon suivi clientele.je recommande cette assurance</t>
  </si>
  <si>
    <t>ken64600-63592</t>
  </si>
  <si>
    <t>Extrêmement déçu par L'Olivier. Tout allait très bien (tarifs, contacts...), jusqu’à mon déménagement... En plus d'une augmentation de ma cotisation au bout d'un an, le changement de lieu de garage de mon véhicule (au fonds d'une impasse dans une ville de campagne de 1000 habitants) entraîne un avenant de plus de 200€ soit un total de 753€ alors que les devis sur leur site s'élèvent à 500€ pour la même situation !!!
Je ne comprend pas et quand je demande des explications, le seul retour que j'ai est mon relevé de situation pour que je change d'assureur...</t>
  </si>
  <si>
    <t>26/04/2018</t>
  </si>
  <si>
    <t>gilles--110856</t>
  </si>
  <si>
    <t>Tout est clair. Le site internet est très bien fait et facile d’utilisation.
Sans doute l’assurance 2 roues en tête de classement pour le tarif et les niveaux de prestations.</t>
  </si>
  <si>
    <t>sarah-g-138541</t>
  </si>
  <si>
    <t>Je suis satisfaite du temps que sa a mis vraiment super  je vais recevoir mon papier sur boîte mail merci de votre réponse
Madame godmer Sarah
A très bientôt</t>
  </si>
  <si>
    <t>29/10/2021</t>
  </si>
  <si>
    <t>matthieu-s-135616</t>
  </si>
  <si>
    <t xml:space="preserve">Bonjour madame monsieur 
Simple et rapide rien a redire je recommande sans soucis cette compagnie d assurance 
Merci au site l’es furet pour la recommandation 
</t>
  </si>
  <si>
    <t>02/10/2021</t>
  </si>
  <si>
    <t>jufanpi-97647</t>
  </si>
  <si>
    <t xml:space="preserve">Assurance très bonne pour vous vendre du vent. Pas chère mais dès que l'accident arrive aucun suivi du service sinistre. blocage du dossier pour des pièces soi-disant manquantes jamais relancées et documents complémentaires à fournir pour faire avancer la réparation. 
communication = 0 suivi du dossier = 0
De plus mauvaise fois assurée du service client, dépôt des documents sans avis ni date de dépôt, aucun accusé de réception (dépôt effectué plusieurs fois sans modification des pièces demandées)
Bref: assurance pas chère mais traitement de votre sinistre et suivi de votre dossier à l'avenant.
Annuité d'assurance augmentée de 5% sans prévenance.
Scandaleux et à fuir absolument.
</t>
  </si>
  <si>
    <t>21/09/2020</t>
  </si>
  <si>
    <t>mlr-69653</t>
  </si>
  <si>
    <t>Manque de déontologie.Service inaccessible sauf plateforme qui fait de son mieux face à la médiocrité et les erreurs de l'agence</t>
  </si>
  <si>
    <t>24/12/2018</t>
  </si>
  <si>
    <t>hajar2019-78528</t>
  </si>
  <si>
    <t xml:space="preserve">La prise en charge des accidents de travail est catastrophique c'est une HONTE, à ce stade on ne parle plus d'incompétence mais d'ARNA QUE! Cela fait plus de 6 mois que je ne perçois plus aucun salaire! L'urgence est aujourd'hui vitale, ils n'en n'ont que faire, et me pondent à chaque appel un nouveau prétexte pour ne pas avoir à régler. J'ai déjà contacté un avocat pour les assigner en justice! </t>
  </si>
  <si>
    <t>quentin-g-112489</t>
  </si>
  <si>
    <t xml:space="preserve">Très bon service et prix attractif. Répond parfaitement aux attentes. L'offre proposée est adaptée à mes besoins avec une réactivité remarquable. Merci. </t>
  </si>
  <si>
    <t>ggcmoi-67725</t>
  </si>
  <si>
    <t>Voilà prêt d un an que j ai eu un sinistre sans être en tort et absolument aucun suivit de la part de l Olivier après avoir envoyer environ 6 fois les document demander donc je déconseille vivement cette assurance.</t>
  </si>
  <si>
    <t>15/10/2018</t>
  </si>
  <si>
    <t>loic-m-126806</t>
  </si>
  <si>
    <t xml:space="preserve">Plutôt satisfait du service 
Et content du service youdrive si cela permet bien de faire baisser la facture
Car assurance un peu chère à l'année 
Site pour les devis très bien détaillé et fourni </t>
  </si>
  <si>
    <t>dias-custodie-i-125792</t>
  </si>
  <si>
    <t xml:space="preserve">Rapport couvertures/cotisation correct, devis rapide et informations claires
A consulter lors de nouvelles souscriptions, voitures comme habitation sans hésitation </t>
  </si>
  <si>
    <t>31/07/2021</t>
  </si>
  <si>
    <t>cindy-b-132168</t>
  </si>
  <si>
    <t>je suis satisfaite du service 
l accueil est agréable et les réponses a mes questions ont toujours eu une réponse jusqu'à maintenant
je fait partie de cette assurance et pour l'instant tout va bien</t>
  </si>
  <si>
    <t>patbou-81176</t>
  </si>
  <si>
    <t>20 % d augmentation en 2 ans de 2017 à 2019 sans accident qui dit mieux ou extension de garantie?</t>
  </si>
  <si>
    <t>raph-62059</t>
  </si>
  <si>
    <t>très bien renseigner la personne qui ma appeler était très pro. a l’écoute de mes demande.</t>
  </si>
  <si>
    <t>06/03/2018</t>
  </si>
  <si>
    <t>christian-k-125017</t>
  </si>
  <si>
    <t>Entierement satisfait   prix et qualite des services et du suivi client
reactif
je conseille a tous et franchement c est bien 
ca vaut largement les grands noms de l assurance</t>
  </si>
  <si>
    <t>fayolle-j-131435</t>
  </si>
  <si>
    <t>Tres pro, le prix est attractif, et il est facile de trouver des reductions sur le net. Ca n'a pa l'air de trainer en longueur non plus donc je ne peu qu'approuver.</t>
  </si>
  <si>
    <t>anthony-b-108977</t>
  </si>
  <si>
    <t>je suis satisfait de la conseillère 
rapide et efficace
un geste commercial aurait été apprécier.
l'application ne fonctionne pas toujours ( bemol ) 
merci</t>
  </si>
  <si>
    <t>maleplate-y-125514</t>
  </si>
  <si>
    <t>Satisfait du service. Service client top. Les prix sont très corrects et il y a une réduction de 10% si plusieurs contrats auto. Je recommande l'Olivier Assurance.</t>
  </si>
  <si>
    <t>29/07/2021</t>
  </si>
  <si>
    <t>alainp92-100222</t>
  </si>
  <si>
    <t>A FUIR ABSOLUMENT
La seule chose qui fonctionne avec eux est le prélèvement de la prime sur votre compte bancaire.
En cas de sinistre ne comptez pas sur eux. Réponse tardive, à côté de la plaque ou refus sans justification sérieuse.
N'hésitez pas à passer rapidement en contentieux avec eux, médiateur dans un premier temps puis tribunal ensuite (un avocat est nécessaire seulement pour les litiges supérieurs à 10 000 euros).</t>
  </si>
  <si>
    <t>17/11/2020</t>
  </si>
  <si>
    <t>trenlau-109648</t>
  </si>
  <si>
    <t>tarif intéressant la 1ère année. Ensuite ça se gâte: 20% d'augmentation la 2nd année (sans aucun sinistre). Refus de réviser ce tarif. Donc résiliation et retour vers un assureur classique !!</t>
  </si>
  <si>
    <t>jacdelaleuf54-86591</t>
  </si>
  <si>
    <t>Je compte changer de compagnie rapidement, assurance bien trop cher par rapport à la concurrence.</t>
  </si>
  <si>
    <t>31/01/2020</t>
  </si>
  <si>
    <t>henrides-77064</t>
  </si>
  <si>
    <t>Dossier ouvert depuis plus d'un an, toujours en cours. Presque impossible de les joindre. Parfois plus de 20 minutes d'attente sans interlocuteur, ou alors avec interlocuteurs multiples qui ne se passent pas les informations entre eux.
Ne répondent pas aux mail.
Les adresses mails communiquées sur les messages d'attente sont erronnées.
Un cauchemar</t>
  </si>
  <si>
    <t>alexandre-b-131348</t>
  </si>
  <si>
    <t>En plus de 20 ans deux fois mécontent des services. Au moment d'un décès c'est vraiment dommage. Le rappel des clients est très pratique. Les prix restent élevés.</t>
  </si>
  <si>
    <t>pascal-t-138102</t>
  </si>
  <si>
    <t>Simple d'accès, le prix est inférieur a ma précédente assurance moto MAAF, mais bien sur toujours trop élevé a mon gout, pour l'efficacité on verra dans le futur
cordialement</t>
  </si>
  <si>
    <t>23/10/2021</t>
  </si>
  <si>
    <t>nashka31-132881</t>
  </si>
  <si>
    <t>Mutuelle à fuir....
pas possible de mettre les enfants sur nos deux carte vitale, 
application mobile inexistante, 
site internet aussi minable,
Gestion très arriérée des dossiers
Très décue.</t>
  </si>
  <si>
    <t>hakim62210-52985</t>
  </si>
  <si>
    <t xml:space="preserve">Pour devenir client tout va bien pour quand il y a un Sinistre en jeu on se fait résilier comme un chien en recommandé </t>
  </si>
  <si>
    <t>04/03/2017</t>
  </si>
  <si>
    <t>roxana-m-132784</t>
  </si>
  <si>
    <t xml:space="preserve">Globalement satisfaite pour le service pour le prix un peu moins car cette une vielle voiture que je m'en serve pratiquement pas et de plus j'ai mon permis depuis 2016 sans accidents sans sinistres </t>
  </si>
  <si>
    <t>nazar-z-116150</t>
  </si>
  <si>
    <t>Je suis satisfais . mais trop chère. parce que aujourd'hui j'ai des propositions  qui sont meilleur que les votre à ce jour. Je vous remercie de bien vouloir revoir vos tarifs pour éviter mon départ.
Cordialement,</t>
  </si>
  <si>
    <t>06/06/2021</t>
  </si>
  <si>
    <t>lefebvre-c-137920</t>
  </si>
  <si>
    <t>Je suis satisfaite des services proposés simple et rapide, prise en charge de résiliation de mon contrat actuel, prix qui me correspond, et l'accueil parfait</t>
  </si>
  <si>
    <t>cricri61-81948</t>
  </si>
  <si>
    <t xml:space="preserve">Payant plus de 113 euros par mois pour une personne seule
J'ai payé 19,90 euros  chez mon ophtalmologue qui ne m'ont pas été remboursé par avril apres 6 mois
La raison nous ne prenons pas en compte cet acte.
En plus de payer 113 euros par mois ils me demande des frais de gestion 1 euros plus 5 euros plus 2 euros etc....
Délai de remboursement n'est pas de 48 heures mais minimum 15 jours
Je viens d'envoyer m'a résiliation de contrat a la date d'anniversaire
</t>
  </si>
  <si>
    <t>15/12/2019</t>
  </si>
  <si>
    <t>jean-33-104355</t>
  </si>
  <si>
    <t xml:space="preserve">Très mécontent  sur mon contrat AUTO 
Assuré tous-risques à la MATMUT depuis dix ans ,je possède chez eux plusieurs  contrats cout annuel 1084 € par an.
Pas de chance sur les 3 dernières années  = 4 constats dont un seul (responsable sans tiers identifié ) Ils ont pris en charge le remplacement d'un pare choc Arrière, cout  environ 500€
Pour les  trois autres ma responsabilité n'est absolument pas engagée.
Par ailleurs, je possède un bonus pour bonne conduite de 0,50.
 Mes cotisations toujours payées en temps et en heure..
SACHEZ Mesdames et Messieurs que la MATMUT  vient de me résilier pour (sinistralité !!!!)
Autrement dit Si vous ne leur coutez rien si vous ne leur demandez rien  tout ira bien  SINON  viré .
</t>
  </si>
  <si>
    <t>franck-56210</t>
  </si>
  <si>
    <t>j'ai souscrit chez eux il me change mon contrat il me renvoie un devis que je signe en me demandant de payer 45€ ce que j'accepte de faire puis 2 jours après ils me demande 99€ en plus on ne sait pas pourquoi???la je dit non je suis près a résilier</t>
  </si>
  <si>
    <t>24/07/2017</t>
  </si>
  <si>
    <t>bailleul-a-113942</t>
  </si>
  <si>
    <t>je suis satisfaite de l'Olivier Assurance qui avec ses conseillers très réactifs et ses prix compétitifs, correspond à mes attentes en tant qu'assureur automobile</t>
  </si>
  <si>
    <t>anatole-75424</t>
  </si>
  <si>
    <t xml:space="preserve">Voilà plus de 45 ans que je suis un fidèle clientde la Macif .J'ai eu un problème de canalisations extérieures pour laquelle j'ai une option, la Macif m'envoie un expert celui-ci arrive les mains dans les poches sans aucun outils de contrôle et dédaigne soulever la trappe de visite pour accéder aux canalisations enterrées,et d'office  il estime la valeur du stricte minimum des dommages causées pour vétustés. Je conteste la somme dérisoire  auprès de la Macif et m'en plaints comme il se doit au Service Qualité celui-ci se réfère aux dires de l'expert et refuse ma demande.Puis on me dit de faire un courrier à leur Médiateur qui lui tranchera voilà bientôt presqu'un an que cela dure j'attends sa décision et en fonction de celle-ci j'en prendrais acte. </t>
  </si>
  <si>
    <t>09/05/2019</t>
  </si>
  <si>
    <t>sam-97718</t>
  </si>
  <si>
    <t xml:space="preserve">Des personnes insolentes , avec aucun professionnalisme , Agence Axa rue arson nice à bannir , on a toujours l’impression de les déranger , des gens hautains , vous reçoit avec le café à la main , toujours en pause , et autant de personnels à rien faire et à discuter , sans compter leur  horaires d’ouverture, des créneaux inappropriés aux personnes qui travaillent , ouvre à 10h ferme à 12h pour réouvrir dans l’après-midi , c’est inadmissible, en sachant que l’agence est au centre de nice . </t>
  </si>
  <si>
    <t>ceyhanne-76091</t>
  </si>
  <si>
    <t xml:space="preserve">La franchise bris de glace étant à 25% du montant de la facture est excessif.
Raison pour laquelle je fais des démarches pour changer d'assureur dans un délai court </t>
  </si>
  <si>
    <t>20/05/2019</t>
  </si>
  <si>
    <t>michel-b-115267</t>
  </si>
  <si>
    <t xml:space="preserve">ras pour le service 
il est toutefois desagreable de voir sa cotisation annuelle augmenter malgré un bonus qui augmente aussi sans explications sur le sujet sur l avis d echeance reçu. </t>
  </si>
  <si>
    <t>lucky29-62565</t>
  </si>
  <si>
    <t>Compétence et empathie + rapidité d'exécution.Totalement satisfait !Très bon rapport qualité/prix notamment pour un jeune conducteur. Accessibilité sur internet et par téléphone n'amenant aucune critique.</t>
  </si>
  <si>
    <t>tt-58534</t>
  </si>
  <si>
    <t xml:space="preserve">Bonjour, aujourd'hui propriétaire de 35ans d'un bien immobilier habitation et commerce(que je paie depuis 12ans),louer à 1locataire fin 2014 qui c'est assurer à la maaf de bourg(01). Au 3mai 2017, incendie criminel, près des 3/4 est partie en fumé à part 1partie commerce du bas refait aux goûts et part le locataire sans obligations. Son assurance maaf le résilie environ 1mois après cet incident et mène 1enquête personnel uniquement sur cet incendie(comme nous l'ont dit le locataire et son avocat au tribunal); lui bloquant ces indemnités dont la perte d'exploitation et lui disant de m'interdire l'accès des lieux même pour des devis malgré qu'il n'y est aucune scellé policière où autre depuis le début; et sachant que fin juin 2017, sur demande de mon locataire, j'ai dû intervenir et mon assurance avancer le financement de l'intervention d'une société de nettoyage pour les denrées périssables de celui-ci; qui commençait à causer désagréments aux voisins en plus d'être néfaste pour le bâtiment. Ce n est qu après cette intervention que le locataire as changer le barillet et dit que la maaf exigait que je ne rentre plus pendant l enquête. Le 17 oct 2017, le locataire et son Avocat ont encore demander au tribunal un délai de 15jrs car ils devaient avoir les conclusions de l enquête de la maaf débuter en juin. Ce 31oct 2017,au tribunal de nouveau, locataire et Avocat n ont eu aucunes réponses et disent à la présidente que la maaf ne réponds pas et ne donne aucunes informations. (Je précise m être présenter en mai,juin,juillet à plusieurs reprises à l agence maaf de bourg et avoir téléphoner à Niort sans aucun échange possible. J ai par ailleurs envoyer 1recommander en Juillet sans réponse aussi.) A ce jour, mon locataire ne paye plus ces loyers depuis juin 2017, ce trouve en conflit avec la maaf qui, vous,l aurez bien compris, ne veut aucunement nous répondre(à mon assurance, expert et moi même), car je ne suis pas leur assuré... et à mon locataire, leur assuré non plus d ailleurs! Je me retrouve à devoir attaquer mon locataire pour l expulser pendant que celui-ci plaide être victime de son assurance qui ne lui réponds et indemnise pas! En attendants c est moi, pauvre propriétaire, qui n as plus de loyer, 1 crédit à payer, un bâtiment bruler et bloquer, 1procédure qui favorise souvent la protection des locataires, 1 huissier et 1avocat à payer... lutte pour éviter les découverts et ne pas baisser les bras... et tous le monde s en fou ! Voyant bon nombres de commentaires sur cette page, nous devrions peut-être tous faire circuler nos histoires sur les réseaux afin que d autres évitent de vivre de tels problèmes !!  merci par avance d éviter votre réponse coller copier citant votre lien comme dans tous les commentaires...  Je vous invite à me joindre directement, ce qui ne serait être difficile puisque mon bâtiments se trouve à 50m de votre agence à bourg avenue Alsace Lorraine, sinistre déjà diffuser dans le progrès. 
Cordialement </t>
  </si>
  <si>
    <t>yves--g-106569</t>
  </si>
  <si>
    <t>si on n'a pas installé la clef digitale , on ne peut pas payer, c'est anormal !  il faudrait en ce sas  pouvoir recevoir un code par sms, comme cela est courant... vous ne le faîtes pas.
et aussi, on devrait pouvoir payer en téléphonant sans passer par internet.</t>
  </si>
  <si>
    <t>20/03/2021</t>
  </si>
  <si>
    <t>poulette-110069</t>
  </si>
  <si>
    <t>Bonjour,
J'ai contacté ma mutuelle pour un problème de transmission de demande de remboursement.
J'ai été mise en relation avec Emeline qui m'a écouté ,a vérifié si ma facture leur était parvenue malgré le message d'erreur sur mon ordinateur Elle a été très efficace très professionnelle.Je la remercie aussi pour les réponses aux questions que je lui ai posées.</t>
  </si>
  <si>
    <t>barbarap-81421</t>
  </si>
  <si>
    <t>Impossible de joindre le service en cas de sinistre. Une gestion volontairement absente. un enfer!</t>
  </si>
  <si>
    <t>28/11/2019</t>
  </si>
  <si>
    <t>christian-133352</t>
  </si>
  <si>
    <t>mon épouse est décédée le 25 juin 2021. en 2019 nous avions souscrit un crédit à la bnp avec assurance décès 100%. cardif vient de rejeter ma demande d'indemnisation sous le prétexte que ma femme est décédée d'une maladie antérieure à la demande de crédit. Or le médecin qui traitait mon épouse a marqué sur le questionnaire médical que le décès de ma femme était sans rapport avec sa maladie. ils font mine d'ignorer cet avis médical. c'est innommable. j'ai contesté leur décision par mail aussitôt. je suis dans l'attente et leurs prélèvements continuent sans états d'âme ni empathie...</t>
  </si>
  <si>
    <t>johanna-74631</t>
  </si>
  <si>
    <t>Je suis assurée depuis quelques années chez eux. Nous avons eu il y a 1 an et demi un dégât électrique (surtension) la faute est de Enedis.
Nous avons été remboursé (avec vétusté ect) par la Gmf rapidement.
Plusieurs de nos appareils ménagers ont été fichu et foncièrement nous avons environ récupérer la moitié.
La Gmf a donc fait un recour auprès de Enedis afin de récupérer l'autre partie de la somme (pour nous en donner une partie mais SURTOUT pour se faire eux même rembourser de ce qu'ils nous ont versé précédemment)
Enedis les a remboursé et apparement ils nous ont eux même envoyé une lettre chèque que nous n'avons jamais reçu.
Pour information j'appelle la Gmf tous les mois depuis 1 an et demi pour ce sinistre on m'a toujours dit "on vous tiens au courant d'ici 1 mois" et cela n'a JAMAIS été fait, j'ai toujours été obligé de relancer.
Bref jai une dernière fois appelé la Gmf les informant que je n'ai jamais reçu la lettre chèque et la personne m'a tout bonnement répondu de me débrouiller avec Enedis et que eux avait clôturer le dossier !! Je me suis donc un peu agacé, elle m'a proposé (non sans agacement) de me donner le contact Enedis (elle m'a donc mis en attente) mais bizarrement elle ne m'a jamais récupérer au téléphone !!
De plus concernant le tarif j'ai effectué un devis en septembre l'année dernière pour l'habitation je les informe que nous prenons le contract chez eux et oh surprise en recevant le tableai des mensualités il avait augmenté!
Je l'avoue j'allais accouché je n'avais pas la tête à tout cela mais je vais dorénavant me renseigner afin de vite changer, cest une catastrophe juste bon à prendre l'argent !!</t>
  </si>
  <si>
    <t>niko-128640</t>
  </si>
  <si>
    <t xml:space="preserve">Suite à la vente du véhicule ils me prélèvent le mois suivant. J'ai eu toutes les peines du monde à les joindre. Aucune réponse par mail ni par téléphone, et miracle au bout d'une  semaine j'arrive enfin à avoir quelqu'un au bout du fil. 
Cette personne m'annonce que je serai remboursé le mois suivant....cela fait 1 mois et demi, je n'ai toujours pas eu mon remboursement. 
Et de nouveau, c'est silence radio, aucune réponse de leur part. </t>
  </si>
  <si>
    <t>sylvie0508-94784</t>
  </si>
  <si>
    <t>Ne répondent pas !!!
Voilà + de 3 semaines que je tente d'obtenir la lettre d'accord pour la conduite supervisée. J'envois des dizaines de mails, reste des journées entières pendue au téléphone avec leur musique d'attente, sans AUCUN retour !!!! 
J'ai pourtant bien fourni les documents nécessaires.
Passez votre chemin.. n'y allez surtout pas..</t>
  </si>
  <si>
    <t>eric-p-127401</t>
  </si>
  <si>
    <t>Parfait, rapide, et surtout les meilleurs prix du marché. Je recommande vivement pour la simplicité du dossier. En quelques cliques depuis chez moi, quel gain de temps.</t>
  </si>
  <si>
    <t>michelroa-56929</t>
  </si>
  <si>
    <t>sociétaire de la MACIF désirant assurer un scooter que je vais acheter j'envoie deux mails ce jour  pour un devis : 4 heures après pas de réponses la MAAF la MATMUT ont répondu dans les 10 minutes !!
La Macif ne veut pas communiquer les N° de Tél ni les mails de ses agences départementales : ils ont peur des clients. A fuir....Je supprime progressivement mes contrats chez eux</t>
  </si>
  <si>
    <t>28/08/2017</t>
  </si>
  <si>
    <t>stephane-c-106215</t>
  </si>
  <si>
    <t>Franchement très deçu de votre comportement me concernant . En effet ayant été assuré depuis de très nombreuses années chez vous(dont plusieurs véhicules) sans aucun sinistre mis à part 2 au cours de l'année 2020 ( pas de chance pour moi) vous me résilié mon contrat .</t>
  </si>
  <si>
    <t>11/03/2021</t>
  </si>
  <si>
    <t>audrey--111259</t>
  </si>
  <si>
    <t xml:space="preserve">Satisfaite de ma mutuelle, ils ont toujours répondu à toutes mes questions et le service d’appel est vraiment au top! Je recommande grandement. Et merci </t>
  </si>
  <si>
    <t>22/04/2021</t>
  </si>
  <si>
    <t>lina-68928</t>
  </si>
  <si>
    <t>une mutuelle a fuirrrrrrrr direction et employés incompétents</t>
  </si>
  <si>
    <t>26/11/2018</t>
  </si>
  <si>
    <t>bernard-87512</t>
  </si>
  <si>
    <t xml:space="preserve">oui je recommande vivement cette assurance qualité prix égal au prestation des concurrents un service bien suivi et le sérieux des personne chargé de la prise en charge des prestations compétent a l"écoute du prestataire ,rien a dire </t>
  </si>
  <si>
    <t>23/02/2020</t>
  </si>
  <si>
    <t>latifad-111200</t>
  </si>
  <si>
    <t xml:space="preserve">Assurée depuis toujours chez la Macif, je vais quitter le mois prochain cette assurance. 2 sinistres en 12 ans, jamais responsable et un traitement de la gestionnaire (pas tous) arrogant, me traitant comme un vulgaire numéro de sociétaire et qui limite me raccroché au nez sans même essayer de comprendre. 
La gestion qui a été faite sur mon dernier sinistre est lamentable, j'ai appelé l'assurance tous les jours depuis un mois parfois plusieurs fois par jours pour avoir des réponses. Plus d'un mois plus tard je n'ai toujours pas pu réparer mon véhicule.
Bref à fuir </t>
  </si>
  <si>
    <t>kiki92-90419</t>
  </si>
  <si>
    <t>Contrat habitation depuis 10 ans aujourd hui augmentation de 87 euros sans aavoir éte avisé de l augmentation j ai 2 voitures assuré je vais changer d assurance si je n ai pas de repinse</t>
  </si>
  <si>
    <t>10/06/2020</t>
  </si>
  <si>
    <t>john74200-24772</t>
  </si>
  <si>
    <t>Bonjour je me permets de poster un commentaire pour pousser un coup  de geule!!car en 2008 nous avons pris un credit immobilier aupres de la BNP et les avons suivi au niveau assurance en prenant la cardiff.Mais suite à un problème en 2011 et des visites aupres de differents specialiste est tombe le couperet!!!myopathie reconnu avec mise en invalidité categorie2 et reconnaissance de la MDPH!!Sauf que au mois de janvier apres visite aupres d un medecin expert je viens de recevoir un courrier de la cardiff me stipulant la non prise en charge de cet invalidité et l arret des paiements au 1er mars!!donc pour resumé reconnaissance des medecins des organismes nationaux mais pas de la cardiiff!!donc pourquoi payer une assurance invalidité??</t>
  </si>
  <si>
    <t>bret-m-124623</t>
  </si>
  <si>
    <t xml:space="preserve">Les prix sont les plus bas comparés aux autres assurances, surtout pour les jeunes conducteurs qui doivent souvent payer très cher pour être assurés. </t>
  </si>
  <si>
    <t>leschristeaux-80073</t>
  </si>
  <si>
    <t>Bonjour à toute l'équipe ,très bien acceuilli par Caroline qui m'a tous de suite aiguillé dans mes démarches et a été à l'écoute et sue rendre le dialogue très agréable.Je l'a conseille aux adhérents</t>
  </si>
  <si>
    <t>tou-98389</t>
  </si>
  <si>
    <t xml:space="preserve">cela fait 40 ans que je suis sans sinistre ; edf ma grillé mon portail a cause des nombreuse coupures  il ont refuse car il avait 7 ans et  il m impose des options de villegiature et autre que je ne veut pas , je n avais pas franchi la porte que je me suis senti agressé par la dame qui m a recu et refusé ma femme alors que nous etions que tous les deux dans l agence </t>
  </si>
  <si>
    <t>06/10/2020</t>
  </si>
  <si>
    <t>de-souza-p-116154</t>
  </si>
  <si>
    <t xml:space="preserve">je suis satisfait de la prestation d'Olivier assurance, sauf du site web qui a très souvent des soucis. ce qui rend compliqué le transfert de document. </t>
  </si>
  <si>
    <t>skovlard-101781</t>
  </si>
  <si>
    <t>Problème de compréhension qui m'a fait perdre 75€ et impossible d'obtenir un geste commercial pour rester chez eux, malgré une assurance habitation depuis 10 ans.
Au revoir GMF</t>
  </si>
  <si>
    <t>23/12/2020</t>
  </si>
  <si>
    <t>wanda-w-106243</t>
  </si>
  <si>
    <t>Je suis satisfaite du service sinistre.
J'aimerai assurer ma C1 en tous risques mais le prix est trop élevé. Chez DIrect assurance le montant que je paie actuellement chez vous correspond aux garanties tous risques. Puis je négocier avec vous ?</t>
  </si>
  <si>
    <t>pschu-100562</t>
  </si>
  <si>
    <t xml:space="preserve">Augmentation des tarifs auto et habitation de plus de 10% en un an, service en ligne médiocre (mais comme pour la plupart des assureurs aujourd'hui, la plateforme est délocalisée, on a souvent du mal à comprendre l'interlocuteur du fait de son fort accent maghrébin, quand ce dernier vous comprend...). Trois quarts d'heures en ligne pour assurer un second véhicule (l'interlocutrice semblait avoir un QI d'huître) car il n'y a aucune possibilité de rajout sur le site; ensuite on m'a demandé 5 photos du véhicule (sans préciser lesquelles), qui par trois fois n'étaient pas les bonnes (chaque nouvel interlocuteur avait sa demande particulière), sous entendant là-dedans qu'il fallait une photo du compteur (comment le deviner); m'ont également été demandés mon relevé d'information ainsi que mon permis de conduire (alors que le relevé n'est ni plus ni moins fourni par... Direct Assurances lui-même, ben oui, c'est l'assureur de mon premier véhicule...CQFD; et le permis me direz-vous ? ben kif kif, il est déjà en leur possession, puisque j'ai dû leur fournir pour le premier véhicule). En résumé, une assurance de guignols (et pourtant c'est AXA, comme quoi), leur seul atout : le prix, qui malgré cette augmentation vertigineuse en 1 an, reste compétitif. Je changerai sans doute à la prochaine augmentation. </t>
  </si>
  <si>
    <t>24/11/2020</t>
  </si>
  <si>
    <t>houcine-k-111753</t>
  </si>
  <si>
    <t>le prix est très compétitif et le site internet bien fait. En revanche nous ne pouvons pas payer par e-carte bleue. ce qui est dommage    en 2021.......</t>
  </si>
  <si>
    <t>bms78-87009</t>
  </si>
  <si>
    <t>Sinistre le 4/06/2019- entreprise mandatée pas sérieuse, pas de respect des Rv programmés, délais de réponse longs. 8 mois après, les travaux n'ont pas été réalisés... je relance sans cesse la Maaf, personne ne prend en charge notre dossier.</t>
  </si>
  <si>
    <t>11/02/2020</t>
  </si>
  <si>
    <t>lachana-a-109090</t>
  </si>
  <si>
    <t>Service efficace, simple et rapide.
la signature électronique des documents plutôt qu'imprimer le contrat, le signer et ensuite le scanner économise bien du temps et du papier.</t>
  </si>
  <si>
    <t>03/04/2021</t>
  </si>
  <si>
    <t>abdellah-s-129868</t>
  </si>
  <si>
    <t>JE SUIS SATISFAIT DES PRIX ET DU SERVICE MERCI. Le site internet est clair et simple  , j'espère que pour le futur cela restera toujours aussi simple et compétitif   merci et bonne continuation !</t>
  </si>
  <si>
    <t>aurelie-lilie13-86018</t>
  </si>
  <si>
    <t>Fidèle depuis de nombreuses années je ne regrette vraiment pas d'y être toujours
J'ai eu grand besoin d'aide concernant mon véhicule immobilisé depuis aout.
Ils apportent toute l'aide nécessaire et sont de bons conseils 
Merci à Cedric L. qui a géré notre dossier. Un énorme merci pour cette prise en charge.</t>
  </si>
  <si>
    <t>16/01/2020</t>
  </si>
  <si>
    <t>lasayas06-63036</t>
  </si>
  <si>
    <t>bonjour,
je ne change pas d'assurance tous les deux jours, mais depuis qu'idmacif a fermé, je galère avec direct assurance et maintenant avec allianz.
le service client est proche de zero chez ce dernier.</t>
  </si>
  <si>
    <t>07/04/2018</t>
  </si>
  <si>
    <t>chiramberro-a-113188</t>
  </si>
  <si>
    <t xml:space="preserve">pour l'instant satisfaite, la signature d'adhesion est de 2 jours. Conseiller à l'écoute et disponible et souple au niveau des rendez vous téléphoniques
</t>
  </si>
  <si>
    <t>dw-97566</t>
  </si>
  <si>
    <t>Bonne assurance quand vous n'en avez pas besoin.... A l'agence on me dit qu'ils ne s'occupent pas du tout du suivi des sinistres. Dire que j'avais choisi la GMF pour avoir un conseiller proche ! 
La  gestionnaire qu'on m'a passée au téléphone était exécrable (mais elle connait son métier m'a t elle dit !). 
Le dossier date de mai 2020, on m'annonce aujourd'hui que je ne peux faire réparer mon toit percé tant que le voisin n'aura pas réparé la cheminée qui est tombée. J'hallucine ! le dégat des eaux va s'aggraver, mais ce n'est pas le problème de cette dame qui m'a quasiment raccroché au nez ! 
Je quitte cette assurance sans tarder!</t>
  </si>
  <si>
    <t>richard-88520</t>
  </si>
  <si>
    <t xml:space="preserve">Propriétaire non occupant d'un logement, j'ai été victime d'un dégât des eaux le 28 mars 2019 dont l'origine est un débordement à l'étage supérieur. L'expertise a été diligenté le 05/11/2019 et j'ai réceptionné  un chèque de 1393.12 le 13/01/2020 pour l'ensemble des dégâts ( papier peint, peinture, plafond …). Mais l'expert ne veut pas tenir du décollement de la faïence murale suite à ce dégât des eaux ; faïence en parfait état lorsque j'ai acheté l'appartement 4 mois plus tôt. Car il ne constate pas de trace d'humidité derrière les carreaux ; ce qui me parait normal après une expertise 7 mois plus tard ! J'avais demandé une contre-expertise au frais de l'assurance du propriétaire à l'origine des dégâts : sans réponse d'allianz. J'avais même proposé de réparer moi-même sur mon temps libre pour une indemnisation supplémentaire de 500 € ; sans réponse.
Réponse systématiquement partielle ; aucune réactivité… . Aucune possibilité de règlement à l'amiable. Désolant…. Surtout que je suis victime donc non responsable des dommages venant d'un débordement chez le voisin du dessus.
</t>
  </si>
  <si>
    <t>24/03/2020</t>
  </si>
  <si>
    <t>bernix-95981</t>
  </si>
  <si>
    <t xml:space="preserve">Malgré un bonus de 50% depuis plus de 12 ans et aucun sinistre, je vois mon assurance grimper d'année en année: de moins de 600 euros j'en suis à 799 désormais. Je ne trouve pas cela normal.
Un tarif attractif est réalisé à la souscription et Direct assurance se rattrape par la suite et devient plus cher que de nombreuses assurances. </t>
  </si>
  <si>
    <t>06/08/2020</t>
  </si>
  <si>
    <t>morfoisse-q-136948</t>
  </si>
  <si>
    <t xml:space="preserve">Simple et rapide 
Appel téléphonique très satisfaisant !  Conseiller à l'écoute, ne cherche pas à faire des offres commercial, ce qui est agréable. 
tarifs auto intéressant 
</t>
  </si>
  <si>
    <t>11/10/2021</t>
  </si>
  <si>
    <t>ahben-65360</t>
  </si>
  <si>
    <t>Suite à un dégât des eaux survenu en juillet 2017 dans un local de 3 m2 m'appartenant dans une copropriété ,étanchéité de la toiture défectueuse, l'expert de la MACIF, mon assureur, a conclu que dans la mesure où les dégâts étaient supérieurs à 240 euros que c'était à l'assurance adverse AXA, assurance, de la copropriété de prendre en charge les travaux et que de toute manière en faisant fi de toute honnêteté intellectuelle et n'ayant pas peur de se contredire, il n'y avait pas de peinture intérieure, ni d'enduit extérieur dégradés pas de faux plafond endommagé pas de dommage au linoléum non plus, en fait il n'y avait RIEN. A croire que l'eau c'est arrêtée juste à la limite de ce qui est assuré par la MACIF. Bien sur l'expert MACIF ne m'a pas dit cela face à face, j'aurai sans doute essayé de lui faire entendre raison mais il l'a consigné dans son rapport d'expertise qu'il a rédigé dans son bureau sans que je puisse intervenir.</t>
  </si>
  <si>
    <t>10/07/2018</t>
  </si>
  <si>
    <t>phil3132-103824</t>
  </si>
  <si>
    <t>N'assure plus un véritable service client. J'ai signé un contrat auto en février 2020,  en renouvellement d'un contrat pour un autre véhicule déjà assuré chez eux. 1 an après, unilatéralement, il decide de modifier les conditions contractuelles sans qu'il n'y ait eu aucun sinistre entre temps. C'est vraiment se moquer du client. 
De plus, j'ai reçu un e-mail osant me demander un relevé d'information, pouvant laisser croire que je ne l'avais pas fourni au renouvellement alors que toutes les informations étaient chez eux. C'est abusif.</t>
  </si>
  <si>
    <t>08/02/2021</t>
  </si>
  <si>
    <t>gael-124510</t>
  </si>
  <si>
    <t xml:space="preserve">Mauvaise assurance : 
Pour un bris de glace refus de prise en charge de la facture total moins la franchise (25%) !
sur 1000€ de facture, 400€ reste à ma charge et impossible d'avoir quelqu'un au téléphone.
Obligation d'aller chez un partenaire pour payer plein pot !
</t>
  </si>
  <si>
    <t>andreone-117829</t>
  </si>
  <si>
    <t>je viens d'obtenir satisfaction après plusieurs appels concernant ma carte de tiers payant et avec la collaboration de Nisrine j'ai pu obtenir ma carte définitive de tiers payant 
bonne journée</t>
  </si>
  <si>
    <t>meli-100405</t>
  </si>
  <si>
    <t>Un gros point faible la franchise qu'on m'a diminué de 90€ à savoir de 340€ à 250€ et pour ça augmentation de ma cotisation de 75 € !!!
J'appelle ça une augmentation détournée moi !!!</t>
  </si>
  <si>
    <t>12/02/2021</t>
  </si>
  <si>
    <t>nico3737-78997</t>
  </si>
  <si>
    <t>pour me situer, j'ai changer d'assurance habitation, du au changement de banque. je regrette énormément aujourd'hui!!!!
nous sommes parti en long week-end de 5 jours, malheureusement notre frigo/congélateur est tombé en panne, donc toute la denrée à la poubelle(ce n'est pas ca le pb!!) je fais donc une déclaration à l'assurance le 13 aout(conseillère très très très désagréable et centrale d'appel hors territoire) et je n'ai pas attendu le retour de l'assurance pour en racheter un(une famille avec 3 enfants!!), retour de l'assurance le 26aout!!!!! vous lisez bien 26aout !!!! soit 13jours après pour me demander de faire constater par un professionnel les dégats du frigo pour la prise en charge, c'est une énorme blague, parce qu'ils pensent que je vais garder le frigo pourrir dans ma maison ou dans le jardin!!!!!
résultat j'ai tout envoyé c...
à mon avis à fuir !!!</t>
  </si>
  <si>
    <t>06/09/2019</t>
  </si>
  <si>
    <t>randy-a-110968</t>
  </si>
  <si>
    <t>Prix très intéressant pour les garanties. L'option tranquillité est très bien également.
Conseiller compétent et réactif.
Je recommanderais Zen-up a mes proches sans soucis</t>
  </si>
  <si>
    <t>selwiet-l-115699</t>
  </si>
  <si>
    <t>Les prix me conviennent comparé à mon ancienne assurance automobile. A voir dans le futur les avantages que je peux obtenir. Personne aimable au téléphone.</t>
  </si>
  <si>
    <t>02/06/2021</t>
  </si>
  <si>
    <t>ptichou-59671</t>
  </si>
  <si>
    <t>Si vous êtes de profession libérale ,un petit conseil,surtout Ne souscrivez pas de complémentaire santé avec cette organisme car malgré une grossesse pathologique avec courrier du médecin traitant et de la gynecologue swisslife ne veut pas me payer,je suis en arrêt depuis maintenant quasiment 3 mois et je dois constamment fournir des pièces justificatives et malgré cela c'est refus sur refus et bien évidement pas moyen de joindre le médecin conseil afin de connaitre ces refus successifs.En revanche pour me prélever tous les mois là,il n'y a jamais eu de problème.</t>
  </si>
  <si>
    <t>michael-r-117793</t>
  </si>
  <si>
    <t>je suis satisfait des prix 
des contrats
Par contre la ou je suis moins satisfait voir pas du tout c'est quand on veut vous joindre ou modifier un contrat</t>
  </si>
  <si>
    <t>zine-eddine-m-110770</t>
  </si>
  <si>
    <t>Conseillers à l'écoute. Prix élevé pour jeune conducteur mais reste un peu moins cher que les autres.
Je recommande  pour ceux qui recherchent une assurance.</t>
  </si>
  <si>
    <t>17/04/2021</t>
  </si>
  <si>
    <t>florosso-139273</t>
  </si>
  <si>
    <t>mauvais groupe ne reponds jamais aux demandes, que des informations erronées faut toujours faire attention à nos remboursements  EN UN AN C'EST LHORREUR fuyez les !!</t>
  </si>
  <si>
    <t>09/11/2021</t>
  </si>
  <si>
    <t>pancol-60397</t>
  </si>
  <si>
    <t xml:space="preserve">Très déçue du service juridique  </t>
  </si>
  <si>
    <t>11/01/2018</t>
  </si>
  <si>
    <t>irsane-d-135526</t>
  </si>
  <si>
    <t>Satisfait de mon devis de mon assurance rapide et efficace, bonne relation client par téléphone. Je conseille l’olivine assurance merci à tojt l’equipe</t>
  </si>
  <si>
    <t>hg56-107798</t>
  </si>
  <si>
    <t>Prestation globale très positive. Très bonne écoute et prix compétitif. Très réactif et efficace. Les formules sont souples et très compréhensibles. Et surtout simples</t>
  </si>
  <si>
    <t>gp-72286</t>
  </si>
  <si>
    <t>Ancien de directe assurance, le prix ma attiré, j'ai essayé, et je suis loin d'être déçu.
J'ai eu un petit accrochage depuis que je suis chez eux, prise en charge rapide et efficace !</t>
  </si>
  <si>
    <t>korgho--f-132069</t>
  </si>
  <si>
    <t>Je suis pas trop satisfait vu le prix élevés de la police d'assurance.
le prix mensuel trop cher que le prix annuel.
Police par rapport aux autres compagnies moins chère</t>
  </si>
  <si>
    <t>laurentifamily-72241</t>
  </si>
  <si>
    <t xml:space="preserve">Fuyez Interiale.Ils perdent les papiers envoyés.Il faut les renvoyer.La plate forme téléphonique ne gèrent pas les dossiers et dont d'aucun secours.
3mois de retard actuellement sur mes remboursements et ça sans aucune explications de leurs parts.
 </t>
  </si>
  <si>
    <t>pinguet-r-132291</t>
  </si>
  <si>
    <t xml:space="preserve">Prix bien plus satisfaisant que mon ceux de mon ancien assureur. Un téléconseiller plus que sympathique. Je ne regrette pas cette nouvelle souscription ! </t>
  </si>
  <si>
    <t>kessid1983-98595</t>
  </si>
  <si>
    <t>les prix augmentent tous ans alors que je n'ai jamais eu de sinistre et malgré sue le bonus augmentent (offre mini-tiers).assurance intéressante pour les jeunes conducteurs seulement.</t>
  </si>
  <si>
    <t>10/10/2020</t>
  </si>
  <si>
    <t>flojphi-59116</t>
  </si>
  <si>
    <t xml:space="preserve">Il y a 2 mois, j'avais téléphoné pour avoir des renseignements pour assurer la voiture de ma fille qui venait de trouver un travail en CDI dans le privé. La personne au téléphone m'a dit que le copain de ma fille (ils ne sont ensemble que depuis 1 an) pouvait devenir sociétaire de par son boulot. Cette personne a créé un numéro de sociétaire, me disant qu'il pouvait résilier sans problème s'il n'était pas d'accord pour être sociétaire. Il n'a rien signé, ma fille non plus, ni les papiers reçus, ni la signature électronique. 2 jours plus tard ma fille reçoit la carte verte du véhicule avec pour assuré son copain. Tout cela sans aucune signature! Il a voulu annuler tout cela, a envoyé un recommandé... et il continue d'être harcelé de courriers lui disant qu'il est sociétaire et qu'il ne peut pas résilier le contrat auto. J'en conclus qu'on peut appeler la maif et assurer son voisin (ou son pire ennemi si vous voulez qu'il vive un enfer!) sans son accord, du moment que l'on connait sa date de naissance, son adresse et le numéro d'immatriculation de la voiture! Aucune signature! Inadmissible! Je vais faire appel à 60 millions de consommateurs car cela va beaucoup trop loin. Certains sont éjectés de la Maif mais d'autres sont harcelés et ne peuvent pas s'en défaire. Je précise aussi que mon conjoint est sociétaire depuis 25 ans et est outré de ce comportement abusif! Nous avons toutes nos assurances chez eux...Je regrette sincèrement de les avoir appelés pour un simple renseignement et pour aider ma fille qui n'avait rien demandé... et je me pose la question, à savoir si je ne vais pas retirer tous nos contrats et aller chez Groupama. </t>
  </si>
  <si>
    <t>lona-75124</t>
  </si>
  <si>
    <t>Très bon acceuil de Oumaima, va jusqu'au bout du conseil de façon à ce que je n'ai plus d'interrogations. Toutes mes interrogations ont eu une réponse.</t>
  </si>
  <si>
    <t>16/04/2019</t>
  </si>
  <si>
    <t>kauffmann-r-114070</t>
  </si>
  <si>
    <t xml:space="preserve">Je suis satisfaite du prix et de l’accueil téléphonique, professionnel et polis . Je parle de mon assureur à mes proches pour qu’il s’y inscrive aussi à leurs tour merci pour votre gentillesse et politesse ! </t>
  </si>
  <si>
    <t>mlm-97243</t>
  </si>
  <si>
    <t>je.suis doublement déçue par cet assureur,   Tout va bien jusqu'à ce qu'un sinistre arrive et la vous êtes si seul. 
24ANS  sociétaires à la MAIFF : parfait vu aucun sinitre
1er sinistre sans égard,il vous traite sans justificatif comme une personne dangereuse et en plus moi qui suit en conducteur principal sur une autre voiture j'ai le même traitement:
A OUIla  MAIF est bienRESPONSABLE ET SOLIDAIRE .....................................
Et je demande le nom d'un médiateur pour traiter le problème eh bien non ils ne peuvent pas vous en donner  
MERCI LA MAIFF</t>
  </si>
  <si>
    <t>10/09/2020</t>
  </si>
  <si>
    <t>domiffa-52236</t>
  </si>
  <si>
    <t>Ma mère est décédée le 11 septembre 2016, elle a eu le temps de nous dire ou se trouvait tout les documents qu'elle avait chez elle et de nous dire qu'elle était bénéficiaire d'une assurance vie chez Generali. Nous voilà partie pour une galère sans fin, une totale ignorance du commerciale qui donne un rdv et ensuite "oublie" de venir sans présenter ses excuses et par la suite on ne le rencontrera jamais, j'ai du faire des recherches sur le net pour pouvoir trouver une adresse mail ou m'adresser pour que l'on me dise ou en est notre dossier et là une réponse avec une liste longue comme le bras avec en plus une demande complète sur la cause du décès auprès du médecin, on a de la chance le médecin à accepté de remplir ce certificat en sachant que ce qui est demandé ne concerne en rien le dossier de ma mère. bon on arrive à regrouper tout les documents et expédier le 16 décembre en AR, ils le reçoivent le 19 décembre. Début janvier j'appelle et là on nous dit qu'il y a du retard dans les traitements de dossier (ils ne serait arrivé à s'occuper que des dossier reçu le 12 octobre, la bonne blague) bon on attends et on rappelle le 31 janvier 2017, là on nous dit que le courrier nous informant de la somme que nous allons recevoir est déjà parti ce jour même (on se moque de qui?) mais que le chèque sera reçu séparément, on reçoit le courrier le 4 février, ho dis donc il est daté du 1er février et posté le 2 février (bah ça alors juste après notre appel)
Il est dit dans ce courrier que le commercial (qui nous a gentiment laissé nous débrouillé et ne répond jamais au téléphone) doit dans les jours à venir nous contacter pour nous donner notre chèque, on sait bien que c'est uniquement pour essayer de nous revendre un truc, manque de bol j'appelle ce commercial et ho étonnement il ne répond toujours pas! 
Aujourd'hui on a reçu un courrier daté du 31 janvier et posté le 7 février (toujours la date ou on les a appelé) nous indiquant qui leur manque un document et qu'on aura un  abattement de tant d'argent, donc moi furieuse je les appelle et leur dit tout le bien que je pense de ce manquement on me dit que c'est un courrier informatif, je leur demande de nous régler la somme immédiatement qu'on ne veut pas avoir affaire au commercial et là la réponse je lui envoie un mail pour qu'il vous expédie par courrier le chèque, je leur parle d'indemnités de retard et là "non madame nous ne sommes pas en retard, nous n'avons pas d'indemnités à vous devoir" et bah si vous en avez largement depuis la loi de 2007 vous nous en devez depuis le 20 janvier! Si le commercial continue a ne pas faire son travail, je vais appeler le magasine que choisir chez qui nous sommes abonnés et voir ce qui peut être fait.</t>
  </si>
  <si>
    <t>09/02/2017</t>
  </si>
  <si>
    <t>julina-64299</t>
  </si>
  <si>
    <t xml:space="preserve">Harmonie mutuelle à du mal à faire les remboursement par contre pour renvoyé des courriers de menaces sa c les rois car oui j ai bloqué le derniers prélèvement mais après sa va être quoi ??? Ainsi cela dure depuis ma soucristions avec eux carte de mutuelle arrivée quand janvier ainsi facture de 173 euros sur les 3 mois ???? Er ainsi de suite bref je la déconseillé service téléphonique désagréable nous prennent de haut et pas très cordiale </t>
  </si>
  <si>
    <t>30/05/2018</t>
  </si>
  <si>
    <t>spetitou-111632</t>
  </si>
  <si>
    <t>je suis assurée depuis 30 ans dans cette société, un seul sinistre bris de glace en 2013.
fin janvier, un véhicule percute le mien, une aile froissée, pas de quoi fouetter un chat!
Pourtant, dans un 1er temps, l'expert a estimé que j'avais fait une fausse déclaration, puis il a décrété que j'avais heurté un poteau et pour finir que j'avais perdu le contrôle de mon véhicule. Après plusieurs échanges de mails, la société accepte finalement la prise en charge  de ce sinistre , début avril. L'expert, n'ayant pas pris la peine de chiffrer les dommage, je demande que le nécessaire soit fait, afin de ne pas recommencer une discussion pendant des mois, au passage je demande un geste commercial. Depuis , silence radio!!!
En bref, j'ai eu affaire à une plateforme où en guise de gestionnaire, j'ai eu des interlocuteurs qui se contentaient de lire leur script. Aucun moyen, d'échanger avec un gestionnaire compétent! Peut-être n'y en t-il pas?
Je suis furieuse d'être considérée comme un escroc! 
De plus, les primes augmentent de façon inconsidérée, pour un résultat très insatisfaisant</t>
  </si>
  <si>
    <t>v-cohen-86934</t>
  </si>
  <si>
    <t>Insatisfait! Ils vous retranchent 2 euros a chaque utilisation de la carte, vous prennent 80 centimes par mois pour une soi disant association, et en plus, même quand vous prenez un niveau 6 d'un contrat senior, vous avez droit à trois mois de carence ou plutôt de pseudo limitation a 100 % de la base de remboursement de la sécu qui représente queudale hahaha la grande foutaise quoi</t>
  </si>
  <si>
    <t>09/02/2021</t>
  </si>
  <si>
    <t>zenitram-12947</t>
  </si>
  <si>
    <t>je suis satisfait du service donné par olivier assurance. Interlocuteur trés aimable. Prix attractif avec suffisament de garanties. Je recommanderais olivier assurance.</t>
  </si>
  <si>
    <t>byam-76350</t>
  </si>
  <si>
    <t>Le devis est intéressant mais quand vous les contactez a l'achat de la voiture : miracle vous beneficier des frais de dossier à 15 euros ( notifié gratuit sur le devis) et d'une majoration de 10 euros... vous avez les clefs de la voiture et devez rentrer chez vous... vous n'avez pas d'autre chois que de contracter l'assurance</t>
  </si>
  <si>
    <t>30/05/2019</t>
  </si>
  <si>
    <t>sylvette-p-121322</t>
  </si>
  <si>
    <t>Je suis très satisfaite du service par internet et celui du conseiller,
- résolution rapidement de la demande mais le prix est beaucoup plus cher que chez les assureurs locaux</t>
  </si>
  <si>
    <t>26/06/2021</t>
  </si>
  <si>
    <t>mongiat-u-135544</t>
  </si>
  <si>
    <t>Je suis tres satisfait de mon contrat proposé et souscrit aupres de l’olivier assurance, les prix son vraiment bien et j’espere etre autant satisfait les mois suivant.</t>
  </si>
  <si>
    <t>mathieu-n-124171</t>
  </si>
  <si>
    <t>Souscription simple via le site internet, dommage que la réduction multi contrat ne soit pas accessible au client fidèle qui seulement change leur véhicule principal</t>
  </si>
  <si>
    <t>said-d-135381</t>
  </si>
  <si>
    <t>Simple et pratique, déjà client 
j'espère que le suivi de la mise en place du changement de l'assurance se fera d'une façon plus réactive, et mieux que mon premier contrat avec zen up.</t>
  </si>
  <si>
    <t>sabrina-m-111164</t>
  </si>
  <si>
    <t>Nous sommes satisfait des prix, les démarches sont faciles, 
Nota : Nous n'avons pas encore rencontré de problème sur la route depuis que nous sommes assurés chez eux, donc croisons les doigts pour que notre satisfaction continue en cas de pépin !</t>
  </si>
  <si>
    <t>patricia-f-107874</t>
  </si>
  <si>
    <t>simple et pratique, rapide, rapide, efficace
contact et accueil téléphonique sympathique, transmission des documents simple, prix attractifs, en rapport avec la concurrence</t>
  </si>
  <si>
    <t>fleur33-67367</t>
  </si>
  <si>
    <t>A fuir absolument ! une incompétence telle qu'elle fait peur  envoie des experts jeunes et non qualifiés qui sont incapables de repérer les dégâts Aucune empathie dans le traitement des dossiers Lenteur ubuesque  : trois mois pour un  renvoi de mail !!!!!!!</t>
  </si>
  <si>
    <t>fabien-g-123674</t>
  </si>
  <si>
    <t>Devis Rapide, inscription rapide et pratique.
Reste à voir l’efficacité en cas de problème, en espérant qu’il n’ y aura pas de problème.
Pour l’instant je recommande</t>
  </si>
  <si>
    <t>myriam33-98930</t>
  </si>
  <si>
    <t>Super service client, conseillers à l'écoute ! J'ai pu changer mon assurance de prêt dans les temps et j'ai économisé 49 euros par mois. J'ai tout fait en ligne plutôt facilement. La banque a mis 3 semaines à répondre à ma demande, donc j'ai eu de la chance, je crois que ce n'est pas le cas de tout le monde !</t>
  </si>
  <si>
    <t>Magnolia</t>
  </si>
  <si>
    <t>19/10/2020</t>
  </si>
  <si>
    <t>carey-c-135405</t>
  </si>
  <si>
    <t>Bonjour je suis très contente des service je recommande je ne penser pas trouver des prix aussi bas pour une assurance voiture merci beaucoup je sollicite vraiment</t>
  </si>
  <si>
    <t>sedik-97498</t>
  </si>
  <si>
    <t xml:space="preserve">Contrat modifier, prix augmenté sans accord ou même un appel au client.
Contrat résilié, motif de vente inventé par l'olivier assurance, pareil sans appel au client. je conseille de regarder SFR ou Orange ils ont des offres pour les sociétés.
</t>
  </si>
  <si>
    <t>gege-54929</t>
  </si>
  <si>
    <t xml:space="preserve">Bonjour à tous, je suis assuré à la maif depuis plus de quarante ans, jusqu'à présent j'avais toujours été satisfait de ses services. L'an dernier à l'occasion d'un sinistre sans gravité j'ai noté que l'accueil au téléphone n'avait plus rien à voir avec ce qu'on a pu connaitre par le passé. Cette fois là, à l'occasion de plusieurs appels, j'ai eu affaire à des interlocuteurs pas très agréables pour ne pas dire plus. J'en ai été vraiment peiné, comment est-ce possible une telle dégradation?Depuis l'idée de changer de crèmerie me trotte dans la tête. </t>
  </si>
  <si>
    <t>26/05/2017</t>
  </si>
  <si>
    <t>marilou-85319</t>
  </si>
  <si>
    <t>Déçu très déçu. Aucune compréhension. Ils m'ont arrêté la prise en charge pour une échéance en retard. Mon mari qui à le caner je suis obliger de payer son intervention , c'est une honte.</t>
  </si>
  <si>
    <t>29/12/2019</t>
  </si>
  <si>
    <t>senia-63306</t>
  </si>
  <si>
    <t>Service client déplorable qui ne prend pas la peine de répondre a vos mails ou y répond 1 mois après avec plein de fautes d'orthographe. 
Aucun professionnalisme</t>
  </si>
  <si>
    <t>16/04/2018</t>
  </si>
  <si>
    <t>thomas-66987</t>
  </si>
  <si>
    <t>Bonjour
Suite a un debut de creation de contrat le 26 aout et un paiement de 280 euros ils m indiquent aujourd hui 20 septembre que dans mes releves d information une periode n est pas valable car j ai ete assure en second conducteur. 
N etant pas un professionnel dans le milieu de l assurance, c est avec toute mon honnetete que j etais persuade que d etre assure en second conducteur sur le vehicule de ma compagne était valable aussi.
Certes je reconnait mon erreur sur la meconnaissance du systeme du releve d information et je veux bien qu ils ne m acceptent donc pas en tant que client, mais j ai fais une réclamation a propros du paiement que je leur ai fait 280e.
Un mois afin de me relancer pour me dire que le dossier ne tiendrait pas et bien sur l argent a ete encaisse. 
Vu les circonstances cela me parait completement inadmissible je n ai jamais vu cela.</t>
  </si>
  <si>
    <t>20/09/2018</t>
  </si>
  <si>
    <t>pascalegs66-72026</t>
  </si>
  <si>
    <t>Problème avec ma voiture de 5 ans: panne moteur à la sortie d'une réparation chez le garagiste (changement de durite). Le service protection juridique de la Maif nous a simplement conseillé de faire intervenir un expert et un avocat, à nos frais, en nous disant que le garagiste était dans son tort puisqu'il était tenu à une obligation de résultat. L'expert que nous avons mandaté a conclu à une panne "que le garagiste ne pouvait pas détecter", ce qui nous semble pour le moins léger. En résumé: la protection juridique de la Maif se résume à quelques conseils au téléphone, conseils que nous aurions très bien pu trouver sur n'importe quel site d'aide aux consommateurs. Nous nous retrouvons avec une Ford Cmax de 5 ans qui ne vaut que le prix de la casse, ou un devis de 8 000 euros de réparation (chez notre garagiste habituel, pas le concessionnaire Ford)</t>
  </si>
  <si>
    <t>10/03/2019</t>
  </si>
  <si>
    <t>jmesuifebeze-96290</t>
  </si>
  <si>
    <t>La matmut m'a fait attendre pret d'un an apres le vole de mon vehicule (assuré tout risques +) pour au final ne jamais me rembourser mon dû. Il n'ont pas voulu me rembourser car vehicule acheter cash et non en cheque. Pourquoi m'assurait-il dans ce cas ?</t>
  </si>
  <si>
    <t>13/08/2020</t>
  </si>
  <si>
    <t>vianney-91217</t>
  </si>
  <si>
    <t xml:space="preserve">Les prix me conviennent facile à assuré  très bonne assurance pas très chère pour les jeunes chauffeurs avec des voiture a plus de 100cv                </t>
  </si>
  <si>
    <t>lise-80336</t>
  </si>
  <si>
    <t>J'ai été reçu par Caroline, qui a été très efficace, aimable et souriante. Problème réglé tout de suite par téléphone. Pas d'attente avant d'être pris en charge.</t>
  </si>
  <si>
    <t>23/10/2019</t>
  </si>
  <si>
    <t>wikf-88316</t>
  </si>
  <si>
    <t>Pas encore client j'essaie en vain de les avoir au téléphone pour une assurance Perso ( véhicule modifier ) personne au bout du fil , j'attends plus de 25min sans personne a l'autre bout du téléphone.</t>
  </si>
  <si>
    <t>13/03/2020</t>
  </si>
  <si>
    <t>ambre83-79285</t>
  </si>
  <si>
    <t xml:space="preserve">Merci beaucoup à Caroline du service client que j ai eu au téléphone ce jour qui m a parfaitement renseigné </t>
  </si>
  <si>
    <t>18/09/2019</t>
  </si>
  <si>
    <t>celine-l-110706</t>
  </si>
  <si>
    <t>Je suis satisfaite des services et de la rapidité, et des tarifs.  a recommander, l'assistance est rapide, et bonne prise en charge. couverture interressante</t>
  </si>
  <si>
    <t>charlier-75630</t>
  </si>
  <si>
    <t xml:space="preserve">2 dossiers complets envoyés, 2 devis réglés,  jamais transformés en contrat suite à une accumulation d'incompétences de leur part. Toujours en attente du remboursement du deuxième 
devis depuis 4 mois. Injoignables sans passer par un numéro surtaxé. </t>
  </si>
  <si>
    <t>05/05/2019</t>
  </si>
  <si>
    <t>ines-s-114048</t>
  </si>
  <si>
    <t xml:space="preserve">Le service est satisfaisant.
Toutefois il n'y a pas de manière d'expliquer les circonstances d'u n sinistre par téléphone et les cas de vandalisme ne sont pas tous prévus. </t>
  </si>
  <si>
    <t>louis-c-131307</t>
  </si>
  <si>
    <t>Après 1 semaine de bataille, 3 conseillés différents qui ne m'ont jamais rappelés. 
Je réussi à confirmer et à valider mon devis SEUL.
Le premier conseillé que j'ai eu au téléphone n'a jamais su quelles étaient les demarches pour basculer sur un nouveau contrat &amp; devait me recontacter, chose qu'il n'a jamais fais ! 
Le deuxième conseillé, n'a guère su me renseigner &amp; n'a même pas eu la desence de me rappeler le lendemain comme convenu.
Après avoir fait une demande de réclamation, l'un de vos conseillé m'a appelé malheuresement je n'étais pas disponible. 
Au bout d'une troisième tentative, j'ai enfin pu avoir un de vos conseillés qui quant à lui était plus expérimenté, ce dernier à pu me créer un nouveau devis mais beaucoup plus cher que celui d'origine! 
Ce dernier m'a informé qu'aux nombres de soucis que j'ai rencontré, je suis dans la possibilité de faire une demande de geste commerciale. Surtout que bons nombres de mes contrats automobile ainsi que habitation sont contracter chez vous, depuis plusieurs années maintenant !
Au vu des nombreux problèmes que j'ai pu rencontrer pour une simple création de contrat &amp; surtout au vu des nombreux contrats que j'ai eu chez vous, j'aimerai bénéficier d'un geste commercial pour les dommages que j'ai rencontrer. 
Cordialement, 
Claudel Louis</t>
  </si>
  <si>
    <t>pierre-f-122297</t>
  </si>
  <si>
    <t xml:space="preserve">Equipe sympathique à l'agence de  Sélestat
Toujours un bon accueil 
Tarif ajusté à la concurrence 
Bureau pas loin de mon domicile
Rapide Prise en compte des sinistres </t>
  </si>
  <si>
    <t>04/07/2021</t>
  </si>
  <si>
    <t>laurent-p-107958</t>
  </si>
  <si>
    <t xml:space="preserve">Je suis satisfait de l'ensemble des services, et de la réactivité, malgré certaines contraintes liées à certains sinistres (Grêles) .
tout est rentré dans l'Ordre.
merci
</t>
  </si>
  <si>
    <t>25/03/2021</t>
  </si>
  <si>
    <t>queiroz-pereira-d-134043</t>
  </si>
  <si>
    <t xml:space="preserve">Je suis satisfait, le prix, la facilité pour contacter l'assurance je espère reste toujours quand j'ai besoin m'aide merci pour le service de la assurance </t>
  </si>
  <si>
    <t>dawad89-101302</t>
  </si>
  <si>
    <t>Le remboursement des prestations est aléatoire et leur service client est proche de zéro ! Pas moyen de les joindre par mail et par téléphone. Bref, service pas cher mais pas bon non plus !!!</t>
  </si>
  <si>
    <t>11/12/2020</t>
  </si>
  <si>
    <t>ber58-75039</t>
  </si>
  <si>
    <t>En toute franchise , cela fait un mois que j'ai un dégat des eaux.et je n'obtiens rien mais rien. J'appelle: on me dit on va envoyer un plombier pour un devis, (avec une société qui se trouve à 200 km de chez moi).5 jours aprés toujours rien , puis j'ai arrété moi même le fuite sinon les dégâts seraient énormes.puis j'ai proposé d'avancé moi même dans les travaux car avec pacifica :rien n'avance, on me dit il faut un expert 3 jours après toujours rien.en un mot je vais appeler mon assistance juridique pour voir ce que je peux faire contre mon assurance.
le but de pacifica est d'attendre d'attendre et d'attendre!!!!
le seul point positif, sophie de pacifica comprend notre détresse!!!</t>
  </si>
  <si>
    <t>13/04/2019</t>
  </si>
  <si>
    <t>alaric11-81230</t>
  </si>
  <si>
    <t>Titulaire obligatoire d une assurance crédit a la caisse d epargne pour un prêt immobilier;et étant dans l incapacité de travailler depuis deux ans, je me pensais couvert par cette assurance.Apres deux ans de correspondance avec cette assurance a répondre a des questions de type administratif je me retrouve a devoir répondre sur des questions médicales du type ;date et nature du traitement suivi de octobre 2009 a mai 2016,nature des affections ayant motivé des arrets maladie de octobre 2009 a mai 2016 et encore plein de questions de ce type.Toute ces questions après deux ans d échange de courrier .Heureusement que je suis en couple et que ma femme travaille,car si j avais du attendre l assurance cnp de mon crédit habitation je serai déjà a la rue .Il est évident que je ne percevrai jamais rien de cette assurance ;on m avait prévenu que pour  faire valoir ses droits a l assurance crédit en cas de maladie il fallait avoir la foi.Etant en arrêt maladie depuis deux ans j avais le temps de répondre aux nombreux questionnaire de cnp .Mais vu la tournure des questions je repart pour deux ans de plus de correspondance.J ai envoyé un courrier a ma banque en demandant de supprimer cette assurance ou alors changer d assureur ;j attends une réponse...Devrai je payer jusqu a mes 74 ans une assurance qui ne paiera jamais ou alors avec des années de retard?</t>
  </si>
  <si>
    <t>22/11/2019</t>
  </si>
  <si>
    <t>corthals-s-137179</t>
  </si>
  <si>
    <t>Service téléphonique sérieux et à l’écoute comme la fois précédente. Toutes les garanties ont étés expliquées à nouveau par la conseillère comme il avait été convenu lors de la réalisation du devis.</t>
  </si>
  <si>
    <t>12/10/2021</t>
  </si>
  <si>
    <t>linda13-74587</t>
  </si>
  <si>
    <t xml:space="preserve">Adhérente à la Maif depuis bientôt 6 ans, j'ai eu 2 sinistres (vol) très bien pris en charge (réactivité, remboursement) 
En octobre dernier j'ai subi un vol avec violence alors que je mettais ma valise dans mon véhicule lors de mon retour de voyage de noces. Les voleurs à scooter m'ont arraché violemment ma valise. Le conseiller MAIF en charge de mon dossier m'a indiqué que ce vol, commis avec agression n'était pas soumis à la franchise (14x125 euros). Une plainte a été déposée auprès du commissariat suite à ce vol. Aujourd'hui après m'avoir demandé toutes les factures, le dépôt de plainte, les dimensions de la valise, les billets d'avion qui justifiaient du contenu de cette valise, après avoir remis en question la véracité de ce vol qui a été pour moi et mes enfants un véritable traumatisme, la MAIF m'annonce que ce vol a été commis lors d'un déchargement de bagage, du coup, le critère d'agression n'est pas retenu...La MAIF me propose 1500 euros (14x125 euros-250 euros). Le montant des biens dérobés dans ma valise était supérieur à 10000 euros (je transportais entre autres, des bijoux précieux et ma robe de mariée). Lorsque je les ai appelés pour connaître les conditions générales du contrat, aucun conseiller n'a pu me renseigner. On m'a dit que j'allais recevoir un mail m'indiquant les textes des statuts concernés. Et on m'a précisé que les conseillers qui m'avait renseignée jusqu'alors, avaient fait un "défaut de conseil" sur mon dossier. Rien ne m'a été transmis pour l'instant et les conseillers qui étaient très clairs au sujet du traitement de mon dossier sont maintenant dans l'évitement de toutes réponses. 
Tout m'amène à penser qu'au delà d'un certain nombre de sinistres, la MAIF souhaite vous écarter, pourtant tous mes contrats (auto, habitation) sont chez eux et aucun sinistre auto n'est à déplorer à ce jour. J'attends leur réponse pour pouvoir éventuellement modifier mon avis.
</t>
  </si>
  <si>
    <t>29/03/2019</t>
  </si>
  <si>
    <t>dadouavis-64486</t>
  </si>
  <si>
    <t xml:space="preserve">Assuré depuis plus de 20 ans chez AXA, je constate qu'AXA ne fait qu'encaisser les chèques et ne traite pas les dossiers. Incapables de gérer un changement d'adresse (alors que j'ai signé un nouveau contrat habitation AVEC ma nouvelle adresse) AXA vous envoie sur le système de contentieux avec des frais supplémentaires. Il faut voir l'effort fait par AXA pour pour vous informer : 0 mail, 0 coup de téléphone (assuré depuis 22 ou 23 ans) Par contre dans le même temps , un message téléphonique personnalisé pour les assurances emprunteur, des pubs sur les mails, c'est pas comme si vous étiez inconnus. AXA pense avoir tous les droits une fois leur mise en demeure envoyée alors qu'ils ne l'ont pas envoyé à mon adresse !! Ils vous expliquent que c'est à vous de les payer si ils ne font pas leur boulot !! Je vais donc voir ce que je peux faire pour résilier mes contrats AXA au plus vite. </t>
  </si>
  <si>
    <t>arobase-87123</t>
  </si>
  <si>
    <t>Bonsoir il ya des personnes qui utilisent mon identité pour faire des crédits même chose pour ma femme je demande des dommage s et intérêts pour se litige voici mon numéro de téléphone 0617845555 et le 0651590056 maintenant écouter moi joué pas les malins avec moi je n ai rien fait j ai un compte bancaire j attend un virement pour les dommage s et intérêts concernant mou et ma femme merci ne tardez pas</t>
  </si>
  <si>
    <t>alain-r-110038</t>
  </si>
  <si>
    <t>bonjour, sur votre site il est impossible d'avoir une confirmation par mail pour un devis pour la nouvelle Citroën C4 III essence 5 portes BVM 7 cv Shine. J'ai un message d'érreur. Par téléphone c'est pareil on ne peut pas m'envoyer un devis. Pour info je réceptionne cette nouvelle voiture vendredi 16/04/21 en remplacement de ma C4 Cactus. Cordialement Alain Rinche</t>
  </si>
  <si>
    <t>Très bon accueil. Services qui sont à l'écoute du client et vous répondent au mieux suivant votre demande.
Les prix sont accessibles et de nombreux contrats sont disponibles pour vos besoins ainsi que des options à rajouter à votre contrat à petits prix pour de bons services.
Très bon service client et espace client bien géré, accessible facilement et bien organisé. On s'y retrouve très facilement et tous les documents dont nous avons besoin sont disponibles en téléchargement.</t>
  </si>
  <si>
    <t>perroux-p-128521</t>
  </si>
  <si>
    <t xml:space="preserve">Un peu chère mais correspond a ma demande,Vous m'aviez promis une remise de 10 % sur l'assurance d'une deuxième voiture ce que j'ai fait avec l'assurance de mon grand Cherokee,
mais déçu je n'ai pas eu de remise j'espère que vous sous rattraperez </t>
  </si>
  <si>
    <t>nell-67171</t>
  </si>
  <si>
    <t>Je suis chez MAAF depuis 2004, pour ma voiture et chez moi. Je ne peux pas reprocher leur assurance automobile, mais j'ai eu de vrais problèmes avec l'assurance habitation. La première réclamation que j'ai faite était pour une conduite d'eau souterraine cassée qui a inondé le jardin, la caverne et la cuisine. Je savais que je n'étais pas couvert pour la réparation, mais j'étais couvert pour le coût de la recherche mais ils ont insisté pour que je ne sois pas couvert. Le second était une tuile détruite par une mauvaise tempête, ils m'ont dit que le vent ne dépassait pas 100 km, mais c’était le cas. L'écran de la télévision était cassé après un accident, non couvert. Je suis maintenant très malade et à la retraite et je ne peux plus me permettre d’assurance habitation, j’ai demandé une assurance pour la responsabilité civile et je ne peux pas. Je dois maintenant demander conseil car cela ne peut pas continuer.</t>
  </si>
  <si>
    <t>bennis-t-111204</t>
  </si>
  <si>
    <t xml:space="preserve">Cela me semble un contrat avec un tarif bon marché. avoir le service sur la durée et le service client avec le suivie que cette société présente à voir
</t>
  </si>
  <si>
    <t>momo-76306</t>
  </si>
  <si>
    <t>Dommage que l'on ne puisse mettre un zéro !! Gestion et réparation d'un sinistre dégât des eaux  à peine moyen ! Grande lenteur administrative !</t>
  </si>
  <si>
    <t>28/05/2019</t>
  </si>
  <si>
    <t>h-legoff-53474</t>
  </si>
  <si>
    <t>Très compétitif au niveau prix, pour des garanties de base tout à fait convenables.</t>
  </si>
  <si>
    <t>22/03/2017</t>
  </si>
  <si>
    <t>ghislaine-138991</t>
  </si>
  <si>
    <t xml:space="preserve">Si vous souhaitez une bonne mutuelle passez votre route. Je suis vraiment FURIEUSE après Neoliane. Ma mère 82 ans y a adhéré il y a 3 ans. Jusque là aucun problème. Rien d'étonnant à cela, elle n'est jamais malade. Seulement arrive le jour où elle en a besoin. Elle est hospitalisée et doit aller dans une maison de  rééducation. N'ayant pas le contrat sous les yeux on prend l'initiative de contacter Neoliane pour connaître les conditions de prise en charge. On nous dit aucun problème et deux confirmations écrites nous sont envoyées. Sauf que voilà 3 mois après au moment de payer on nous dit que finalement non. 2000€ à payer de notre poche. Ma mère n'a pas les moyens. Du coups obligé de trouver une solution via un échéancier avec le centre. Vous appelez la mutuelle et là BON COURAGE. C'est pas ce service mais un autre. Vous envoyez des messages via leur site de réclamations ils ne les recoivent pas. Vous envoyez des emails ils ne les retrouvent pas. J'en arrive à un point où je prends les noms des personnes que j'ai en ligne et la bizarrement ils retrouvent les appels mais toujours pas les documents. Du coup on en revient on bon vieux recommandé avec accusé réception. Là pas le choix ils ont les documents. Depuis on tourne en rond Je mets un service juridique sur le dossier, ils en sont à je ne sais combien de courrier en recommandés - sans réponse. Honnêtement je préfère payer plus cher et avoir un service digne de ce nom. Faire ça à une femme de 82 ans c'est pitoyable. Si vous connaissez une bonne mutuelle, je prends. Merci pour vos conseils. </t>
  </si>
  <si>
    <t>henry-p-121908</t>
  </si>
  <si>
    <t>bonne écoute prise en compte de nos attentes.
La notion de prix certe mais la prise en charge de nos besoins est importantes.
rien à redire depuis des années</t>
  </si>
  <si>
    <t>jeanalin-75338</t>
  </si>
  <si>
    <t>Une entreprise lamentable. J'ai été assurée chez eux pendant plusieurs années pour ma voiture. Ils ont refusé de m'assurer lorsque j'ai obtenu mon permis moto, j'ai donc résilié mon contrat voiture également.</t>
  </si>
  <si>
    <t>24/04/2019</t>
  </si>
  <si>
    <t>aurelie64-51229</t>
  </si>
  <si>
    <t>Bonjour, vos conditions de résiliations de l'assurance habitation sont compliquées par l'exigence de documents qui dépendent du bon vouloir du propriétaire. De nombreux coups de téléphone avec différents agents de votre entreprise, de longues minutes, demi-heure d'attente, des consignes contradictoires, des "nous allons vous passer un responsable" et bing, ça raccroche. Et lorsque finalement, nous obtenons ce document, vous nous informez que vos nouvelles procédures n'exigent plus ce document ET que dans vos nouvelles procédures, le délai pour être remboursé a changé et que dans notre cas, il est dépassé????!!!! Et ce matin, vous nous annoncez que vous ne nous rembourserez pas les 350 euros versés pour une année d'assurance d'un bien que nous n'occupons plus. Avis aux consommateurs: FUYEZ DIRECT ASSURANCE.</t>
  </si>
  <si>
    <t>thierry-127856</t>
  </si>
  <si>
    <t>Je suis assuré pour mes automobiles depuis plus de 10 ans.
La seule raison de cette fidélité : l'impossibilité d'obtenir un relevé d'information.
La demande en ligne reste sans effet, sauf un mail confirmant la prise en compte, et quand le gestionnaire vous appel, ou vous répond (ce qui parfois arrive), cela reste sans effet.
J'ai récemment décidé d'assurer un véhicule supplémentaire chez un assureur en ligne (quitte à obtenir un service zéro), mais ferait prochainement l'objet d'une annulation du contrat pour ne pas avoir fourni ce relevé d'information.</t>
  </si>
  <si>
    <t>marie-36782</t>
  </si>
  <si>
    <t>En invalidité catégorie 2 depuis maintenant 3 ans pour une spondylarthropathie (maladie auto-immune dégénérative), je me retrouve aujourd'hui dans le même cas que beaucoup de personnes ici : Cardif ne prend plus en charge mon crédit immobilier. Au début de mon invalidité la prise en charge s'est faite sans trop de problèmes (bien qu'un délai de carence de 130 jours au lieu de 90 soit franchement discutable) et au bout d'un an Cardif me convoque pour une première expertise... Bon, OK, à la limite, ça me parait normal qu'ils contrôlent au départ ! Mais cette année, donc deux ans après la première, on me re-convoque pour une nouvelle expertise !!! Là, j'ai du mal à comprendre... j'ai une maladie qui ne peut pas aller mieux, elle ne peut QUE aller de pire en pire et, effectivement, mon état de santé s'est largement dégradé en deux ans : J'ai 3 prothèses cervicales, une arthrodèse lombo-sacrée et une prothèse totale de hanche gauche et la prothèse de la hanche droite est prévue dans un avenir assez proche, ainsi qu'une autre arthrodèse lombaire, j'ai du mal à me déplacer d'une pièce à l'autre chez moi, j'ai même du mal à m'habiller toute seule et, inutile de dire : plus de sorties, plus de loisirs, plus rien, plus de vie quoi... juste de la douleur !  ... Et on me signale que je ne suis pas assez handicapée pour être prise en charge ??? Merci à Cardif de m'avoir envoyé voir un expert à 1 h 30 de chez moi ! 3 heures de calvaire, de souffrance atroce en voiture pour rien ! Cela fait près de 35 ans que je suis cliente de la BNP, tous mes comptes, aussi bien privés que professionnels ont été chez eux, tous les crédits ont été pris chez eux et je les ai toujours remboursés intégralement en temps et en heure. BNP-Cardif traite ses clients avec mépris, nous ne sommes là que pour rapporter de l'argent ! Et bien NON ! Je ne donnerais plus un centime à cette banque !. Cardif est une assurance à fuir absolument, les tarifs peuvent paraître intéressants, mais il n'y a aucune couverture en cas de maladie, même grave. Inutile de dire que je quitte définitivement la BNP (dès que j'aurais pris rendez-vous avec mon avocat !)</t>
  </si>
  <si>
    <t>03/05/2017</t>
  </si>
  <si>
    <t>bob-124974</t>
  </si>
  <si>
    <t>Adherent à la MG P depuis mon début de carriere dans la Police Nationale en 1961 ;je res(te fidele à cette mutuelle,  malgré qu'elle ne soit pas la moins chère.Mais j'en suis satisfait.</t>
  </si>
  <si>
    <t>chris-133737</t>
  </si>
  <si>
    <t>Je ne recommande pas du tout harmonie mutuelle qui nous a été imposé par l' employeur.
4 ans, que tous les mois je les sollicite, par mails, dont parfois je n' ai pas de retour, par téléphone pour savoir si mon dossier a été traité pour le maintien de salaire Invalidité. Beaucoup de retard, dont j' ai des frais bancaires</t>
  </si>
  <si>
    <t>nadine--r-116230</t>
  </si>
  <si>
    <t xml:space="preserve">Rien de particulier à mentionner sur mon contrat automobile. Assureur présent et réactif  lorsque j'ai eu besoin des services de dépannage et remorquage de mon véhicule. </t>
  </si>
  <si>
    <t>arnaud-f-130400</t>
  </si>
  <si>
    <t>Face à la concurrence vous êtes relativement mal placé malgré l'abattement fonctionnaire....
je vais tout reprendre et voir surement la concurrence car je commence vraiment à être perdant avec vous (et tous vos conseillés disent tout le temps "oui on est pas bons sur ça ou ça)... le ça étant ET l'assurance moto, ET la mutuelle, ET l'assurance habitation etc...</t>
  </si>
  <si>
    <t>31/08/2021</t>
  </si>
  <si>
    <t>delp22-78798</t>
  </si>
  <si>
    <t>Une catastrophe. Je suis avec eux depuis 2013. Au début on paye un tarif correct et au fur et à mesure que le temps passe on voit le tarif augmenté significativement. Mais le pire est le service! J'ai voulu quitter cette mutuelle car j'avais une mutuelle entreprise obligatoire. J'ai envoyé des messages sur leur site, des recommandés avec attestation de mutuelle obligatoire, j'ai téléphoné... Rien à faire ils refusaient que je parte. Et on peut toujours tenter de se battre avec eux. J'ai finis par faire opposition et ils ont le culot de continuer à me réclamer de l'argent et bloquent les remboursement automatique avec mon autre mutuelle. A chaque appel on me disait qu'on allait faire quelque chose. Jamais rien n'a été fait à part me réclamer de l'argent! Je ne la recommande à personne. Impossible de s'en dépêtrer.</t>
  </si>
  <si>
    <t>29/08/2019</t>
  </si>
  <si>
    <t>florence-68232</t>
  </si>
  <si>
    <t>bref passage en banque assurance . Rien a voir tarif et qualité de service . Un problème rencontrer est j'ai pu bénéficier d'un avocat réputé pour régler mon litige avec ma propriétaire. je n'avais pas fait de différence entre le conseil juridique de la banque et la protection juridique de la MACIF.J'ai bien compris que la différence de prix ne tombait pas dans la poche d'actionnaire. Merci pour ce modèle de société</t>
  </si>
  <si>
    <t>milou-96440</t>
  </si>
  <si>
    <t xml:space="preserve">A fuir 
J'ai essayé de m'assurer chez eux après avoir payé 
impossible de leur envoyer quoi que ce soit leurs logiciels n'acceptent même pas une photo  !!!
Communication impossible </t>
  </si>
  <si>
    <t>guena-54561</t>
  </si>
  <si>
    <t>J'ai 2 véhicules assuré tout risques,un Q3 depuis 20 mois et une mini depuis 7 mois. Ma fille était en conduite accompagnée et déclarée sur les contrats. Elle a eu son permis et a 18 ans depuis peu, j'ai donc appelé pour notifier ce changement et la déclarer comme conductrice occasionnelle. Réponse de direct assurance: ce n'est pas possible car vos voitures sont à haut risque ! incompréhensible ! Elle a pu conduire en conduite accompagnée sans problème, elle a acquit de la maîtrise sur nos véhicules mais maintenant elle ne peut plus conduire ! Même avec nous ! Comment faisons nous ? Nous ne pouvons pas lui acheter un véhicule puisqu'elle n'en a pas l'utilité tous les jours. Nous allons donc résilier nos contrats. Pour le Q3,  ce sera possible puisque le contrat a plus d'1 an mais pour la mini, ils m'ont répondu que non parce que le contrat a moins d'1 an. Une fois de plus, c'est incompréhensible. On ne veut pas assurer votre enfant et vous n'avez pas le droit de résilier !
Je précise que sur le contrat, il est possible de déclarer des enfants autorisés mais il n'est jamais précisé sur quel type de puissance des voitures.
J'avais prévu de prendre en plus une assurance habitation chez Direct assurance et bien je crois qu'ils vont tout perdre !</t>
  </si>
  <si>
    <t>10/05/2017</t>
  </si>
  <si>
    <t>joaquim-r-114068</t>
  </si>
  <si>
    <t>oui je suis satisfait par l cceuil telephonique et par le suivie de l acceuil tres bonne assurances
j aimerais ausi connaitre le prix  de ma francchise bris de glace et accident</t>
  </si>
  <si>
    <t>elisepruv-72384</t>
  </si>
  <si>
    <t xml:space="preserve">Déçue...Suite à la signature de mon contrat et l'envoi de mon relevé d'information, je reçois un avenant a mon contrat pour non déclaration d'un bris de glace (déclaré sur mon relevé d'information) qui entraine une augmentation d'environ 40 euros annuelle. Je suis d'accord sauf que suite à une erreur de rédaction sur cet avenant que j'ai signalé, celui ci à augmenté de 200 euros !! pour un bris de glace.. et en plus je dois payer 15 euros de frais une seconde fois, pour une erreur qui n'est pas la mienne. A ce jour je devais recevoir un nouvel avenant avec la déduction des 15 euros et des 40 euros du premier avenant qui n'avais visiblement pas été retiré au second. Aucune réactivité, d'un conseillé à un autre ce n'est pas le même discours... j'attends une justification d'une telle augmentation ? J'ai de plus été prélevé avant d'avoir signé l'avenant, légal ?  </t>
  </si>
  <si>
    <t>22/03/2019</t>
  </si>
  <si>
    <t>krimo-85762</t>
  </si>
  <si>
    <t>Bonne couverture, repondent assez rapidement au téléphone, pas trop d'attente, la cotisation n'augmente pas sans raison au bout de la deuxième année contrairement à beaucoup d'assurances low cost concurrentes.</t>
  </si>
  <si>
    <t>10/01/2020</t>
  </si>
  <si>
    <t>danielbru-91202</t>
  </si>
  <si>
    <t xml:space="preserve">inscription simple, et tarif attractif. Sans avis pour les garanties, le fait de ne pas avoir d'interlocuteur en direct me chagrine un peu.  Mais bon, a découvriri. </t>
  </si>
  <si>
    <t>mohamed-k-127292</t>
  </si>
  <si>
    <t>Je suis satisfaite du prix et le service client et plus que satisfaisant, une équipe à l écoute et traitement de la demande rapide et satisfaisante.je recommande .</t>
  </si>
  <si>
    <t>ninja59-137899</t>
  </si>
  <si>
    <t>Appel reçu par SOKHNA très aimable, à l'écoute, professionnelle. Le problème a été réglé efficacement  et très rapidement. Je la remercie vivement. Bravo à vous si tout votre personnel lui ressemble.</t>
  </si>
  <si>
    <t>20/10/2021</t>
  </si>
  <si>
    <t>claudio-99185</t>
  </si>
  <si>
    <t>suite à un accident en avril 2019 , pour le règlement de la voiture pas de problème, mais pour le corporel 18 mois pour un médecin expert, le résultat sur les blessures n'étant plus les mêmes et pas de réponse au courrier, très très déçu du comportement de sourd !!! et en aucun cas je ne suis en cause , je laisse imaginer si  j'avais une part de responsabilité (pas le covid) avril 2019 à mars 2020 ils avaient le temps mais !! même après leurs avoir rappelé qu'ils étaient mon assureur et que la partie adversaire avait reconnu leur responsabilité à 100%</t>
  </si>
  <si>
    <t>rose--104587</t>
  </si>
  <si>
    <t>Suite à un sinistre, le début du dossier était un peu caothique mais une fois pris en charge tout c'est bien passé. Aucune mauvaise surprise.
Et concernant la modification, très simple et rapide</t>
  </si>
  <si>
    <t>22/02/2021</t>
  </si>
  <si>
    <t>felix-p-117246</t>
  </si>
  <si>
    <t xml:space="preserve">J'attends de voir comment va être gérer le sinistre du 16/06/2021
(Choc dans un parking  aux Antilles de JONZAC contre Renault Laguna avec la GOLF VI)
</t>
  </si>
  <si>
    <t>nicole2121-50269</t>
  </si>
  <si>
    <t>j'ai eu récemment un accident, rien de grave, mais ma moto était inutilisable. j'ai appelé Peyrac Assurances et en quelques jours l'histoire était réglée. la prise en charge, les réparations.
c'est la première fois que j'ai un sinistre depuis que je suis chez eux et franchement rien à redire, tout s'est bien passé.</t>
  </si>
  <si>
    <t>Peyrac Assurances</t>
  </si>
  <si>
    <t>14/12/2016</t>
  </si>
  <si>
    <t>jennifer-b-129297</t>
  </si>
  <si>
    <t>Satisfaite du service souscription jusqu'ici. C'est très rapide et simple d'obtenir un devis et des informations. Les prix sont compétitifs comparé à la concurrence !</t>
  </si>
  <si>
    <t>24/08/2021</t>
  </si>
  <si>
    <t>marieescobar-68630</t>
  </si>
  <si>
    <t>Pas vraiment de suivi client. Personne ne répond au mail. Quand on apelle les choses se font mais je ne comprend pas comment aujourd'hui une mutuelle ne répond pas au mail.</t>
  </si>
  <si>
    <t>15/11/2018</t>
  </si>
  <si>
    <t>marmolla-113585</t>
  </si>
  <si>
    <t>Ridicule. Assurance inutile au possible. Voiture retrouvée désossée entierement de son pare choc, calandre, feux plus RIEN ne reste. Et aucun remboursement malgré une assurance tous risques. Maintenant je pars chez un VRAI assureur, pas un low cost qui ne me couvre rien</t>
  </si>
  <si>
    <t>cyrille-b-111731</t>
  </si>
  <si>
    <t xml:space="preserve">Très déçu ,  j'ai vu mes cotisations augmenter sans cesse suite a des accidents NON RESPONSABLES... jusqu'a aujourd'hui ou vous me résiliez a cause d'un trop grand nombres d'accident NON RESPONSABLES...
Je n'ai eu qu'un seul accrochage responsabl  sur leparking de mon lieu de travail pendant toute la durée de mes contrats chez vous. 
J'ai subi ces accidents et je me retoruve aujourd'hui dans assurances! 
</t>
  </si>
  <si>
    <t>kokobob-90434</t>
  </si>
  <si>
    <t>Je cotise 1800€ par an. Une consultation cette année chez           l'ophtalmo facturée 69€,  remboursée 17,50€.. grrrr.... question envoyée sur leur site (" où trouver un ophtalmo qui accepté de nous recevoir pour 23€? ) suivie d' une répnse vague ( pratique du copier-coller)...    C' est triste !</t>
  </si>
  <si>
    <t>seee123-78815</t>
  </si>
  <si>
    <t xml:space="preserve">Ils ont jouet avec le mort de mon pere, pck on a avsi  
indemnité décès ACS mais il refuse de payer pck le cors a été transporté au bled, alors qu'on avais bien signé le contrat qui disais qu'on droit a 2 mille euros si y a un décès </t>
  </si>
  <si>
    <t>30/08/2019</t>
  </si>
  <si>
    <t>bonnet-f-122877</t>
  </si>
  <si>
    <t xml:space="preserve">le prix est raisonnable l'accès à la carte verte provisoire rapide et les procédures simplifiées pour finalisation .... ça change de la concurrence !!! </t>
  </si>
  <si>
    <t>09/07/2021</t>
  </si>
  <si>
    <t>benjii62100-86028</t>
  </si>
  <si>
    <t xml:space="preserve">Client depuis 2012 option optimale  donc la plus élevée 
Vandalisme  sur ma barrière en bois bien costaud on me dis que ça marche pas qu il faut le nom de la personne cela c est passé la nuit comment voulait vous le savoir non c est pas pris en charge alors que dans le contrat c est bien écrit vandalisme  et pas de petites étoiles </t>
  </si>
  <si>
    <t>17/01/2020</t>
  </si>
  <si>
    <t>jean-charles-f-111361</t>
  </si>
  <si>
    <t>Je suis satisfait des prix et du service.
Je suis satisfait des prix et du service.
Je suis satisfait des prix et du service.
Je suis satisfait des prix et du service.</t>
  </si>
  <si>
    <t>bryan-66244</t>
  </si>
  <si>
    <t>Très déçu de leur part</t>
  </si>
  <si>
    <t>17/08/2018</t>
  </si>
  <si>
    <t>migration2017-55115</t>
  </si>
  <si>
    <t>Bientôt 4 ans de permis. Une courte période de 4 mois sans sinistre chez votre concurrent Direct et resiliation suite vente voiture d'occasion. J'ai depuis le 30 mai signé chez vous en tous risques pour un véhicule neuf avec 4 ans de garanties et entretien. J'ai choisi mon père et mon frère en conucteurs secondaires (plus de 3 ans de permis).
Le 1er contrat vient d'être modifié par mail par l'Olivier suite à un bris de glace en 2016 (confirmé par mon père suite à la tentative d'intrusion sur son véhicule personnel réglé sans souci par son assurance et sans franchise). Le supplément demandé est de 120€99. J'ai demandé explication et la description de ce montant par mail ce jour ... on me donne 7 à 10 jours la réponse ! Nos 1ers contacts ne commence pas vraiment bien. Mon contrat si vous souhaitez me répondre est le 1080174768
Merci.</t>
  </si>
  <si>
    <t>03/06/2017</t>
  </si>
  <si>
    <t>arielou-80594</t>
  </si>
  <si>
    <t>Suite à un sinistre déclaré où une personne a percuté mon véhicule stationné et a pris la fuite, j'ai la chance d'avoir un témoin. l'olivier ne cesse de me donner des informations contradictoires. En effet, depuis 10 jours, aucune nouvelle. Je relance sans cesse. Aujourd'hui on me demande la déclaration du véhicule tiers! aberrant. Je ne peut pas remorquer mon véhicule dans un garage agréé car L'olivier refuse de me communiquer leurs coordonnées. Je tourne en rond et l'olivier n'a toujours pas contacté lassurance de la voiture qui a pris la fuite, sachant que le témoin a relevé la plaque d'immatriculation!
Aucune avancée, aucune démarche et moi je suis coincé sans véhicule</t>
  </si>
  <si>
    <t>31/10/2019</t>
  </si>
  <si>
    <t>jo-103677</t>
  </si>
  <si>
    <t>Au bout d'un an que notre maison a été DETRUITE  par des voyous et dans laquelle ils ont massacré des brebis Pacifica n'a encore pas réussi à faire avancer le dossier alors que la gendarmerie a trouvé les coupables aussitôt ils nous ont dit de prendre un avocat choisi par eux et nous ont fait faire un courrier pour partie civile ,  nous avons fait le nécessaire mais après ils ont changé d'avocat?????alors que des jeunes nous ont incendié un local, un mois après, avec la MAFF le remboursement était fait PACIFICA se moque de ses clients.</t>
  </si>
  <si>
    <t>barbarossa-57803</t>
  </si>
  <si>
    <t>On me prélève alors que mon assurance est résiliée et que j'ai eu une confirmation de résiliation! en plateau téléphonique, personne n'est foutu de m'expliquer le pourquoi du comment et surtout d'où sort la somme de 69 euros alors que jusqu'à présent on me prélevait 42 euros. Cette somme ne figure même pas sur l'échéancier
C'est très obscur. Ils m'ont déjà facturé un avenant qu'ils ont mis 09 mois à confirmer, une somme qui devait être lissée au niveau des mensualités mais qu'a priori leur personnel a oublié de confirmer. Près de 40 euros en plus (que j'ai dû payer pour résilier). Il faut bien suivre les dossiers sous peine de se retrouver avec de très mauvaises surprises. Je passe sous silence l'augmentation de près de 300 euros alors que 0 sinistre. C'est clairement de l'abus...</t>
  </si>
  <si>
    <t>04/10/2017</t>
  </si>
  <si>
    <t>abdeldjalil-m-128141</t>
  </si>
  <si>
    <t>Pour le moment, avec un jeune permis je suis satisfait. Merci d’avoir pris le temps de répondre à nos différentes questions. A part qu’une personne devait nous rappeler…</t>
  </si>
  <si>
    <t>dada44-116605</t>
  </si>
  <si>
    <t xml:space="preserve">Je déclare un dégâts des eaux le mois de mars et toujours pas de remboursement du matériel endommagé, et toujours pas de réparation des mur qui on pris l'eau. nous somme le 10 juin, assurance que je ne conseil absolument pas. </t>
  </si>
  <si>
    <t>isabelle963-85823</t>
  </si>
  <si>
    <t xml:space="preserve">depuis le 27.11.2019  j'attends desesperement des remboursement de frais dentaires et depuis on me balade de services en services </t>
  </si>
  <si>
    <t>13/01/2020</t>
  </si>
  <si>
    <t>paris-133896</t>
  </si>
  <si>
    <t>Mariama, s'est très bien occupé de moi. Je suis chez Santiane depuis 6 années, rien à dire. c'est parfait. La prestation est complètement transparente, c'est AXA Santé qui m'assure et je suis très satisfait.</t>
  </si>
  <si>
    <t>martial-b-123558</t>
  </si>
  <si>
    <t>Je suis satisfait de l'assurance AMV car il est facile et rapide de changer de véhicule. Les tarifs sont clairs et plutôt bien placés par rapport à la concurrence.</t>
  </si>
  <si>
    <t>lutece-88166</t>
  </si>
  <si>
    <t>A fuir. Degats eau oct19, de la responsabilite copro infiltrations eau par le toit et je suis au dernier etage.. .envoi devis nov a expert mandate SARETEC Nul. impossible de joindre par tel!</t>
  </si>
  <si>
    <t>evan-l-132015</t>
  </si>
  <si>
    <t>Je suis satisfait par la simplicité de souscription et par les prix proposés.
J'espère que les services seront plus efficaces que mon ancien assureur.</t>
  </si>
  <si>
    <t>philippe-t-132339</t>
  </si>
  <si>
    <t xml:space="preserve">Rapide et pratique même si les prix ne sont pas si bas que mis en avant sur vos publicités, j.ai trouvé des offres plus intéressantes avec des compagnies concurrentes </t>
  </si>
  <si>
    <t>phil-102929</t>
  </si>
  <si>
    <t>Superbe assurance prix très intéressant avec un personnel gentils compréhensif et rapide. Merci pour vos services. Je ne suis pas du genre à faire des éloges surtout pour les assurances, mais la je tiens à le faire avec un dossier difficile comme le miens, ils ont été arrangeant et m'ont enlever une épine du pied. Continuer comme cela bravo.</t>
  </si>
  <si>
    <t>zakari-62141</t>
  </si>
  <si>
    <t>Vous pouvez les appeler pour une question sur un Evènement qui peut être fatal.Et ben, vous pouvez attendre! Votre argent, oui, ils encaissent.Très .En retour,vous aurez un service..Un jour..Patienter svp. Quelle belle surprise on a eu après le dramatique accident qui aurait pu nous être fatale! Je vais poursuivre cet assureur au pénal.</t>
  </si>
  <si>
    <t>18/11/2019</t>
  </si>
  <si>
    <t>leo-63540</t>
  </si>
  <si>
    <t>ma mère âgée de 88 ans paie depuis 8 ans une cotisation erronée , le bonus s'est "évaporé" malgré tous les documents le prouvant ;*, la macif rechigne a rembourser.
depuis 2 mois , je me bats pour un remboursement
sans succés.
il faut de la perseverance , mais au vu des commentaires , tous negatifs , je ne suis pas la seule.
si vous avez des personnes agées à la macif , surveillez les contrats.. l'abus de faiblesse est manifeste. plainte au procureur</t>
  </si>
  <si>
    <t>24/04/2018</t>
  </si>
  <si>
    <t>sow-64547</t>
  </si>
  <si>
    <t>1 étoile parce qu'il faut en mettre une ! La pire assurance je veut payer mes quittance ils me le refusent et me résilie normal ! Et je dois quand même leur payer la totalite c'est des fous !!!</t>
  </si>
  <si>
    <t>rodey-100497</t>
  </si>
  <si>
    <t>Conseiller à l écoute parfait trouve une solution aux problèmes et tout est expliquer comme il faut merci a eux et leur équipe /mmmmeeeeeerrrrrccccciiiiii</t>
  </si>
  <si>
    <t>23/11/2020</t>
  </si>
  <si>
    <t>arkt-98919</t>
  </si>
  <si>
    <t>Bonjour,
je viens de résilier l'ensemble de mes contrats à la Maïf (habitation, auto).
En 40 ans j'ai déclaré 2 sinistres (toiture et dernièrement fissure sur mon mur de clôture suite à l'affaissement de la chaussée).
Aucun des sinistres n'a été pris en charge alors que d'évidence la chaussée est affaissée.
Les experts s'arrangent entre eux pour dédouaner leur donneur d'ordre respectif et laisse la charge à l'assuré.
Lamentable !
J'ai donc été voir ailleurs et à ma grande surprise je vais payer 2 à 3 fois moins cher qu'à la Maïf.
Toutefois je ne me fais pas d'illusion pour les sinistres futurs avec mes nouvelles assurances, mais quitte à avoir une assurance qui ne sert à rien, autant payer le moins possible</t>
  </si>
  <si>
    <t>annicet-m-113928</t>
  </si>
  <si>
    <t xml:space="preserve">Je Suis satisfait du service...
les prix me conviennent....
Simple et pratique ...Je vais en parler à mon entourage et j'espère avoir un offre plus compétitif... </t>
  </si>
  <si>
    <t>si-ahmed-c-117681</t>
  </si>
  <si>
    <t>Très satisfaisait des services proposés, et la simplicité de la plate-forme. Le prix défit toute concurrence et les formules sont adaptées à chaque besoin.</t>
  </si>
  <si>
    <t>bilou-69828</t>
  </si>
  <si>
    <t xml:space="preserve">bonjour aux internautes , mon problème depuis 2004 j'ai prescris une assurance de vie chez sogecap pour mon ex-femme jusqu'à 2010 . Sogecap m'ont suspendu suite à une cotisation . Depuis ce jour , je ne suis pas inscris . Je voulais savoir est-ce qu'il y a une personne qui peut m'aider pour récupérer ma cotisation de 6 années ? . Merci d'avance à tous </t>
  </si>
  <si>
    <t>any-91988</t>
  </si>
  <si>
    <t xml:space="preserve">Aujourd’hui, j'ai appelé au service client pour me renseigner pourquoi j'étais prélevé le 05 de juillet, vu que le 23/04 j'avais pris le contrat chez direct assurance et j'avais payé 3 mois anticipé au moment de la création du contrat avec un début le 1 mai. Donc j'avais paye mai, juin et juillet.
Le interlocuteur était très très désagréable, impoli, j'ai posé plusieurs question vu que ce n'était pas clair son explication et dans le moment que j'ai pris le contrat, personne m'a expliqué pourquoi je serai prélevé le mois de juillet si j'avais payé en anticipé. 
Le monsieur a même osé à me demander si on était d'accord qu'un an avait 12 mois. A ce point désagréable, évidement je lui dit que c'est pas nécessaire d'être comme ça désagréable si j'ai des question c'est normal qu'il me réponds, il m'a reposé la question si je comprends qu'on an a bien 12mois et une fois en plus je répète qu'il ne faut pas être désagréable et pour finir il m'a raccroché au nez. 
Bravo pour votre service monsieur, si on ne sait pas servir au client, sûrement il devrait pas avoir un emploi en service client. 
</t>
  </si>
  <si>
    <t>richards-59297</t>
  </si>
  <si>
    <t>Votre mail automatic "Une réponse personnalisée vous sera apportée dans les meilleurs délais." Ns avons adressé le 2/12/2017 un 1er mail de réclamation après un entretien avec votre militant (basé sur Mulhouse). La réponse dite "personnalisée" depuis (3mail entre-temps) ne nous est jamais parvenue. Étonnement!
Le sujet principal porté sur la tarification qui d'une année  sur l'autre à augmenté de 35 % suivant un principe bien connu "la double peine"  malus passé à 0,62% et augmentation tarifaire injustifiée. Tout ceci dans une opacité la plus totale. Aboutissant à ce qu'un nouvel adhérent base 0,62 paye une cotis inférieure. Pourtant, mon épouse cotise depuis 1972
 Je tente de passer par ce canal pour obtenir un minimum d'explications qui nous permettrait de dire que la MAiF ne méprise pas ses adhérents
Seul l'avenir le dira</t>
  </si>
  <si>
    <t>eldorado-68108</t>
  </si>
  <si>
    <t xml:space="preserve">Mieux vaut être bon conducteur, sans histoires.
les meilleurs tarifs avec de bonnes garanties.
</t>
  </si>
  <si>
    <t>fmo-23887</t>
  </si>
  <si>
    <t xml:space="preserve">Gestion sinistre MACIF: honteux!!!
Cela fait fait plus de 30 ans que je suis à la MACIF, assuré tout risque, et pour la 1ère fois j'ai eu un sinistre automobile non responsable le 18/11/2017.
Comme leur garage agréé ne pouvait pas réparer ma voiture (3300 € de réparation) avant mi-janvier, je l'ai mise chez mon garagiste habituel, qui me l'a rendue tout début décembre: aujourd'hui, 5 semaines plus tard, je ne suis toujours pas remboursé!
J'ai appelé une dizaine de fois, je suis tombé à chaque fois sur un conseiller différent, mais qui tient toujours le même discours et qui vous mène en bateau: "on vous fait le virement aujourd'hui ou demain ..."
Et cela fait un mois que ça dure! J'ai demandé un relevé d'information et je vais quitter cette compagnie, qui se dit mutuelle !!!
</t>
  </si>
  <si>
    <t>09/01/2018</t>
  </si>
  <si>
    <t>a6a-62910</t>
  </si>
  <si>
    <t>Attention au résiliation !</t>
  </si>
  <si>
    <t>03/04/2018</t>
  </si>
  <si>
    <t>tim-103566</t>
  </si>
  <si>
    <t>Ne souscrivez surtout pas!!! Je suis dans la même situation que la plupart des autres commentaires, tout va bien tant que les frais ne sont pas trop élevés. En effet, mon chat a dû se faire opérer d'un polype dans l'oreille. La facture était élevée Ducoup ils n'ont pas remboursé. Ils inventent des choses, ils sont au dessus de ce que peuvent dire les vétérinaires, et même après avoir prouvé qu'ils avaient tors (scanner et IRM à l'appui) ils ne font pas le remboursement. De ce fait je veux résilier et surprise!! je dois attendre 1 an car le contrat est reparti pour un an. Je déconseille fortement mais malheureusement les gens qui souscrivent ne lisent souvent malheureusement pas les commentaires.</t>
  </si>
  <si>
    <t>lucas-pierre-98571</t>
  </si>
  <si>
    <t>je suis tout le temps bien accueilli par le service client et mon conseillé attitré ,
rapide au niveau des remboursement , et la carte tiers payant est toujours accepté par les différent professionnel santé , choses qui était pas le cas avec mon ancienne mutuelle .
j’espère juste que vous allez garder cette qualité de service à l'avenir .</t>
  </si>
  <si>
    <t>09/10/2020</t>
  </si>
  <si>
    <t>jacky-55097</t>
  </si>
  <si>
    <t>Néoliane En fait leur procédé est trèss douteux car ils refusent de nous adresser les conditions générales et particulières avant la signature électronique du contrat en prétextant que nous avons un délai de rétractation de 14 jours, donc ils 'envoient pas les conditions avant les 14 jours, et comme ils prétendent avoir eu notre accord de façon électronique, ils disent qu'on ne peut pas résilier.</t>
  </si>
  <si>
    <t>02/06/2017</t>
  </si>
  <si>
    <t>zarakai-57372</t>
  </si>
  <si>
    <t>Après un sinistre fin juin, un délais très long pour l'expertise, puis, enfin, un chèque pour ma voiture épave est envoyé, sauf qu'il n'arrive jamais à destination. On m'envoie une lettre de désistement afin de faire opposition au chèque. Encore 3 semaines d'attente, nous sommes mi-septembre et on me dit qu'il faut refaire la lettre de désistement car le chèque n'a pas été fait à mon nom mais à celui de mon père qui n'apparait plus sur la carte grise. Soit un délais supplémentaire de 10 jours et une réelle interrogation sur l'envoi du premier chèque. Une très mauvaise expérience, on ne me reprendra pas a souscrire chez eux qui sont par ailleurs plus chers que beaucoup de leurs concurrents.</t>
  </si>
  <si>
    <t>ricounet63-80938</t>
  </si>
  <si>
    <t>J'avais laissé ma voiture en révision dans un garage Renault qui avait souscrit son assurance chez AXA
Le garage a été cambriolé et ma voiture dérobée puis brulée.
Dialogue de sourd avec cette assurance pour être rembourse, j'ai pris contact avec l'agence d'Issoire dans le 63. 
J'ai été particulièrement mal reçu par la conseillere d'AXA , cette dernière m'a dit de prendre contact avec mon assurance personnelle pour connaitre l'avancement de mon dossier , c'est ce que j'ai fait mais apparemment AXA ne donne aucune info a mon assurance.
En résumé je déconseille fortement de souscrire après de cette assurance qui est très performante pour encaisser les cotisations et font durer le plaisir pour rembourser en cas de sinistre.
Avec l'agence d'Issoire , ai je a faire a de l'incompétence ou de la volonté a ne pas payer ? 
Une chose est sure , c'est que ces gens ont une haute estime de leur personne  , au point de raccrocher au nez quand on ils sont en difficultés.
AXA , assurance a fuir . 1 mois et demi après un sinistre , aucune nouvelle de leur part</t>
  </si>
  <si>
    <t>12/11/2019</t>
  </si>
  <si>
    <t>durant-de-saint-andre-g-115514</t>
  </si>
  <si>
    <t xml:space="preserve">Simplicité de souscription et de signature en espérant que la qualité de service soit aussi simple en cas de sinistre même si j'espère ne pas en avoir
</t>
  </si>
  <si>
    <t>candy-96662</t>
  </si>
  <si>
    <t>Assurée chez Cegema depus 2019, en 2020 la cotisation a augmenté de 12 %, à cause du zéro reste à charge. Finalement on paye à la mutuelle au lieu de payer au dentiste ou à l'opticien !
Nombreux problèmes de gestion, injoignable au téléphone, je ne sais pas si je poursuivre avec cette mutuelle, qui est plutôt chère</t>
  </si>
  <si>
    <t>25/08/2020</t>
  </si>
  <si>
    <t>rosy-70305</t>
  </si>
  <si>
    <t>Très déçue... Assurée à la MAIF pour mon véhicule depuis 30ans, je souhaite être désormais assurée au km puisque je suis retraitée et que je roule peu. Après plusieurs mails, restés sans réponse, j'ai contacté téléphoniquement (attente de 10mn) un conseiller qui m'a envoyé sur le site" Altima par MAIF" (10mn d'attente supplémentaires) où il m'a été expliqué que c'était à moi de faire le devis et la souscription et qu'il était indispensable d'avoir un smartphone  pour bénéficier de cette assurance.
Je pense donc que la MAIF n'a pas besoin de clients. Très décevant pour une entreprise qui prône le partage. Je pense donc changer d'assureur.</t>
  </si>
  <si>
    <t>17/01/2019</t>
  </si>
  <si>
    <t>elsaschlgl-61777</t>
  </si>
  <si>
    <t>Très déçue de la prestation, pas de soutien sauf quand il faut payer !
Me propose d'avancer la franchise (de 400€) sur un dossier pour quelques mois car le conducteur en faute a refuser de signer.
L'agence trompe dans le traitement du dossier, je ne reverrais certainement jamais ma franchise...
Me propose enfin de montrer de 60€ par mois mon contrat le temps que le dossier sois traité. Une belle blague !!! 
AXA est une mauvaise assurance qui ne soutien pas ses assurés
J'espère trouver rapidement une nouvelle assurance et n'y retournerais plus.</t>
  </si>
  <si>
    <t>26/02/2018</t>
  </si>
  <si>
    <t>landas-j-117188</t>
  </si>
  <si>
    <t xml:space="preserve">tres satisfait
bon prix, prix compétitif surtout pour les jeunes chauffeurs
conseillère tres gentille
de tres bons conseils
tres bonne écoute
disponible
</t>
  </si>
  <si>
    <t>betina-138921</t>
  </si>
  <si>
    <t xml:space="preserve">J'étais chez eurofil depuis plus de 5 ans. 
Cette année ils ont décidé de résilier le contrat sans aucune raison. Ils m'ont indiqué dans le courrier suite au changement de notre politique d'assurance. 
J'ai toujours payé mes échéances en temps et en heure. J'ai eu un bris de glace cette année et un vol en 2019. C'est tout et voilà qu'ils me résilient. Ce qui rend compliqué de trouver une assurance qui nous accepte quand on est résilié par une assurance surtout qu'il n'y a pas de raison valable à cela. 
</t>
  </si>
  <si>
    <t>amandine-f34-60792</t>
  </si>
  <si>
    <t>Je suis à la MAIF pour l'habitation depuis juin. J'ai malheureusement subi deux cambriolage d'affilé (d'abord le vélo, puis l'appart). Etant sur un contrat jeune, le vélo n'a pas été couvert. J'ai énormément perdu cette semaine là, mais j'ai été globalement bien dédommagée. Le conseiller MAIF a été à mon écoute, m'a réconfortée et accompagnée.
Le cabinet d'expert pour chiffrer ma perte a été mandaté rapidement, et j'ai eu un remboursement dans le mois.
Le mois suivant, j'ai eu un accident de vélo avec une voiture responsable et un constat établi, la conseillère de la maif s'est occupée de tout avec l'assurance adverse. Encore une fois, bien suivie.
J'eu ensuite le malheur d'avoir mon téléphone endommagé, la MAIF a couvert le dégât rapidement.
Honnêtement, je n'ai pas à me plaindre, et j'ai une bonne expérience globalement avec eux.
Je les recommande même !</t>
  </si>
  <si>
    <t>24/01/2018</t>
  </si>
  <si>
    <t>go-97797</t>
  </si>
  <si>
    <t xml:space="preserve">Je demandais un avis sur une assurance et un conseil. 
On m'a raccroché deux fois au nez en me disant que ça ne les intéressait pas, que je dois voir avec un autre assureur. </t>
  </si>
  <si>
    <t>24/09/2020</t>
  </si>
  <si>
    <t>ponchatman44-54617</t>
  </si>
  <si>
    <t>Catastrophique, assurément tout sauf humain le suivi du dossier est calamiteux</t>
  </si>
  <si>
    <t>11/05/2017</t>
  </si>
  <si>
    <t>finistere-29-125504</t>
  </si>
  <si>
    <t>Cliente d'Harmonie mutuelle depuis plus de 20 ans, je suis très satisfaite de cette mutuelle. remboursement rapide, réactivité lors des contacts, proximité des agences. Je suis très surprise de tous ces avis négatifs.</t>
  </si>
  <si>
    <t>madani-m-115480</t>
  </si>
  <si>
    <t>Je découvre cette assurance que je ne connaissais pas donc j’espère ne pas avoir de mauvaise surprise. En t’oit cas, les conseillers sont très accueillants et professionnels.</t>
  </si>
  <si>
    <t>joelle-g-106854</t>
  </si>
  <si>
    <t>Je suis satisfaite de vod services  et personnel agréable. Le seul problème c est pour signer vous savez quand les gens n ont pas internet c est compliquer vous devriez l envoyer par courrier</t>
  </si>
  <si>
    <t>17/03/2021</t>
  </si>
  <si>
    <t>gregory-b-131859</t>
  </si>
  <si>
    <t xml:space="preserve">Lors de mon appel téléphonique, pour faire des modifications sur mon contrat initial et mon nouveau contrat ce n'était pas si simple. Dommage de ne pas avoir un bonus quand on a plusieurs contrats chez Direct Assurance (voiture, logement). Le site est bien faire pour faire soit même son devis. </t>
  </si>
  <si>
    <t>08/09/2021</t>
  </si>
  <si>
    <t>ghislain--y-112367</t>
  </si>
  <si>
    <t xml:space="preserve">Les prix me conviennent pour l'instant quoique l'évolution à la baisse au cours des années, sans sinistre, reste dubitative et sujette à questionnement. Peut être que Direct s'aligne aux autre assureurs en restant sur la fourchette basse. </t>
  </si>
  <si>
    <t>lena-h-115610</t>
  </si>
  <si>
    <t xml:space="preserve">Prix plutôt convenables surtout si la conduite suit ! Je reviendrai vers vous pour donner mon avis après avoir testé le boitier 
Le conseiller que j'ai eu au téléphone était super et très sympathique  </t>
  </si>
  <si>
    <t>basptiste-c-107582</t>
  </si>
  <si>
    <t>Je suis satisfait du service de Ma conseillère Zen up. Je serai totalement satisfait si mon dossier est accepté par l'organisme préteur, c'est à dire la caisse d'épargne</t>
  </si>
  <si>
    <t>jp57-81845</t>
  </si>
  <si>
    <t xml:space="preserve">
Madame, Monsieur,
Après étude de vos documents*, nous constatons que certaines informations diffèrent des déclarations faites à la souscription de votre contrat.
Voici ce que nous avons modifié :
L'obtention déclarée du permis de conduire du conducteur secondaire était en 01/1998, après vérification, la date réelle est en 05/1996
Cette opération entraîne des frais d'avenant d'une valeur de 15 euros, qui seront facturés sur le compte bancaire pour lequel vous nous avez donné autorisation de prélever.
Le décalage entre les informations transmises et celles déclarées à la souscription étant important, la mise en conformité de votre contrat entraîne une augmentation de votre prime de 49.5 euros (comprenant les frais d'avenant). Cette somme fera l'objet d'un prélèvement sur votre compte bancaire.
sans commentaires, ha si peut etre que la personne qui a fait mon contrat m as dit qu une date aproximative suffirait.
</t>
  </si>
  <si>
    <t>13/12/2019</t>
  </si>
  <si>
    <t>sand-70422</t>
  </si>
  <si>
    <t xml:space="preserve">Je suis très satisfaite de cette assurance, j'y suis affiliée depuis 3 ans. J'ai eu des sinistres et tout à été très simple! L'accueil est parfait: dynamique, souriant et très professionnel. De plus le rapport qualité prix est imbattable! Je recommande vivement cette assurance! </t>
  </si>
  <si>
    <t>21/01/2019</t>
  </si>
  <si>
    <t>theomaelys-64569</t>
  </si>
  <si>
    <t>bien expliquer tres sympa et bcp de choix</t>
  </si>
  <si>
    <t>07/06/2018</t>
  </si>
  <si>
    <t>aurelien-v-112583</t>
  </si>
  <si>
    <t>Pire service d'assurance.. Client depuis 10 ans et je subit un tarif exécrable. Un nouveau client avec les mêmes options et malus paie 600€ de moins. Je suis en recherche active pour quitter cette "assurance" qui ne sait récompenser les clients fidèles.</t>
  </si>
  <si>
    <t>jessica-f-126370</t>
  </si>
  <si>
    <t xml:space="preserve">Je suis satisfaite du service, le prix me convient, le site est efficace et rapide et très facile à utiliser, et super rapide merci à vous et bonne journée  </t>
  </si>
  <si>
    <t>pae-56281</t>
  </si>
  <si>
    <t xml:space="preserve">Je suis client depuis plus de 25 ans à MACIF Provence avec 6 contrats d'assurance (bateau -autos -maison ..) et suis très satisfait par les différentes interventions et remboursements de la MACIF suite à divers sinistres.
En particulier ma maison a été sinistrée par la sécheresse   en 2010 et les travaux de réparation très très importants et pris totalement en charge par la MACIF ( à noter que mes 2 voisins qui ont subi les mêmes problèmes avec d'autres assureurs et d'autres experts ne sont toujours pas sortie d'affaire 6 ans après).
Je ne peux que rester fidèle à la MACIF après un sinistre de cette envergure.     </t>
  </si>
  <si>
    <t>wascheul-m-107974</t>
  </si>
  <si>
    <t xml:space="preserve">Prix correct
Mais application pour sinistre très mauvaise :
Sinistre déclaré le 2 février 
Achevé le 25 mars 
Très mauvaise communication avec les conseillers </t>
  </si>
  <si>
    <t>algoet-s-138315</t>
  </si>
  <si>
    <t>Très contente  de l ensemble de vos prestations par les compétences explications  leurs patience le rapport qualité  prix rien a dire cliente chez vous depuis 6 ans</t>
  </si>
  <si>
    <t>26/10/2021</t>
  </si>
  <si>
    <t>chrout-100622</t>
  </si>
  <si>
    <t>Pharmacie en ligne
Je viens de découvrir un truc 
Vous pouvez acheter sur feelvie.pharmacalais.fr vos médocs et parapharmacie en ligne si et seulement si vous êtes adhérent à certaines mutuelles dont la Mgen et en plus c'est pas excessif</t>
  </si>
  <si>
    <t>26/11/2020</t>
  </si>
  <si>
    <t>bendsns-125463</t>
  </si>
  <si>
    <t xml:space="preserve">je ne donnerai meme pa une étoile mais je peux pas faire autrement . personne au téléphone aucune réponses au mails. erreur dans les adresse pour envoyer les cheque de prévoyance . aucun paiement depuis janvier . une honte a ne surtout pas souscrire </t>
  </si>
  <si>
    <t>Gan</t>
  </si>
  <si>
    <t>brendan56-79666</t>
  </si>
  <si>
    <t xml:space="preserve">Trop cher, 2 mois pour un remboursement. Aucun avantage fidèlité. Je déconseille fortement.
J'ai changé d'assurance en remplissant tout les termes, les dates ont été respectées. J'ai reçu un courrier de leur part comme quoi tout est en règle. Malgré tout cela, je suis encore prélevé un mois après.
Le pire c'est que ma banque est au crédit agricole. 
Et on me prévient que mon remboursement peut prendre au minimum un mois. 
</t>
  </si>
  <si>
    <t>02/10/2019</t>
  </si>
  <si>
    <t>vicente-t-105300</t>
  </si>
  <si>
    <t xml:space="preserve">Bonjour,
Malgré le covid-19 et l'utilisation réduite de la voiture en 2020 et 2021, vous trouvez le moyen d'augmenter le tarif de 90€. Je suis trés déçu!
</t>
  </si>
  <si>
    <t>vatamanescu-l-127925</t>
  </si>
  <si>
    <t xml:space="preserve">Je suis satisfait de votre service  et une bonne  echipe merci pour votre conseil et votre echipe  vous est magnifique  et tre facile a faire sur vôtre site </t>
  </si>
  <si>
    <t>excoffier-c-135319</t>
  </si>
  <si>
    <t>A ce jour je suis satisfaite du service en ce qui concerne la constitution de mon contrat.
J'attends de voir le service en cas de besoin et les possibilités de joindre facilement un conseiller.</t>
  </si>
  <si>
    <t>rene-p-121871</t>
  </si>
  <si>
    <t xml:space="preserve">je suis satisfais de mon assurance. je suis assuré a la GMF depuis 1986 sans incident avec un bonus de 50%. Les tarifs sont corrects;
je n'ai rien d'autre a ajouter.
</t>
  </si>
  <si>
    <t>bouhey-c-115833</t>
  </si>
  <si>
    <t>Simple et efficace, L’olivier assurance est une bonne assurances  pour débuter , le dépannage est rapide et simple d’utilisation, et le personnelle très compétant</t>
  </si>
  <si>
    <t>03/06/2021</t>
  </si>
  <si>
    <t>azeddine-l-134445</t>
  </si>
  <si>
    <t xml:space="preserve">Je suis un client fidèle et j’ai déjà deux contrat chez direct assurance et là c’est ma deuxième voiture soit trois contrat (2400€/an) et je n’ai eu aucun juste commercial pour m’encourager à rester chez vous.
J’espère mes commentaires seront prises en compte </t>
  </si>
  <si>
    <t>25/09/2021</t>
  </si>
  <si>
    <t>thierry-z-129324</t>
  </si>
  <si>
    <t>Simple et pratique, j'espère que la reste de la procédure sera identique et notament pour la résilliation de mon assurance précédente. Le tarif proposé semble corect.</t>
  </si>
  <si>
    <t>karim-b-108546</t>
  </si>
  <si>
    <t>Je suis satisfait du service de votre assurance et de vos prix et assez rapide je vous remercie je attend la validation de l assurance et de avoir le contrat</t>
  </si>
  <si>
    <t>30/03/2021</t>
  </si>
  <si>
    <t>joel-m-116554</t>
  </si>
  <si>
    <t>Trop cher dans les DOMs
Nous ne pouvons pas bénéficier de tous les avantages offerts aux sociétaires vivant en France.
Certaines prestations sont inaccessibles aussi</t>
  </si>
  <si>
    <t>alex51-79545</t>
  </si>
  <si>
    <t>J'avais une question concernant la télétransmission ,j'ai eu Caroline au téléphone et elle a su répondre à mes questions et mes attentes très rapidement.Je suis très satisfaite</t>
  </si>
  <si>
    <t>27/09/2019</t>
  </si>
  <si>
    <t>seraphinelita-51378</t>
  </si>
  <si>
    <t>Après 34 ans à la MAAF, virée pour sinistralité: un cambriolage et une cheminée abimée par un feu!!! MAiS je reçois leurs voeux 2017 et de la pub parce qu'ils sont proches de moi pour m'aider à résoudre mes problèmes. Le pire est que toutes les mutuelles sont solidaires!!!</t>
  </si>
  <si>
    <t>17/01/2017</t>
  </si>
  <si>
    <t>let-54179</t>
  </si>
  <si>
    <t>zéro blabla zéro tracas :)</t>
  </si>
  <si>
    <t>karim-y-114814</t>
  </si>
  <si>
    <t>J'aime bien le site internet et le suivi client, néanmoins je trouve les tarifs AUTO un poil trop chers. C'est pour cela que je fais les démarches nécessaires pour trouver un tarifs plus adapté à mes moyens.</t>
  </si>
  <si>
    <t>troux-c-126163</t>
  </si>
  <si>
    <t xml:space="preserve">très bon assureur, plateforme accessible, prix bas, que demander de + ? Documents envoyés instantanément. Je suis ravie d'avoir assuré mon véhicule chez vous. </t>
  </si>
  <si>
    <t>jessica-87169</t>
  </si>
  <si>
    <t>je suis tres contente de cette mutuelle niveau garantie niveau rembourssement je suis satisfaite du service client ils repondent generalement assez vite</t>
  </si>
  <si>
    <t>cloclow-63335</t>
  </si>
  <si>
    <t>Étant a cette mutuelle depuis 2013 j en suis très satisfaite</t>
  </si>
  <si>
    <t>17/04/2018</t>
  </si>
  <si>
    <t>mnm-72444</t>
  </si>
  <si>
    <t xml:space="preserve">Déçu de mon assurance chez eux, mauvaises explications sur les contrats et sur les moments à résilier les contrats </t>
  </si>
  <si>
    <t>greg17-87084</t>
  </si>
  <si>
    <t xml:space="preserve">Un véhicule d'entreprise accidenté et assurer TOUT RISQUE, l'expert est contre les dits de l'entreprise, apres multiple échange téléphonique ils me disent : faite venir VOTRE expert et si il dit comme vous on en feras intervenir un autre ( donc les délais s'etale sur plusieurs mois et des centaines d'euro) J'ai besoin de  mon Véhicule et j'ai moins d'argent que ce gros groupe   ... bref je veut partir de la macif  je demande un relevé d'info et la je me rend compte que cet accident est déclarer 100% en tord et il m'ont infligé du malus  J'appel mon conseiller  pour me plaindre 
C'EST PAS MON PROBLEME  C'EST PAS MA FAUTE J'AI PAS LE TEMPS DE GERRE CA
</t>
  </si>
  <si>
    <t>kevin-l-114950</t>
  </si>
  <si>
    <t xml:space="preserve">Prix très correcte je trouve cette assurance génial  j'ai pas trouver moin cher ailleurs un ami me l'a conseiller je regrette pas du tout bien au contraire </t>
  </si>
  <si>
    <t>hanaed--96718</t>
  </si>
  <si>
    <t xml:space="preserve">Je suis plus que satisfaite de cette mutuelle. Les conseillers son toujours aimable et à l’écoute. Ils répondent très vite et les informations sont traitées rapidement. </t>
  </si>
  <si>
    <t>c2d-77905</t>
  </si>
  <si>
    <t>Pour ma part, je suis satisfait. Je traite directement avec mon agence locale (que ce soit par téléphone ou email), le personnel est sympa, arrangeant et compétent. J'ai un un sinistre sur du corporel, tout a bien été géré. Je pense qu'il est préférable de traiter avec une agence locale plutôt que d'appeler les conseillers au siège où la relation est impersonnelle et où on discute avec des conseillers qui ne font que du phoning toute la journée. Ils semblent lassés et offrent au final un service moindre</t>
  </si>
  <si>
    <t>batman-40738</t>
  </si>
  <si>
    <t xml:space="preserve">Des clauses étranges .  Par exemple , je prête ma maison à un de mes oncles pour qu'il puisse regarder la TV sur grand écran , nous étions attendus pour une soirée et avons du nous absenter , il a remarqué une trace sur l'écran et à tenté de l'enlever avec une éponge magique , résultat catastrophique . Pacifica ne prend pas en charge le transfert de responsabilité , ou quelque chose dans le genre . Nous aurions été là, pas de soucis , allez comprendre . Bien lire entre les lignes ...  Je suis client CRCA depuis 1988 et resterai à la GMF pour les assurances et eux n'ont pas cette clause loufoque . </t>
  </si>
  <si>
    <t>29/04/2019</t>
  </si>
  <si>
    <t>lucas-m-125304</t>
  </si>
  <si>
    <t xml:space="preserve">Le service est de qualité avec un site bien maintenu et très clair. Cependant, pour un jeune ayant peu d'expérience en voiture et en moto, les mensualités sont assez élevées.
 </t>
  </si>
  <si>
    <t>panazolais--102537</t>
  </si>
  <si>
    <t xml:space="preserve">Facilité pour contracter via internet, prix très concurrentiel. Suivie rapide. Documents envoyés dans les jours qui suivent, recommande pour voiture ou moto. </t>
  </si>
  <si>
    <t>marc-r-123755</t>
  </si>
  <si>
    <t xml:space="preserve">Je suis satisfait du service: j'ai eu à contacter la GMF récemment pour un sinistre et l'affaire a été traitée rapidement par mon interlocutrice au téléphone. </t>
  </si>
  <si>
    <t>mat-94796</t>
  </si>
  <si>
    <t>Bonjour 
Je suis en arrêt depuis plus de trois mois et toujours pas de nouvelles d'Allianz. 
La pire assurance sur le marché. Je résilierai tous mes contrats (habitat, les véhicules, les mutuelles pour les salariés, les contrats multirisques pour les entreprises ....)</t>
  </si>
  <si>
    <t>abdel-111209</t>
  </si>
  <si>
    <t>Suite à un dégât des eaux j’attends depuis plus de 3 mois. 
Et à chaque fois il fallait appeler pour faire avancer le dossier et depuis le 26/12/2020 j’attends que la matmut me rembourse. Et toujours rien.
Aucun sérieux dans le traitement des dossiers a fuir</t>
  </si>
  <si>
    <t>thierry-s-132039</t>
  </si>
  <si>
    <t>Très satisfait, c'est le troisième véhicule assuré chez April moto
Tarifs très compétitifs, rapidité des démarches en ligne. Site facile d'utilisation.</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</si>
</sst>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sz val="11.0"/>
      <color theme="1"/>
      <name val="Calibri"/>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c r="F1" s="1" t="s">
        <v>5</v>
      </c>
      <c r="G1" s="1" t="s">
        <v>6</v>
      </c>
      <c r="H1" s="1" t="s">
        <v>7</v>
      </c>
      <c r="I1" s="1" t="s">
        <v>8</v>
      </c>
      <c r="J1" s="1" t="s">
        <v>9</v>
      </c>
      <c r="K1" s="1" t="s">
        <v>10</v>
      </c>
    </row>
    <row r="2">
      <c r="A2" s="2">
        <v>1.0</v>
      </c>
      <c r="B2" s="2" t="s">
        <v>11</v>
      </c>
      <c r="C2" s="2" t="s">
        <v>12</v>
      </c>
      <c r="D2" s="2" t="s">
        <v>13</v>
      </c>
      <c r="E2" s="2" t="s">
        <v>14</v>
      </c>
      <c r="F2" s="2" t="s">
        <v>15</v>
      </c>
      <c r="G2" s="2" t="s">
        <v>16</v>
      </c>
      <c r="H2" s="2" t="s">
        <v>16</v>
      </c>
      <c r="I2" s="2" t="str">
        <f>IFERROR(__xludf.DUMMYFUNCTION("GOOGLETRANSLATE(C2,""fr"",""en"")"),"Do not even know how to defend a driver when he is not wrong. Witnesses attesting that it was the car that gave up on me. And the complementary equipment reimbursement is M ..... a headset of 2 but reimburse only 45% of its value.
A shame to say the mu"&amp;"tual of bikers")</f>
        <v>Do not even know how to defend a driver when he is not wrong. Witnesses attesting that it was the car that gave up on me. And the complementary equipment reimbursement is M ..... a headset of 2 but reimburse only 45% of its value.
A shame to say the mutual of bikers</v>
      </c>
    </row>
    <row r="3">
      <c r="A3" s="2">
        <v>2.0</v>
      </c>
      <c r="B3" s="2" t="s">
        <v>17</v>
      </c>
      <c r="C3" s="2" t="s">
        <v>18</v>
      </c>
      <c r="D3" s="2" t="s">
        <v>19</v>
      </c>
      <c r="E3" s="2" t="s">
        <v>20</v>
      </c>
      <c r="F3" s="2" t="s">
        <v>15</v>
      </c>
      <c r="G3" s="2" t="s">
        <v>21</v>
      </c>
      <c r="H3" s="2" t="s">
        <v>21</v>
      </c>
      <c r="I3" s="2" t="str">
        <f>IFERROR(__xludf.DUMMYFUNCTION("GOOGLETRANSLATE(C3,""fr"",""en"")"),"Hello,
I find extremely frustrating, the fact that despite my bonus and my second consecutive year with you, the price of my car insurance is to remain the same as last year.
I plan to prospect the competition.")</f>
        <v>Hello,
I find extremely frustrating, the fact that despite my bonus and my second consecutive year with you, the price of my car insurance is to remain the same as last year.
I plan to prospect the competition.</v>
      </c>
    </row>
    <row r="4">
      <c r="A4" s="2">
        <v>1.0</v>
      </c>
      <c r="B4" s="2" t="s">
        <v>22</v>
      </c>
      <c r="C4" s="2" t="s">
        <v>23</v>
      </c>
      <c r="D4" s="2" t="s">
        <v>24</v>
      </c>
      <c r="E4" s="2" t="s">
        <v>20</v>
      </c>
      <c r="F4" s="2" t="s">
        <v>15</v>
      </c>
      <c r="G4" s="2" t="s">
        <v>25</v>
      </c>
      <c r="H4" s="2" t="s">
        <v>26</v>
      </c>
      <c r="I4" s="2" t="str">
        <f>IFERROR(__xludf.DUMMYFUNCTION("GOOGLETRANSLATE(C4,""fr"",""en"")"),"The samples take place perfectly, the commercial conditions vary depending on the change of the Francisée. One without a franchise bought in the event of a responsible disaster, whatever the number of claims, today it is at the good will of the franchisee"&amp;". No more confidence in this insurance")</f>
        <v>The samples take place perfectly, the commercial conditions vary depending on the change of the Francisée. One without a franchise bought in the event of a responsible disaster, whatever the number of claims, today it is at the good will of the franchisee. No more confidence in this insurance</v>
      </c>
    </row>
    <row r="5">
      <c r="A5" s="2">
        <v>2.0</v>
      </c>
      <c r="B5" s="2" t="s">
        <v>27</v>
      </c>
      <c r="C5" s="2" t="s">
        <v>28</v>
      </c>
      <c r="D5" s="2" t="s">
        <v>29</v>
      </c>
      <c r="E5" s="2" t="s">
        <v>30</v>
      </c>
      <c r="F5" s="2" t="s">
        <v>15</v>
      </c>
      <c r="G5" s="2" t="s">
        <v>31</v>
      </c>
      <c r="H5" s="2" t="s">
        <v>32</v>
      </c>
      <c r="I5" s="2" t="str">
        <f>IFERROR(__xludf.DUMMYFUNCTION("GOOGLETRANSLATE(C5,""fr"",""en"")"),"Complicated customer service. Request for a police return made this now 3 months ago. After a month without any news and after sending no new documents (no acknowledgment of receipt). The first time I am told that my documents were a priori well received,"&amp;" that I should receive a letter and that it will take a month of delay. The mail does not arrive, I make repeated recovery calls every week and there I am announced two months of delay to finally after 2 months announcing a period of three months. This da"&amp;"y, being now at 3 months, new call from me, a very kind person replies that they do not know where my file is and that they transmit my request and that she cannot tell me more. I ask her if she has a trace of my previous calls, she replies that no. I ask"&amp;" him if I can have an interlocutor who would be able to find out and again it is not possible. I find it quite inhuman. I do not understand how we can leave people like that while waiting.")</f>
        <v>Complicated customer service. Request for a police return made this now 3 months ago. After a month without any news and after sending no new documents (no acknowledgment of receipt). The first time I am told that my documents were a priori well received, that I should receive a letter and that it will take a month of delay. The mail does not arrive, I make repeated recovery calls every week and there I am announced two months of delay to finally after 2 months announcing a period of three months. This day, being now at 3 months, new call from me, a very kind person replies that they do not know where my file is and that they transmit my request and that she cannot tell me more. I ask her if she has a trace of my previous calls, she replies that no. I ask him if I can have an interlocutor who would be able to find out and again it is not possible. I find it quite inhuman. I do not understand how we can leave people like that while waiting.</v>
      </c>
    </row>
    <row r="6">
      <c r="A6" s="2">
        <v>5.0</v>
      </c>
      <c r="B6" s="2" t="s">
        <v>33</v>
      </c>
      <c r="C6" s="2" t="s">
        <v>34</v>
      </c>
      <c r="D6" s="2" t="s">
        <v>35</v>
      </c>
      <c r="E6" s="2" t="s">
        <v>20</v>
      </c>
      <c r="F6" s="2" t="s">
        <v>15</v>
      </c>
      <c r="G6" s="2" t="s">
        <v>36</v>
      </c>
      <c r="H6" s="2" t="s">
        <v>32</v>
      </c>
      <c r="I6" s="2" t="str">
        <f>IFERROR(__xludf.DUMMYFUNCTION("GOOGLETRANSLATE(C6,""fr"",""en"")"),"Very attractive price thank you very effective the explanations are very simple and easy the site is very accessible and easy to navigation I hope that everything will go as well until the end.")</f>
        <v>Very attractive price thank you very effective the explanations are very simple and easy the site is very accessible and easy to navigation I hope that everything will go as well until the end.</v>
      </c>
    </row>
    <row r="7">
      <c r="A7" s="2">
        <v>1.0</v>
      </c>
      <c r="B7" s="2" t="s">
        <v>37</v>
      </c>
      <c r="C7" s="2" t="s">
        <v>38</v>
      </c>
      <c r="D7" s="2" t="s">
        <v>35</v>
      </c>
      <c r="E7" s="2" t="s">
        <v>20</v>
      </c>
      <c r="F7" s="2" t="s">
        <v>15</v>
      </c>
      <c r="G7" s="2" t="s">
        <v>39</v>
      </c>
      <c r="H7" s="2" t="s">
        <v>40</v>
      </c>
      <c r="I7" s="2" t="str">
        <f>IFERROR(__xludf.DUMMYFUNCTION("GOOGLETRANSLATE(C7,""fr"",""en"")"),"No one from null!
to avoid !!!
The price is in line is low as their level of professionalism, flee this insurance as the plague,")</f>
        <v>No one from null!
to avoid !!!
The price is in line is low as their level of professionalism, flee this insurance as the plague,</v>
      </c>
    </row>
    <row r="8">
      <c r="A8" s="2">
        <v>4.0</v>
      </c>
      <c r="B8" s="2" t="s">
        <v>41</v>
      </c>
      <c r="C8" s="2" t="s">
        <v>42</v>
      </c>
      <c r="D8" s="2" t="s">
        <v>43</v>
      </c>
      <c r="E8" s="2" t="s">
        <v>20</v>
      </c>
      <c r="F8" s="2" t="s">
        <v>15</v>
      </c>
      <c r="G8" s="2" t="s">
        <v>44</v>
      </c>
      <c r="H8" s="2" t="s">
        <v>45</v>
      </c>
      <c r="I8" s="2" t="str">
        <f>IFERROR(__xludf.DUMMYFUNCTION("GOOGLETRANSLATE(C8,""fr"",""en"")"),"I am very satisfied with the quality of the services offered. Maybe a small commercial gesture would have been the icing on the cake, given the fact that we have almost all of our goods which have been insured at home for a long time ...")</f>
        <v>I am very satisfied with the quality of the services offered. Maybe a small commercial gesture would have been the icing on the cake, given the fact that we have almost all of our goods which have been insured at home for a long time ...</v>
      </c>
    </row>
    <row r="9">
      <c r="A9" s="2">
        <v>1.0</v>
      </c>
      <c r="B9" s="2" t="s">
        <v>46</v>
      </c>
      <c r="C9" s="2" t="s">
        <v>47</v>
      </c>
      <c r="D9" s="2" t="s">
        <v>48</v>
      </c>
      <c r="E9" s="2" t="s">
        <v>14</v>
      </c>
      <c r="F9" s="2" t="s">
        <v>15</v>
      </c>
      <c r="G9" s="2" t="s">
        <v>49</v>
      </c>
      <c r="H9" s="2" t="s">
        <v>50</v>
      </c>
      <c r="I9" s="2" t="str">
        <f>IFERROR(__xludf.DUMMYFUNCTION("GOOGLETRANSLATE(C9,""fr"",""en"")"),"Too much lying advertisement you melt a maximum of rebate to enter their insurance, my they forget to tell you that the year after paying you full pots and when you have 5 assurances with them its starts to cost very dear So bad way to review")</f>
        <v>Too much lying advertisement you melt a maximum of rebate to enter their insurance, my they forget to tell you that the year after paying you full pots and when you have 5 assurances with them its starts to cost very dear So bad way to review</v>
      </c>
    </row>
    <row r="10">
      <c r="A10" s="2">
        <v>3.0</v>
      </c>
      <c r="B10" s="2" t="s">
        <v>51</v>
      </c>
      <c r="C10" s="2" t="s">
        <v>52</v>
      </c>
      <c r="D10" s="2" t="s">
        <v>43</v>
      </c>
      <c r="E10" s="2" t="s">
        <v>20</v>
      </c>
      <c r="F10" s="2" t="s">
        <v>15</v>
      </c>
      <c r="G10" s="2" t="s">
        <v>53</v>
      </c>
      <c r="H10" s="2" t="s">
        <v>53</v>
      </c>
      <c r="I10" s="2" t="str">
        <f>IFERROR(__xludf.DUMMYFUNCTION("GOOGLETRANSLATE(C10,""fr"",""en"")"),"Hello.
A mixed opinion. Troubleshooting and assistance 2 times without problems.
In terms of legal assistance for a car purchase in Germany. Out of broken engine after 6000 km.
Bad monitoring of GMF which tells me after 1 year over that it is necessa"&amp;"ry that I send a recommended. Fortunately I did not wait for their advice otherwise my file was dead.
Sub -treated in Dekra Germany who under treaty has a lawyer who does not know the file. Comes just at the time of the hearing without chatting with me. "&amp;"Provided for unrevised French expertise therefore not admissible and which during the hearing suspension asks me what I really want but explains to me that it is no longer possible because it was necessary to request before the start of the hearing .
T"&amp;"he case is not over.
Last vandalism incident not covered by an all risk contract. What is the meaning of the word all risk in French.
So for these defects of advice and processing, I would not renew for the car that I have just bought.")</f>
        <v>Hello.
A mixed opinion. Troubleshooting and assistance 2 times without problems.
In terms of legal assistance for a car purchase in Germany. Out of broken engine after 6000 km.
Bad monitoring of GMF which tells me after 1 year over that it is necessary that I send a recommended. Fortunately I did not wait for their advice otherwise my file was dead.
Sub -treated in Dekra Germany who under treaty has a lawyer who does not know the file. Comes just at the time of the hearing without chatting with me. Provided for unrevised French expertise therefore not admissible and which during the hearing suspension asks me what I really want but explains to me that it is no longer possible because it was necessary to request before the start of the hearing .
The case is not over.
Last vandalism incident not covered by an all risk contract. What is the meaning of the word all risk in French.
So for these defects of advice and processing, I would not renew for the car that I have just bought.</v>
      </c>
    </row>
    <row r="11">
      <c r="A11" s="2">
        <v>3.0</v>
      </c>
      <c r="B11" s="2" t="s">
        <v>54</v>
      </c>
      <c r="C11" s="2" t="s">
        <v>55</v>
      </c>
      <c r="D11" s="2" t="s">
        <v>56</v>
      </c>
      <c r="E11" s="2" t="s">
        <v>20</v>
      </c>
      <c r="F11" s="2" t="s">
        <v>15</v>
      </c>
      <c r="G11" s="2" t="s">
        <v>57</v>
      </c>
      <c r="H11" s="2" t="s">
        <v>16</v>
      </c>
      <c r="I11" s="2" t="str">
        <f>IFERROR(__xludf.DUMMYFUNCTION("GOOGLETRANSLATE(C11,""fr"",""en"")"),"AUCCUN PROBLEMS AT THE REACTION level after the accident covered by the loan insurance of a car passage of lexpet reimbursement of the vehicle no false note very satisfied value for money very satisfied alone bemol the wait on the phone")</f>
        <v>AUCCUN PROBLEMS AT THE REACTION level after the accident covered by the loan insurance of a car passage of lexpet reimbursement of the vehicle no false note very satisfied value for money very satisfied alone bemol the wait on the phone</v>
      </c>
    </row>
    <row r="12">
      <c r="A12" s="2">
        <v>1.0</v>
      </c>
      <c r="B12" s="2" t="s">
        <v>58</v>
      </c>
      <c r="C12" s="2" t="s">
        <v>59</v>
      </c>
      <c r="D12" s="2" t="s">
        <v>60</v>
      </c>
      <c r="E12" s="2" t="s">
        <v>61</v>
      </c>
      <c r="F12" s="2" t="s">
        <v>15</v>
      </c>
      <c r="G12" s="2" t="s">
        <v>62</v>
      </c>
      <c r="H12" s="2" t="s">
        <v>63</v>
      </c>
      <c r="I12" s="2" t="str">
        <f>IFERROR(__xludf.DUMMYFUNCTION("GOOGLETRANSLATE(C12,""fr"",""en"")"),"Quality of mediocre service for the price paid (I am talking about the quality of the service and not the guarantees that are correct)")</f>
        <v>Quality of mediocre service for the price paid (I am talking about the quality of the service and not the guarantees that are correct)</v>
      </c>
    </row>
    <row r="13">
      <c r="A13" s="2">
        <v>3.0</v>
      </c>
      <c r="B13" s="2" t="s">
        <v>64</v>
      </c>
      <c r="C13" s="2" t="s">
        <v>65</v>
      </c>
      <c r="D13" s="2" t="s">
        <v>19</v>
      </c>
      <c r="E13" s="2" t="s">
        <v>20</v>
      </c>
      <c r="F13" s="2" t="s">
        <v>15</v>
      </c>
      <c r="G13" s="2" t="s">
        <v>66</v>
      </c>
      <c r="H13" s="2" t="s">
        <v>45</v>
      </c>
      <c r="I13" s="2" t="str">
        <f>IFERROR(__xludf.DUMMYFUNCTION("GOOGLETRANSLATE(C13,""fr"",""en"")"),"I am waiting to see the rest: the accessibility of the services, the responses of the services, the shipments of important numbers etc ... The prices are currently satisfactory, we will see later if the services are good. Difficult to say upstream")</f>
        <v>I am waiting to see the rest: the accessibility of the services, the responses of the services, the shipments of important numbers etc ... The prices are currently satisfactory, we will see later if the services are good. Difficult to say upstream</v>
      </c>
    </row>
    <row r="14">
      <c r="A14" s="2">
        <v>1.0</v>
      </c>
      <c r="B14" s="2" t="s">
        <v>67</v>
      </c>
      <c r="C14" s="2" t="s">
        <v>68</v>
      </c>
      <c r="D14" s="2" t="s">
        <v>19</v>
      </c>
      <c r="E14" s="2" t="s">
        <v>20</v>
      </c>
      <c r="F14" s="2" t="s">
        <v>15</v>
      </c>
      <c r="G14" s="2" t="s">
        <v>69</v>
      </c>
      <c r="H14" s="2" t="s">
        <v>70</v>
      </c>
      <c r="I14" s="2" t="str">
        <f>IFERROR(__xludf.DUMMYFUNCTION("GOOGLETRANSLATE(C14,""fr"",""en"")"),"A pending reimbursement since July 2018 despite having almost all the staff of the Direct Assurance Customer Services, Marie, El Madhi, Nathalie, Zouheir, Toraya Nouha, Khalil, Guilloux, still Marie, more than a dozen emails, plus calls , in short I call "&amp;"on my lawyer because since September only my file has been tansmis in the accounting department and still no refund on November 27, 2018.")</f>
        <v>A pending reimbursement since July 2018 despite having almost all the staff of the Direct Assurance Customer Services, Marie, El Madhi, Nathalie, Zouheir, Toraya Nouha, Khalil, Guilloux, still Marie, more than a dozen emails, plus calls , in short I call on my lawyer because since September only my file has been tansmis in the accounting department and still no refund on November 27, 2018.</v>
      </c>
    </row>
    <row r="15">
      <c r="A15" s="2">
        <v>5.0</v>
      </c>
      <c r="B15" s="2" t="s">
        <v>71</v>
      </c>
      <c r="C15" s="2" t="s">
        <v>72</v>
      </c>
      <c r="D15" s="2" t="s">
        <v>35</v>
      </c>
      <c r="E15" s="2" t="s">
        <v>20</v>
      </c>
      <c r="F15" s="2" t="s">
        <v>15</v>
      </c>
      <c r="G15" s="2" t="s">
        <v>73</v>
      </c>
      <c r="H15" s="2" t="s">
        <v>74</v>
      </c>
      <c r="I15" s="2" t="str">
        <f>IFERROR(__xludf.DUMMYFUNCTION("GOOGLETRANSLATE(C15,""fr"",""en"")"),"I am satisfied with the service
Fast, simple and practical. We had a person attentive and who advises us well on our needs.
I recommend this insurance to everyone")</f>
        <v>I am satisfied with the service
Fast, simple and practical. We had a person attentive and who advises us well on our needs.
I recommend this insurance to everyone</v>
      </c>
    </row>
    <row r="16">
      <c r="A16" s="2">
        <v>4.0</v>
      </c>
      <c r="B16" s="2" t="s">
        <v>75</v>
      </c>
      <c r="C16" s="2" t="s">
        <v>76</v>
      </c>
      <c r="D16" s="2" t="s">
        <v>77</v>
      </c>
      <c r="E16" s="2" t="s">
        <v>61</v>
      </c>
      <c r="F16" s="2" t="s">
        <v>15</v>
      </c>
      <c r="G16" s="2" t="s">
        <v>78</v>
      </c>
      <c r="H16" s="2" t="s">
        <v>79</v>
      </c>
      <c r="I16" s="2" t="str">
        <f>IFERROR(__xludf.DUMMYFUNCTION("GOOGLETRANSLATE(C16,""fr"",""en"")"),"Treq Contente Car:
- Waiting not too long (about 3 minutes)
- Very clear answers
- Very kind person
- Very well helped so I felt lost, taking the time to listen to all my requests
Thank you :)
")</f>
        <v>Treq Contente Car:
- Waiting not too long (about 3 minutes)
- Very clear answers
- Very kind person
- Very well helped so I felt lost, taking the time to listen to all my requests
Thank you :)
</v>
      </c>
    </row>
    <row r="17">
      <c r="A17" s="2">
        <v>4.0</v>
      </c>
      <c r="B17" s="2" t="s">
        <v>80</v>
      </c>
      <c r="C17" s="2" t="s">
        <v>81</v>
      </c>
      <c r="D17" s="2" t="s">
        <v>43</v>
      </c>
      <c r="E17" s="2" t="s">
        <v>20</v>
      </c>
      <c r="F17" s="2" t="s">
        <v>15</v>
      </c>
      <c r="G17" s="2" t="s">
        <v>82</v>
      </c>
      <c r="H17" s="2" t="s">
        <v>83</v>
      </c>
      <c r="I17" s="2" t="str">
        <f>IFERROR(__xludf.DUMMYFUNCTION("GOOGLETRANSLATE(C17,""fr"",""en"")"),"I have been insured since November 2012 with them. The prices are a little more expensive than the competition, but the service is there, we do not pay a simple green card !!!
Last June, I was struck at the back by a vehicle that projected me on the vehi"&amp;"cle preceding me. Result: double sinister non -responsible with large damage on my vehicle.
A month later, my vehicle was repaired with a partner garage, so no cost advance!
In addition, a loan vehicle was allocated to me during the 10 days of immobiliz"&amp;"ation of my vehicle.
Impeccable work.
Restored vehicle cleaned.
Frankly nothing to complain about this insurance!")</f>
        <v>I have been insured since November 2012 with them. The prices are a little more expensive than the competition, but the service is there, we do not pay a simple green card !!!
Last June, I was struck at the back by a vehicle that projected me on the vehicle preceding me. Result: double sinister non -responsible with large damage on my vehicle.
A month later, my vehicle was repaired with a partner garage, so no cost advance!
In addition, a loan vehicle was allocated to me during the 10 days of immobilization of my vehicle.
Impeccable work.
Restored vehicle cleaned.
Frankly nothing to complain about this insurance!</v>
      </c>
    </row>
    <row r="18">
      <c r="A18" s="2">
        <v>3.0</v>
      </c>
      <c r="B18" s="2" t="s">
        <v>84</v>
      </c>
      <c r="C18" s="2" t="s">
        <v>85</v>
      </c>
      <c r="D18" s="2" t="s">
        <v>86</v>
      </c>
      <c r="E18" s="2" t="s">
        <v>61</v>
      </c>
      <c r="F18" s="2" t="s">
        <v>15</v>
      </c>
      <c r="G18" s="2" t="s">
        <v>87</v>
      </c>
      <c r="H18" s="2" t="s">
        <v>88</v>
      </c>
      <c r="I18" s="2" t="str">
        <f>IFERROR(__xludf.DUMMYFUNCTION("GOOGLETRANSLATE(C18,""fr"",""en"")"),"Hello I can't connect to the page https://wsneoliane.mututua.fr/ad_Identification.php.https://wsneoliane.mutua.fr/ad_Identification.php.https://wsneoliane.mutua.fr/ad .Php.https: //wsneoliane.mutua.fr/ad_Identification.php")</f>
        <v>Hello I can't connect to the page https://wsneoliane.mututua.fr/ad_Identification.php.https://wsneoliane.mutua.fr/ad_Identification.php.https://wsneoliane.mutua.fr/ad .Php.https: //wsneoliane.mutua.fr/ad_Identification.php</v>
      </c>
    </row>
    <row r="19">
      <c r="A19" s="2">
        <v>4.0</v>
      </c>
      <c r="B19" s="2" t="s">
        <v>89</v>
      </c>
      <c r="C19" s="2" t="s">
        <v>90</v>
      </c>
      <c r="D19" s="2" t="s">
        <v>35</v>
      </c>
      <c r="E19" s="2" t="s">
        <v>20</v>
      </c>
      <c r="F19" s="2" t="s">
        <v>15</v>
      </c>
      <c r="G19" s="2" t="s">
        <v>91</v>
      </c>
      <c r="H19" s="2" t="s">
        <v>92</v>
      </c>
      <c r="I19" s="2" t="str">
        <f>IFERROR(__xludf.DUMMYFUNCTION("GOOGLETRANSLATE(C19,""fr"",""en"")"),"Hello, I came to you by chance and you informed me so well that I decided to stay with you. Thank you for your welcome, you met my expectations.")</f>
        <v>Hello, I came to you by chance and you informed me so well that I decided to stay with you. Thank you for your welcome, you met my expectations.</v>
      </c>
    </row>
    <row r="20">
      <c r="A20" s="2">
        <v>1.0</v>
      </c>
      <c r="B20" s="2" t="s">
        <v>93</v>
      </c>
      <c r="C20" s="2" t="s">
        <v>94</v>
      </c>
      <c r="D20" s="2" t="s">
        <v>95</v>
      </c>
      <c r="E20" s="2" t="s">
        <v>14</v>
      </c>
      <c r="F20" s="2" t="s">
        <v>15</v>
      </c>
      <c r="G20" s="2" t="s">
        <v>96</v>
      </c>
      <c r="H20" s="2" t="s">
        <v>97</v>
      </c>
      <c r="I20" s="2" t="str">
        <f>IFERROR(__xludf.DUMMYFUNCTION("GOOGLETRANSLATE(C20,""fr"",""en"")"),"Motorcycle accident not responsible in early April.
Motorcycle sent to the expert, repairable economically and technically.
Then weeks to recover it, the maaf had made it go in scratch, thrown into a bucket, even though I had asked for its restitution"&amp;" as it is to have it repaired and signed the papers in this sense.
Motorcycle delivered to me smashed by the bucket, broken brake system, numerous additional damage compared to the expertise of the accident.
A new expert passes, is a supporter with "&amp;"the MAAF even in his report which he takes more than a month to give.
But all the same recognizes new damage but unloads the Maaf speaking of its subcontractor (which is the same thing in the end).
Since then, no responses from the MAAF if not a scand"&amp;"alous proposal at 1600 euros in reimbursement for a motorcycle not usable.
Despite my many requests, the body component is not processed.
If you want insurance that everything must be settled before a jurisdiction, go to the maaf")</f>
        <v>Motorcycle accident not responsible in early April.
Motorcycle sent to the expert, repairable economically and technically.
Then weeks to recover it, the maaf had made it go in scratch, thrown into a bucket, even though I had asked for its restitution as it is to have it repaired and signed the papers in this sense.
Motorcycle delivered to me smashed by the bucket, broken brake system, numerous additional damage compared to the expertise of the accident.
A new expert passes, is a supporter with the MAAF even in his report which he takes more than a month to give.
But all the same recognizes new damage but unloads the Maaf speaking of its subcontractor (which is the same thing in the end).
Since then, no responses from the MAAF if not a scandalous proposal at 1600 euros in reimbursement for a motorcycle not usable.
Despite my many requests, the body component is not processed.
If you want insurance that everything must be settled before a jurisdiction, go to the maaf</v>
      </c>
    </row>
    <row r="21" ht="15.75" customHeight="1">
      <c r="A21" s="2">
        <v>1.0</v>
      </c>
      <c r="B21" s="2" t="s">
        <v>98</v>
      </c>
      <c r="C21" s="2" t="s">
        <v>99</v>
      </c>
      <c r="D21" s="2" t="s">
        <v>100</v>
      </c>
      <c r="E21" s="2" t="s">
        <v>20</v>
      </c>
      <c r="F21" s="2" t="s">
        <v>15</v>
      </c>
      <c r="G21" s="2" t="s">
        <v>101</v>
      </c>
      <c r="H21" s="2" t="s">
        <v>92</v>
      </c>
      <c r="I21" s="2" t="str">
        <f>IFERROR(__xludf.DUMMYFUNCTION("GOOGLETRANSLATE(C21,""fr"",""en"")"),"Non -faulty accident (a vehicle comes back to me in reverse).
Observation filled by the fault I tell myself that there will be no problem but noooon I decided to take this insurance of M €;): for the price and Ba I would not have! 5 weeks that the car is"&amp;" at the garage !!!!!!!!!!!! Although I am not at fault you have to wait !!!!! Being responsive it is not at all but to take from your account 2/3 days before the scheduled date it does very well! Do you want advice that will save you time? Do not look at "&amp;"the price before taking out insurance but watching customer service above all. Because I knew a lot of insurance and I can tell you that this one is the worst !!!!!!!")</f>
        <v>Non -faulty accident (a vehicle comes back to me in reverse).
Observation filled by the fault I tell myself that there will be no problem but noooon I decided to take this insurance of M €;): for the price and Ba I would not have! 5 weeks that the car is at the garage !!!!!!!!!!!! Although I am not at fault you have to wait !!!!! Being responsive it is not at all but to take from your account 2/3 days before the scheduled date it does very well! Do you want advice that will save you time? Do not look at the price before taking out insurance but watching customer service above all. Because I knew a lot of insurance and I can tell you that this one is the worst !!!!!!!</v>
      </c>
    </row>
    <row r="22" ht="15.75" customHeight="1">
      <c r="A22" s="2">
        <v>4.0</v>
      </c>
      <c r="B22" s="2" t="s">
        <v>102</v>
      </c>
      <c r="C22" s="2" t="s">
        <v>103</v>
      </c>
      <c r="D22" s="2" t="s">
        <v>43</v>
      </c>
      <c r="E22" s="2" t="s">
        <v>20</v>
      </c>
      <c r="F22" s="2" t="s">
        <v>15</v>
      </c>
      <c r="G22" s="2" t="s">
        <v>104</v>
      </c>
      <c r="H22" s="2" t="s">
        <v>74</v>
      </c>
      <c r="I22" s="2" t="str">
        <f>IFERROR(__xludf.DUMMYFUNCTION("GOOGLETRANSLATE(C22,""fr"",""en"")"),"Excellent services, very good listening, great responsiveness, I have been affiliated with GMF for over 20 years and I am delighted with this company.")</f>
        <v>Excellent services, very good listening, great responsiveness, I have been affiliated with GMF for over 20 years and I am delighted with this company.</v>
      </c>
    </row>
    <row r="23" ht="15.75" customHeight="1">
      <c r="A23" s="2">
        <v>4.0</v>
      </c>
      <c r="B23" s="2" t="s">
        <v>105</v>
      </c>
      <c r="C23" s="2" t="s">
        <v>106</v>
      </c>
      <c r="D23" s="2" t="s">
        <v>48</v>
      </c>
      <c r="E23" s="2" t="s">
        <v>14</v>
      </c>
      <c r="F23" s="2" t="s">
        <v>15</v>
      </c>
      <c r="G23" s="2" t="s">
        <v>107</v>
      </c>
      <c r="H23" s="2" t="s">
        <v>108</v>
      </c>
      <c r="I23" s="2" t="str">
        <f>IFERROR(__xludf.DUMMYFUNCTION("GOOGLETRANSLATE(C23,""fr"",""en"")"),"Ensures online quickly Back Info Insurer Advisor to Listening and sending simplified documents and ensures without moving when you make your request online.")</f>
        <v>Ensures online quickly Back Info Insurer Advisor to Listening and sending simplified documents and ensures without moving when you make your request online.</v>
      </c>
    </row>
    <row r="24" ht="15.75" customHeight="1">
      <c r="A24" s="2">
        <v>1.0</v>
      </c>
      <c r="B24" s="2" t="s">
        <v>109</v>
      </c>
      <c r="C24" s="2" t="s">
        <v>110</v>
      </c>
      <c r="D24" s="2" t="s">
        <v>111</v>
      </c>
      <c r="E24" s="2" t="s">
        <v>61</v>
      </c>
      <c r="F24" s="2" t="s">
        <v>15</v>
      </c>
      <c r="G24" s="2" t="s">
        <v>112</v>
      </c>
      <c r="H24" s="2" t="s">
        <v>26</v>
      </c>
      <c r="I24" s="2" t="str">
        <f>IFERROR(__xludf.DUMMYFUNCTION("GOOGLETRANSLATE(C24,""fr"",""en"")"),"6 months .... 6 months that I am waiting in vain that AG2R modifies a computer error ... a shell in my birth day ... emails, calls .... in vain .... and only one answer ""We have to wait a response from the computer service"" ....
 ... 6 months of wait"&amp;"ing, reminders and exhaustion to access my retirement savings account: a shame ....
So yes run ... run away
For my part forced to wait despite me ....")</f>
        <v>6 months .... 6 months that I am waiting in vain that AG2R modifies a computer error ... a shell in my birth day ... emails, calls .... in vain .... and only one answer "We have to wait a response from the computer service" ....
 ... 6 months of waiting, reminders and exhaustion to access my retirement savings account: a shame ....
So yes run ... run away
For my part forced to wait despite me ....</v>
      </c>
    </row>
    <row r="25" ht="15.75" customHeight="1">
      <c r="A25" s="2">
        <v>1.0</v>
      </c>
      <c r="B25" s="2" t="s">
        <v>113</v>
      </c>
      <c r="C25" s="2" t="s">
        <v>114</v>
      </c>
      <c r="D25" s="2" t="s">
        <v>24</v>
      </c>
      <c r="E25" s="2" t="s">
        <v>14</v>
      </c>
      <c r="F25" s="2" t="s">
        <v>15</v>
      </c>
      <c r="G25" s="2" t="s">
        <v>115</v>
      </c>
      <c r="H25" s="2" t="s">
        <v>116</v>
      </c>
      <c r="I25" s="2" t="str">
        <f>IFERROR(__xludf.DUMMYFUNCTION("GOOGLETRANSLATE(C25,""fr"",""en"")"),"Hello..
I am a biker and nursing during the first confinement club 14 promised an airbag vest with the nursing bikers. I have never received this vest despite my registration !!
Their answer: there is no longer. Thank you Club 14.")</f>
        <v>Hello..
I am a biker and nursing during the first confinement club 14 promised an airbag vest with the nursing bikers. I have never received this vest despite my registration !!
Their answer: there is no longer. Thank you Club 14.</v>
      </c>
    </row>
    <row r="26" ht="15.75" customHeight="1">
      <c r="A26" s="2">
        <v>1.0</v>
      </c>
      <c r="B26" s="2" t="s">
        <v>117</v>
      </c>
      <c r="C26" s="2" t="s">
        <v>118</v>
      </c>
      <c r="D26" s="2" t="s">
        <v>19</v>
      </c>
      <c r="E26" s="2" t="s">
        <v>20</v>
      </c>
      <c r="F26" s="2" t="s">
        <v>15</v>
      </c>
      <c r="G26" s="2" t="s">
        <v>119</v>
      </c>
      <c r="H26" s="2" t="s">
        <v>16</v>
      </c>
      <c r="I26" s="2" t="str">
        <f>IFERROR(__xludf.DUMMYFUNCTION("GOOGLETRANSLATE(C26,""fr"",""en"")"),"Attention information to the owner of new vehicles: do not take direct insurance because in the event of breakdown of your vehicle, it will be the manufacturer who will take care of troubleshooting because the assistance service M to said I quote ""We hav"&amp;"e instructions on new cars, No support for our services to avoid disputes with the manufacturer ""OK ​​... Thank you direct insurance.")</f>
        <v>Attention information to the owner of new vehicles: do not take direct insurance because in the event of breakdown of your vehicle, it will be the manufacturer who will take care of troubleshooting because the assistance service M to said I quote "We have instructions on new cars, No support for our services to avoid disputes with the manufacturer "OK ​​... Thank you direct insurance.</v>
      </c>
    </row>
    <row r="27" ht="15.75" customHeight="1">
      <c r="A27" s="2">
        <v>3.0</v>
      </c>
      <c r="B27" s="2" t="s">
        <v>120</v>
      </c>
      <c r="C27" s="2" t="s">
        <v>121</v>
      </c>
      <c r="D27" s="2" t="s">
        <v>43</v>
      </c>
      <c r="E27" s="2" t="s">
        <v>122</v>
      </c>
      <c r="F27" s="2" t="s">
        <v>15</v>
      </c>
      <c r="G27" s="2" t="s">
        <v>123</v>
      </c>
      <c r="H27" s="2" t="s">
        <v>116</v>
      </c>
      <c r="I27" s="2" t="str">
        <f>IFERROR(__xludf.DUMMYFUNCTION("GOOGLETRANSLATE(C27,""fr"",""en"")"),"I have been insured for over 15 years at home. On August 18, 2020 I had an electric loss from lightning! Since then I am without heating .... Except that today it is between 12 and 15 in my house .... and nothing advances .... nobody reminds you ...; desp"&amp;"ite my successive emails, My stimulus on the site my calls ...... 4 hours to have someone on the phone !!!! It's purely shameful to talk about mutualism !!!! We had to talk about non -assistance to anyone in danger!")</f>
        <v>I have been insured for over 15 years at home. On August 18, 2020 I had an electric loss from lightning! Since then I am without heating .... Except that today it is between 12 and 15 in my house .... and nothing advances .... nobody reminds you ...; despite my successive emails, My stimulus on the site my calls ...... 4 hours to have someone on the phone !!!! It's purely shameful to talk about mutualism !!!! We had to talk about non -assistance to anyone in danger!</v>
      </c>
    </row>
    <row r="28" ht="15.75" customHeight="1">
      <c r="A28" s="2">
        <v>5.0</v>
      </c>
      <c r="B28" s="2" t="s">
        <v>124</v>
      </c>
      <c r="C28" s="2" t="s">
        <v>125</v>
      </c>
      <c r="D28" s="2" t="s">
        <v>35</v>
      </c>
      <c r="E28" s="2" t="s">
        <v>20</v>
      </c>
      <c r="F28" s="2" t="s">
        <v>15</v>
      </c>
      <c r="G28" s="2" t="s">
        <v>126</v>
      </c>
      <c r="H28" s="2" t="s">
        <v>127</v>
      </c>
      <c r="I28" s="2" t="str">
        <f>IFERROR(__xludf.DUMMYFUNCTION("GOOGLETRANSLATE(C28,""fr"",""en"")"),"Customer for more than 2 years, I am delighted with the price offered each year.
At the time, I received my green card very quickly after sending the requested documents.
I have always been well informed by pleasant and competent people.
The proposed g"&amp;"uarantees meet my needs
I highly recommend the olive tree!")</f>
        <v>Customer for more than 2 years, I am delighted with the price offered each year.
At the time, I received my green card very quickly after sending the requested documents.
I have always been well informed by pleasant and competent people.
The proposed guarantees meet my needs
I highly recommend the olive tree!</v>
      </c>
    </row>
    <row r="29" ht="15.75" customHeight="1">
      <c r="A29" s="2">
        <v>4.0</v>
      </c>
      <c r="B29" s="2" t="s">
        <v>128</v>
      </c>
      <c r="C29" s="2" t="s">
        <v>129</v>
      </c>
      <c r="D29" s="2" t="s">
        <v>35</v>
      </c>
      <c r="E29" s="2" t="s">
        <v>20</v>
      </c>
      <c r="F29" s="2" t="s">
        <v>15</v>
      </c>
      <c r="G29" s="2" t="s">
        <v>130</v>
      </c>
      <c r="H29" s="2" t="s">
        <v>131</v>
      </c>
      <c r="I29" s="2" t="str">
        <f>IFERROR(__xludf.DUMMYFUNCTION("GOOGLETRANSLATE(C29,""fr"",""en"")"),"Very satisfied price, advice and services
In addition I was able to contact the person who took care of the first time it is therefore a plus.")</f>
        <v>Very satisfied price, advice and services
In addition I was able to contact the person who took care of the first time it is therefore a plus.</v>
      </c>
    </row>
    <row r="30" ht="15.75" customHeight="1">
      <c r="A30" s="2">
        <v>1.0</v>
      </c>
      <c r="B30" s="2" t="s">
        <v>132</v>
      </c>
      <c r="C30" s="2" t="s">
        <v>133</v>
      </c>
      <c r="D30" s="2" t="s">
        <v>134</v>
      </c>
      <c r="E30" s="2" t="s">
        <v>135</v>
      </c>
      <c r="F30" s="2" t="s">
        <v>15</v>
      </c>
      <c r="G30" s="2" t="s">
        <v>136</v>
      </c>
      <c r="H30" s="2" t="s">
        <v>16</v>
      </c>
      <c r="I30" s="2" t="str">
        <f>IFERROR(__xludf.DUMMYFUNCTION("GOOGLETRANSLATE(C30,""fr"",""en"")"),"No customer follow -up worthy of the name ...
After several weeks of email and telephone exchange, the sending of documents, some 3 times always no payment of the sums due for the life insurance of my mom.
This insurer voluntarily plays the watch .."&amp;".")</f>
        <v>No customer follow -up worthy of the name ...
After several weeks of email and telephone exchange, the sending of documents, some 3 times always no payment of the sums due for the life insurance of my mom.
This insurer voluntarily plays the watch ...</v>
      </c>
    </row>
    <row r="31" ht="15.75" customHeight="1">
      <c r="A31" s="2">
        <v>4.0</v>
      </c>
      <c r="B31" s="2" t="s">
        <v>137</v>
      </c>
      <c r="C31" s="2" t="s">
        <v>138</v>
      </c>
      <c r="D31" s="2" t="s">
        <v>35</v>
      </c>
      <c r="E31" s="2" t="s">
        <v>20</v>
      </c>
      <c r="F31" s="2" t="s">
        <v>15</v>
      </c>
      <c r="G31" s="2" t="s">
        <v>91</v>
      </c>
      <c r="H31" s="2" t="s">
        <v>92</v>
      </c>
      <c r="I31" s="2" t="str">
        <f>IFERROR(__xludf.DUMMYFUNCTION("GOOGLETRANSLATE(C31,""fr"",""en"")"),"Simple and practical, prices are correct compared to others.
The person on the phone was very effective.
I hope I have no unpleasant surprises afterwards.")</f>
        <v>Simple and practical, prices are correct compared to others.
The person on the phone was very effective.
I hope I have no unpleasant surprises afterwards.</v>
      </c>
    </row>
    <row r="32" ht="15.75" customHeight="1">
      <c r="A32" s="2">
        <v>1.0</v>
      </c>
      <c r="B32" s="2" t="s">
        <v>139</v>
      </c>
      <c r="C32" s="2" t="s">
        <v>140</v>
      </c>
      <c r="D32" s="2" t="s">
        <v>95</v>
      </c>
      <c r="E32" s="2" t="s">
        <v>20</v>
      </c>
      <c r="F32" s="2" t="s">
        <v>15</v>
      </c>
      <c r="G32" s="2" t="s">
        <v>141</v>
      </c>
      <c r="H32" s="2" t="s">
        <v>127</v>
      </c>
      <c r="I32" s="2" t="str">
        <f>IFERROR(__xludf.DUMMYFUNCTION("GOOGLETRANSLATE(C32,""fr"",""en"")"),"Avoid at all costs despite the attractive prices if you do not want to regret and pay much more the years that follow!
My spouse was terminated following three non -responsible claims (two ice breaks and equipment). And yes, because the MAAF apparently t"&amp;"olerates only a disaster on average per person over 3 years! Obviously, we pay to protect ourselves in risk that of course we must avoid having (we play to recover the stones on our windshield when we drive it's funny) ...
After this termination comes th"&amp;"e disappointment, no other insurer wants to take care of you, not due to the rate of loss since they are non -responsible, but because you have been resilled!
Obligation to ensure via reinsurers with incredible prices (70 euro per month for a shabby thir"&amp;"d with a huge deductible for the second driver (2000 euros for a young driver and 500 for a confirmed). Results, I can no longer use the vehicle of my spouse (as long as I do not break down!) And of course this price will be applied to us for 3 years, whi"&amp;"le the termination is obsolete!
That you have internal policies on shabby quotas, it is extremely disappointing but we would have with pleasure in our way and would have taken out contracts with more interesting partners!
Instead, you choose to penalize"&amp;" your former remunerative insured people by making them a nice poisoned gift for the next 3 years!
Result, it is better to pay 10 euros more per month elsewhere than to be increased by 30 Euro monthly over three years!
Go your way and trust another orga"&amp;"nization!")</f>
        <v>Avoid at all costs despite the attractive prices if you do not want to regret and pay much more the years that follow!
My spouse was terminated following three non -responsible claims (two ice breaks and equipment). And yes, because the MAAF apparently tolerates only a disaster on average per person over 3 years! Obviously, we pay to protect ourselves in risk that of course we must avoid having (we play to recover the stones on our windshield when we drive it's funny) ...
After this termination comes the disappointment, no other insurer wants to take care of you, not due to the rate of loss since they are non -responsible, but because you have been resilled!
Obligation to ensure via reinsurers with incredible prices (70 euro per month for a shabby third with a huge deductible for the second driver (2000 euros for a young driver and 500 for a confirmed). Results, I can no longer use the vehicle of my spouse (as long as I do not break down!) And of course this price will be applied to us for 3 years, while the termination is obsolete!
That you have internal policies on shabby quotas, it is extremely disappointing but we would have with pleasure in our way and would have taken out contracts with more interesting partners!
Instead, you choose to penalize your former remunerative insured people by making them a nice poisoned gift for the next 3 years!
Result, it is better to pay 10 euros more per month elsewhere than to be increased by 30 Euro monthly over three years!
Go your way and trust another organization!</v>
      </c>
    </row>
    <row r="33" ht="15.75" customHeight="1">
      <c r="A33" s="2">
        <v>4.0</v>
      </c>
      <c r="B33" s="2" t="s">
        <v>142</v>
      </c>
      <c r="C33" s="2" t="s">
        <v>143</v>
      </c>
      <c r="D33" s="2" t="s">
        <v>35</v>
      </c>
      <c r="E33" s="2" t="s">
        <v>20</v>
      </c>
      <c r="F33" s="2" t="s">
        <v>15</v>
      </c>
      <c r="G33" s="2" t="s">
        <v>144</v>
      </c>
      <c r="H33" s="2" t="s">
        <v>92</v>
      </c>
      <c r="I33" s="2" t="str">
        <f>IFERROR(__xludf.DUMMYFUNCTION("GOOGLETRANSLATE(C33,""fr"",""en"")"),"Clear, precise, good telephone reception, I found cheaper, however, the interface of the customer area is clear people I had on the phone speak correctly and we understand everything")</f>
        <v>Clear, precise, good telephone reception, I found cheaper, however, the interface of the customer area is clear people I had on the phone speak correctly and we understand everything</v>
      </c>
    </row>
    <row r="34" ht="15.75" customHeight="1">
      <c r="A34" s="2">
        <v>2.0</v>
      </c>
      <c r="B34" s="2" t="s">
        <v>145</v>
      </c>
      <c r="C34" s="2" t="s">
        <v>146</v>
      </c>
      <c r="D34" s="2" t="s">
        <v>35</v>
      </c>
      <c r="E34" s="2" t="s">
        <v>20</v>
      </c>
      <c r="F34" s="2" t="s">
        <v>15</v>
      </c>
      <c r="G34" s="2" t="s">
        <v>147</v>
      </c>
      <c r="H34" s="2" t="s">
        <v>74</v>
      </c>
      <c r="I34" s="2" t="str">
        <f>IFERROR(__xludf.DUMMYFUNCTION("GOOGLETRANSLATE(C34,""fr"",""en"")"),"Having reported a break in ice in March, sent the invoice and the documents requested in early April, I am still not reimbursed (we are June 9 !!!).
After countless calls, Friday, June 4, I am infirmed by phone that my file is complete and that I would b"&amp;"e reimbursed in early next week.
This Tuesday, June 8: but from the olive tree where I am claimed the ""delivery note of the replaced part"". Three months after my declaration.
This is my last contract and that of my children with the olive tree (scalde"&amp;"d cat ...)
Cdlt
")</f>
        <v>Having reported a break in ice in March, sent the invoice and the documents requested in early April, I am still not reimbursed (we are June 9 !!!).
After countless calls, Friday, June 4, I am infirmed by phone that my file is complete and that I would be reimbursed in early next week.
This Tuesday, June 8: but from the olive tree where I am claimed the "delivery note of the replaced part". Three months after my declaration.
This is my last contract and that of my children with the olive tree (scalded cat ...)
Cdlt
</v>
      </c>
    </row>
    <row r="35" ht="15.75" customHeight="1">
      <c r="A35" s="2">
        <v>1.0</v>
      </c>
      <c r="B35" s="2" t="s">
        <v>148</v>
      </c>
      <c r="C35" s="2" t="s">
        <v>149</v>
      </c>
      <c r="D35" s="2" t="s">
        <v>19</v>
      </c>
      <c r="E35" s="2" t="s">
        <v>20</v>
      </c>
      <c r="F35" s="2" t="s">
        <v>15</v>
      </c>
      <c r="G35" s="2" t="s">
        <v>150</v>
      </c>
      <c r="H35" s="2" t="s">
        <v>45</v>
      </c>
      <c r="I35" s="2" t="str">
        <f>IFERROR(__xludf.DUMMYFUNCTION("GOOGLETRANSLATE(C35,""fr"",""en"")"),"Direct Insurance has increased as this without any particular reason for my insurance by 15% unilaterally. So I am a good driver 50% bonuses no victims for several years. They should have made me a discount considering COVVID and all restrictions fire cov"&amp;"er
")</f>
        <v>Direct Insurance has increased as this without any particular reason for my insurance by 15% unilaterally. So I am a good driver 50% bonuses no victims for several years. They should have made me a discount considering COVVID and all restrictions fire cover
</v>
      </c>
    </row>
    <row r="36" ht="15.75" customHeight="1">
      <c r="A36" s="2">
        <v>1.0</v>
      </c>
      <c r="B36" s="2" t="s">
        <v>151</v>
      </c>
      <c r="C36" s="2" t="s">
        <v>152</v>
      </c>
      <c r="D36" s="2" t="s">
        <v>95</v>
      </c>
      <c r="E36" s="2" t="s">
        <v>20</v>
      </c>
      <c r="F36" s="2" t="s">
        <v>15</v>
      </c>
      <c r="G36" s="2" t="s">
        <v>153</v>
      </c>
      <c r="H36" s="2" t="s">
        <v>154</v>
      </c>
      <c r="I36" s="2" t="str">
        <f>IFERROR(__xludf.DUMMYFUNCTION("GOOGLETRANSLATE(C36,""fr"",""en"")"),"20 years at the MAAF. 5 contracts. 2 windshield repairs in 2017 and 2019. 1 Light accident responsible. Despite a quarantine with Zero accident for 20 years. The MAAF refuses to ensure the new car. We think we are dreaming !!!!!!!!! Put exorbitant franchi"&amp;"ses, turn loyal members like .... it's ignoble! I intend to turn all my contracts elsewhere! 20 years of smoke loyalty with a phone call to tell us when we were going to sign the Call Center quote !!!!! Below all the maaf!")</f>
        <v>20 years at the MAAF. 5 contracts. 2 windshield repairs in 2017 and 2019. 1 Light accident responsible. Despite a quarantine with Zero accident for 20 years. The MAAF refuses to ensure the new car. We think we are dreaming !!!!!!!!! Put exorbitant franchises, turn loyal members like .... it's ignoble! I intend to turn all my contracts elsewhere! 20 years of smoke loyalty with a phone call to tell us when we were going to sign the Call Center quote !!!!! Below all the maaf!</v>
      </c>
    </row>
    <row r="37" ht="15.75" customHeight="1">
      <c r="A37" s="2">
        <v>5.0</v>
      </c>
      <c r="B37" s="2" t="s">
        <v>155</v>
      </c>
      <c r="C37" s="2" t="s">
        <v>156</v>
      </c>
      <c r="D37" s="2" t="s">
        <v>19</v>
      </c>
      <c r="E37" s="2" t="s">
        <v>20</v>
      </c>
      <c r="F37" s="2" t="s">
        <v>15</v>
      </c>
      <c r="G37" s="2" t="s">
        <v>157</v>
      </c>
      <c r="H37" s="2" t="s">
        <v>108</v>
      </c>
      <c r="I37" s="2" t="str">
        <f>IFERROR(__xludf.DUMMYFUNCTION("GOOGLETRANSLATE(C37,""fr"",""en"")"),"I am delighted with this offer, I buy direct. I recommend .. strongly at the end of October .. thank you direct insurance. I was there a year ago and I regret being gone")</f>
        <v>I am delighted with this offer, I buy direct. I recommend .. strongly at the end of October .. thank you direct insurance. I was there a year ago and I regret being gone</v>
      </c>
    </row>
    <row r="38" ht="15.75" customHeight="1">
      <c r="A38" s="2">
        <v>2.0</v>
      </c>
      <c r="B38" s="2" t="s">
        <v>158</v>
      </c>
      <c r="C38" s="2" t="s">
        <v>159</v>
      </c>
      <c r="D38" s="2" t="s">
        <v>19</v>
      </c>
      <c r="E38" s="2" t="s">
        <v>20</v>
      </c>
      <c r="F38" s="2" t="s">
        <v>15</v>
      </c>
      <c r="G38" s="2" t="s">
        <v>160</v>
      </c>
      <c r="H38" s="2" t="s">
        <v>53</v>
      </c>
      <c r="I38" s="2" t="str">
        <f>IFERROR(__xludf.DUMMYFUNCTION("GOOGLETRANSLATE(C38,""fr"",""en"")"),"1st: Nissan vehicle: J.AI transferred Nissan's insurance to a jeep that I had just bought and then wanted to reassure the Nissan I was answered ""impossible"" insured at Direct Insurance for years. I had to redo an all risks (like the old) accepted then 6"&amp;" months later modify without my agreement. I had a radiator problem during the heat wave and a dispute with the mechanic and they sent me to ""What to choose? »We can't do anything for you ....
I put the file in the hands of a lawyer who declared me th"&amp;"at I had no response from you (on several occasions). My car is still not repaired ... 1 year ...
 2nd: Housing: for 6 months you debited two insurance contracts to me before I realize it
That makes a lot. My lawyer always trying to reach you J .. I am "&amp;"waiting to change supplier.")</f>
        <v>1st: Nissan vehicle: J.AI transferred Nissan's insurance to a jeep that I had just bought and then wanted to reassure the Nissan I was answered "impossible" insured at Direct Insurance for years. I had to redo an all risks (like the old) accepted then 6 months later modify without my agreement. I had a radiator problem during the heat wave and a dispute with the mechanic and they sent me to "What to choose? »We can't do anything for you ....
I put the file in the hands of a lawyer who declared me that I had no response from you (on several occasions). My car is still not repaired ... 1 year ...
 2nd: Housing: for 6 months you debited two insurance contracts to me before I realize it
That makes a lot. My lawyer always trying to reach you J .. I am waiting to change supplier.</v>
      </c>
    </row>
    <row r="39" ht="15.75" customHeight="1">
      <c r="A39" s="2">
        <v>4.0</v>
      </c>
      <c r="B39" s="2" t="s">
        <v>161</v>
      </c>
      <c r="C39" s="2" t="s">
        <v>162</v>
      </c>
      <c r="D39" s="2" t="s">
        <v>19</v>
      </c>
      <c r="E39" s="2" t="s">
        <v>20</v>
      </c>
      <c r="F39" s="2" t="s">
        <v>15</v>
      </c>
      <c r="G39" s="2" t="s">
        <v>163</v>
      </c>
      <c r="H39" s="2" t="s">
        <v>164</v>
      </c>
      <c r="I39" s="2" t="str">
        <f>IFERROR(__xludf.DUMMYFUNCTION("GOOGLETRANSLATE(C39,""fr"",""en"")"),"I am satisfied with the service today, I just made sure so I can't say more, the future will tell us. If the commitments are respected of course that I would be the most satisfied")</f>
        <v>I am satisfied with the service today, I just made sure so I can't say more, the future will tell us. If the commitments are respected of course that I would be the most satisfied</v>
      </c>
    </row>
    <row r="40" ht="15.75" customHeight="1">
      <c r="A40" s="2">
        <v>2.0</v>
      </c>
      <c r="B40" s="2" t="s">
        <v>165</v>
      </c>
      <c r="C40" s="2" t="s">
        <v>166</v>
      </c>
      <c r="D40" s="2" t="s">
        <v>95</v>
      </c>
      <c r="E40" s="2" t="s">
        <v>122</v>
      </c>
      <c r="F40" s="2" t="s">
        <v>15</v>
      </c>
      <c r="G40" s="2" t="s">
        <v>167</v>
      </c>
      <c r="H40" s="2" t="s">
        <v>168</v>
      </c>
      <c r="I40" s="2" t="str">
        <f>IFERROR(__xludf.DUMMYFUNCTION("GOOGLETRANSLATE(C40,""fr"",""en"")"),"Earthquake in Montélimar, in the Drome, four months after still no refund for a claim less than 3000 euros. So I will change insurer quickly")</f>
        <v>Earthquake in Montélimar, in the Drome, four months after still no refund for a claim less than 3000 euros. So I will change insurer quickly</v>
      </c>
    </row>
    <row r="41" ht="15.75" customHeight="1">
      <c r="A41" s="2">
        <v>5.0</v>
      </c>
      <c r="B41" s="2" t="s">
        <v>169</v>
      </c>
      <c r="C41" s="2" t="s">
        <v>170</v>
      </c>
      <c r="D41" s="2" t="s">
        <v>171</v>
      </c>
      <c r="E41" s="2" t="s">
        <v>14</v>
      </c>
      <c r="F41" s="2" t="s">
        <v>15</v>
      </c>
      <c r="G41" s="2" t="s">
        <v>172</v>
      </c>
      <c r="H41" s="2" t="s">
        <v>164</v>
      </c>
      <c r="I41" s="2" t="str">
        <f>IFERROR(__xludf.DUMMYFUNCTION("GOOGLETRANSLATE(C41,""fr"",""en"")"),"Flawless...
This insurance meets my expectations.
She practices attractive prices.
I make 70% saving for the same use.
Hoping never to have to use it.")</f>
        <v>Flawless...
This insurance meets my expectations.
She practices attractive prices.
I make 70% saving for the same use.
Hoping never to have to use it.</v>
      </c>
    </row>
    <row r="42" ht="15.75" customHeight="1">
      <c r="A42" s="2">
        <v>3.0</v>
      </c>
      <c r="B42" s="2" t="s">
        <v>173</v>
      </c>
      <c r="C42" s="2" t="s">
        <v>174</v>
      </c>
      <c r="D42" s="2" t="s">
        <v>19</v>
      </c>
      <c r="E42" s="2" t="s">
        <v>20</v>
      </c>
      <c r="F42" s="2" t="s">
        <v>15</v>
      </c>
      <c r="G42" s="2" t="s">
        <v>175</v>
      </c>
      <c r="H42" s="2" t="s">
        <v>164</v>
      </c>
      <c r="I42" s="2" t="str">
        <f>IFERROR(__xludf.DUMMYFUNCTION("GOOGLETRANSLATE(C42,""fr"",""en"")"),"I am satisfied with the service offered, the prices suit me perfectly compared to my former insurer. I would recommend direct insurance to my friends who will be in need.")</f>
        <v>I am satisfied with the service offered, the prices suit me perfectly compared to my former insurer. I would recommend direct insurance to my friends who will be in need.</v>
      </c>
    </row>
    <row r="43" ht="15.75" customHeight="1">
      <c r="A43" s="2">
        <v>3.0</v>
      </c>
      <c r="B43" s="2" t="s">
        <v>176</v>
      </c>
      <c r="C43" s="2" t="s">
        <v>177</v>
      </c>
      <c r="D43" s="2" t="s">
        <v>13</v>
      </c>
      <c r="E43" s="2" t="s">
        <v>14</v>
      </c>
      <c r="F43" s="2" t="s">
        <v>15</v>
      </c>
      <c r="G43" s="2" t="s">
        <v>178</v>
      </c>
      <c r="H43" s="2" t="s">
        <v>179</v>
      </c>
      <c r="I43" s="2" t="str">
        <f>IFERROR(__xludf.DUMMYFUNCTION("GOOGLETRANSLATE(C43,""fr"",""en"")"),"I have been assured for many years at the Mutuelle des Motards.
Right now for 4 motorcycles.
I have to buy a fifth this week and nobody answers me, neither reminds me, neither on the phone nor by email.
I will have to take out a contract with another i"&amp;"nsurance.
Because other insurance people answer them!
It is lamentable, I am so disappointed by this mutual in which I believed.")</f>
        <v>I have been assured for many years at the Mutuelle des Motards.
Right now for 4 motorcycles.
I have to buy a fifth this week and nobody answers me, neither reminds me, neither on the phone nor by email.
I will have to take out a contract with another insurance.
Because other insurance people answer them!
It is lamentable, I am so disappointed by this mutual in which I believed.</v>
      </c>
    </row>
    <row r="44" ht="15.75" customHeight="1">
      <c r="A44" s="2">
        <v>3.0</v>
      </c>
      <c r="B44" s="2" t="s">
        <v>180</v>
      </c>
      <c r="C44" s="2" t="s">
        <v>181</v>
      </c>
      <c r="D44" s="2" t="s">
        <v>19</v>
      </c>
      <c r="E44" s="2" t="s">
        <v>20</v>
      </c>
      <c r="F44" s="2" t="s">
        <v>15</v>
      </c>
      <c r="G44" s="2" t="s">
        <v>182</v>
      </c>
      <c r="H44" s="2" t="s">
        <v>45</v>
      </c>
      <c r="I44" s="2" t="str">
        <f>IFERROR(__xludf.DUMMYFUNCTION("GOOGLETRANSLATE(C44,""fr"",""en"")"),"I am satisfied with the services.
I have a water damage to declare.
I will be able to judge the quality of the follow -up of this file. This will be decisive for my final opinion.
Best regards .")</f>
        <v>I am satisfied with the services.
I have a water damage to declare.
I will be able to judge the quality of the follow -up of this file. This will be decisive for my final opinion.
Best regards .</v>
      </c>
    </row>
    <row r="45" ht="15.75" customHeight="1">
      <c r="A45" s="2">
        <v>1.0</v>
      </c>
      <c r="B45" s="2" t="s">
        <v>183</v>
      </c>
      <c r="C45" s="2" t="s">
        <v>184</v>
      </c>
      <c r="D45" s="2" t="s">
        <v>19</v>
      </c>
      <c r="E45" s="2" t="s">
        <v>20</v>
      </c>
      <c r="F45" s="2" t="s">
        <v>15</v>
      </c>
      <c r="G45" s="2" t="s">
        <v>185</v>
      </c>
      <c r="H45" s="2" t="s">
        <v>186</v>
      </c>
      <c r="I45" s="2" t="str">
        <f>IFERROR(__xludf.DUMMYFUNCTION("GOOGLETRANSLATE(C45,""fr"",""en"")"),"Without comment, insurance must be at the service of customers and not to trap them by choosing the option that is suitable for insurance. Customer's opinion is also something that DA ignores.")</f>
        <v>Without comment, insurance must be at the service of customers and not to trap them by choosing the option that is suitable for insurance. Customer's opinion is also something that DA ignores.</v>
      </c>
    </row>
    <row r="46" ht="15.75" customHeight="1">
      <c r="A46" s="2">
        <v>2.0</v>
      </c>
      <c r="B46" s="2" t="s">
        <v>187</v>
      </c>
      <c r="C46" s="2" t="s">
        <v>188</v>
      </c>
      <c r="D46" s="2" t="s">
        <v>19</v>
      </c>
      <c r="E46" s="2" t="s">
        <v>20</v>
      </c>
      <c r="F46" s="2" t="s">
        <v>15</v>
      </c>
      <c r="G46" s="2" t="s">
        <v>189</v>
      </c>
      <c r="H46" s="2" t="s">
        <v>190</v>
      </c>
      <c r="I46" s="2" t="str">
        <f>IFERROR(__xludf.DUMMYFUNCTION("GOOGLETRANSLATE(C46,""fr"",""en"")"),"Hello,
No accident not responsible since May 18 and we are 29 but, I am still waiting for the passage of their expert, he should spend yesterday, I blocked the day and there is nothing, nobody passes ... I have been unemployed since May 18 ... no news no"&amp;"thing ... I try to call I come across a messaging ""Our offices are exceptionally closed"", I will soon lose my customers, my work .... I don't know what To do...")</f>
        <v>Hello,
No accident not responsible since May 18 and we are 29 but, I am still waiting for the passage of their expert, he should spend yesterday, I blocked the day and there is nothing, nobody passes ... I have been unemployed since May 18 ... no news nothing ... I try to call I come across a messaging "Our offices are exceptionally closed", I will soon lose my customers, my work .... I don't know what To do...</v>
      </c>
    </row>
    <row r="47" ht="15.75" customHeight="1">
      <c r="A47" s="2">
        <v>1.0</v>
      </c>
      <c r="B47" s="2" t="s">
        <v>191</v>
      </c>
      <c r="C47" s="2" t="s">
        <v>192</v>
      </c>
      <c r="D47" s="2" t="s">
        <v>193</v>
      </c>
      <c r="E47" s="2" t="s">
        <v>122</v>
      </c>
      <c r="F47" s="2" t="s">
        <v>15</v>
      </c>
      <c r="G47" s="2" t="s">
        <v>194</v>
      </c>
      <c r="H47" s="2" t="s">
        <v>116</v>
      </c>
      <c r="I47" s="2" t="str">
        <f>IFERROR(__xludf.DUMMYFUNCTION("GOOGLETRANSLATE(C47,""fr"",""en"")"),"Please note, insurance not monitoring a claim since 01/06/2019, unanswered questions, very difficult to have an interlocutor, vocal robot, in short, ghost insurance and yet 40 years of contributions")</f>
        <v>Please note, insurance not monitoring a claim since 01/06/2019, unanswered questions, very difficult to have an interlocutor, vocal robot, in short, ghost insurance and yet 40 years of contributions</v>
      </c>
    </row>
    <row r="48" ht="15.75" customHeight="1">
      <c r="A48" s="2">
        <v>4.0</v>
      </c>
      <c r="B48" s="2" t="s">
        <v>195</v>
      </c>
      <c r="C48" s="2" t="s">
        <v>196</v>
      </c>
      <c r="D48" s="2" t="s">
        <v>35</v>
      </c>
      <c r="E48" s="2" t="s">
        <v>20</v>
      </c>
      <c r="F48" s="2" t="s">
        <v>15</v>
      </c>
      <c r="G48" s="2" t="s">
        <v>197</v>
      </c>
      <c r="H48" s="2" t="s">
        <v>74</v>
      </c>
      <c r="I48" s="2" t="str">
        <f>IFERROR(__xludf.DUMMYFUNCTION("GOOGLETRANSLATE(C48,""fr"",""en"")"),"Speed ​​and above all very good availability. I am happy to have any risk coverage for my first car at a price not too high compared to other insurances.")</f>
        <v>Speed ​​and above all very good availability. I am happy to have any risk coverage for my first car at a price not too high compared to other insurances.</v>
      </c>
    </row>
    <row r="49" ht="15.75" customHeight="1">
      <c r="A49" s="2">
        <v>2.0</v>
      </c>
      <c r="B49" s="2" t="s">
        <v>198</v>
      </c>
      <c r="C49" s="2" t="s">
        <v>199</v>
      </c>
      <c r="D49" s="2" t="s">
        <v>200</v>
      </c>
      <c r="E49" s="2" t="s">
        <v>30</v>
      </c>
      <c r="F49" s="2" t="s">
        <v>15</v>
      </c>
      <c r="G49" s="2" t="s">
        <v>201</v>
      </c>
      <c r="H49" s="2" t="s">
        <v>202</v>
      </c>
      <c r="I49" s="2" t="str">
        <f>IFERROR(__xludf.DUMMYFUNCTION("GOOGLETRANSLATE(C49,""fr"",""en"")"),"hello; suite to health problem I had to pass in the hands of different specialist so that the cleaver diagnosis falls !! myopathy with the risk of finishing in a wheelchair !! Invalidity by the CPAM recognized by the MDPH. My declaration with the cardiff "&amp;"which following the visit of an expert ""expert"" announces by mail of the non -management of this invalidity and the stop of payments on March 1 !! So what an interest in taking invalidity insurance if national organizations, doctors; the specialists rec"&amp;"ognize it but not this insurance !!")</f>
        <v>hello; suite to health problem I had to pass in the hands of different specialist so that the cleaver diagnosis falls !! myopathy with the risk of finishing in a wheelchair !! Invalidity by the CPAM recognized by the MDPH. My declaration with the cardiff which following the visit of an expert "expert" announces by mail of the non -management of this invalidity and the stop of payments on March 1 !! So what an interest in taking invalidity insurance if national organizations, doctors; the specialists recognize it but not this insurance !!</v>
      </c>
    </row>
    <row r="50" ht="15.75" customHeight="1">
      <c r="A50" s="2">
        <v>5.0</v>
      </c>
      <c r="B50" s="2" t="s">
        <v>203</v>
      </c>
      <c r="C50" s="2" t="s">
        <v>204</v>
      </c>
      <c r="D50" s="2" t="s">
        <v>205</v>
      </c>
      <c r="E50" s="2" t="s">
        <v>206</v>
      </c>
      <c r="F50" s="2" t="s">
        <v>15</v>
      </c>
      <c r="G50" s="2" t="s">
        <v>207</v>
      </c>
      <c r="H50" s="2" t="s">
        <v>208</v>
      </c>
      <c r="I50" s="2" t="str">
        <f>IFERROR(__xludf.DUMMYFUNCTION("GOOGLETRANSLATE(C50,""fr"",""en"")"),"After more than 5 years I have never encountered the slightest problems. Refunds are quite fast, moreover the possibility of sending invoices, prescription and internet care sheet accelerates the care procedure.
All the friends I sponsored are complete"&amp;"ly satisfied.
Of course before the subscription it is necessary to read the contract and especially to adapt this one to your needs because several levels of coverage are available.
")</f>
        <v>After more than 5 years I have never encountered the slightest problems. Refunds are quite fast, moreover the possibility of sending invoices, prescription and internet care sheet accelerates the care procedure.
All the friends I sponsored are completely satisfied.
Of course before the subscription it is necessary to read the contract and especially to adapt this one to your needs because several levels of coverage are available.
</v>
      </c>
    </row>
    <row r="51" ht="15.75" customHeight="1">
      <c r="A51" s="2">
        <v>1.0</v>
      </c>
      <c r="B51" s="2" t="s">
        <v>209</v>
      </c>
      <c r="C51" s="2" t="s">
        <v>210</v>
      </c>
      <c r="D51" s="2" t="s">
        <v>193</v>
      </c>
      <c r="E51" s="2" t="s">
        <v>20</v>
      </c>
      <c r="F51" s="2" t="s">
        <v>15</v>
      </c>
      <c r="G51" s="2" t="s">
        <v>211</v>
      </c>
      <c r="H51" s="2" t="s">
        <v>32</v>
      </c>
      <c r="I51" s="2" t="str">
        <f>IFERROR(__xludf.DUMMYFUNCTION("GOOGLETRANSLATE(C51,""fr"",""en"")"),"We have been waiting for our compensation for 4 months, following an incident of a third person who has returned to our residential wall ours housing is ripped, the Matmut does not support us absolutely, I advise you to absolutely avoid this insurer, beca"&amp;"use the matmut it does not at all ensure ...")</f>
        <v>We have been waiting for our compensation for 4 months, following an incident of a third person who has returned to our residential wall ours housing is ripped, the Matmut does not support us absolutely, I advise you to absolutely avoid this insurer, because the matmut it does not at all ensure ...</v>
      </c>
    </row>
    <row r="52" ht="15.75" customHeight="1">
      <c r="A52" s="2">
        <v>2.0</v>
      </c>
      <c r="B52" s="2" t="s">
        <v>212</v>
      </c>
      <c r="C52" s="2" t="s">
        <v>213</v>
      </c>
      <c r="D52" s="2" t="s">
        <v>111</v>
      </c>
      <c r="E52" s="2" t="s">
        <v>214</v>
      </c>
      <c r="F52" s="2" t="s">
        <v>15</v>
      </c>
      <c r="G52" s="2" t="s">
        <v>215</v>
      </c>
      <c r="H52" s="2" t="s">
        <v>216</v>
      </c>
      <c r="I52" s="2" t="str">
        <f>IFERROR(__xludf.DUMMYFUNCTION("GOOGLETRANSLATE(C52,""fr"",""en"")"),"Telephone ballad Wave answer and without interest constantly repeated questions to believe that he is working on paper. They send me a letter dated July 24 posted on October 04")</f>
        <v>Telephone ballad Wave answer and without interest constantly repeated questions to believe that he is working on paper. They send me a letter dated July 24 posted on October 04</v>
      </c>
    </row>
    <row r="53" ht="15.75" customHeight="1">
      <c r="A53" s="2">
        <v>5.0</v>
      </c>
      <c r="B53" s="2" t="s">
        <v>217</v>
      </c>
      <c r="C53" s="2" t="s">
        <v>218</v>
      </c>
      <c r="D53" s="2" t="s">
        <v>35</v>
      </c>
      <c r="E53" s="2" t="s">
        <v>20</v>
      </c>
      <c r="F53" s="2" t="s">
        <v>15</v>
      </c>
      <c r="G53" s="2" t="s">
        <v>219</v>
      </c>
      <c r="H53" s="2" t="s">
        <v>74</v>
      </c>
      <c r="I53" s="2" t="str">
        <f>IFERROR(__xludf.DUMMYFUNCTION("GOOGLETRANSLATE(C53,""fr"",""en"")"),"Top price and service hoping that it will last in time very good telephone reception and the meeting on time it becomes more and more rare especially do not change anything")</f>
        <v>Top price and service hoping that it will last in time very good telephone reception and the meeting on time it becomes more and more rare especially do not change anything</v>
      </c>
    </row>
    <row r="54" ht="15.75" customHeight="1">
      <c r="A54" s="2">
        <v>5.0</v>
      </c>
      <c r="B54" s="2" t="s">
        <v>220</v>
      </c>
      <c r="C54" s="2" t="s">
        <v>221</v>
      </c>
      <c r="D54" s="2" t="s">
        <v>35</v>
      </c>
      <c r="E54" s="2" t="s">
        <v>20</v>
      </c>
      <c r="F54" s="2" t="s">
        <v>15</v>
      </c>
      <c r="G54" s="2" t="s">
        <v>222</v>
      </c>
      <c r="H54" s="2" t="s">
        <v>108</v>
      </c>
      <c r="I54" s="2" t="str">
        <f>IFERROR(__xludf.DUMMYFUNCTION("GOOGLETRANSLATE(C54,""fr"",""en"")"),"The price suited me for a young driver.
However, it is excessive if we add a secondary driver.
The telephone service is rather quick to respond.")</f>
        <v>The price suited me for a young driver.
However, it is excessive if we add a secondary driver.
The telephone service is rather quick to respond.</v>
      </c>
    </row>
    <row r="55" ht="15.75" customHeight="1">
      <c r="A55" s="2">
        <v>1.0</v>
      </c>
      <c r="B55" s="2" t="s">
        <v>223</v>
      </c>
      <c r="C55" s="2" t="s">
        <v>224</v>
      </c>
      <c r="D55" s="2" t="s">
        <v>225</v>
      </c>
      <c r="E55" s="2" t="s">
        <v>61</v>
      </c>
      <c r="F55" s="2" t="s">
        <v>15</v>
      </c>
      <c r="G55" s="2" t="s">
        <v>226</v>
      </c>
      <c r="H55" s="2" t="s">
        <v>21</v>
      </c>
      <c r="I55" s="2" t="str">
        <f>IFERROR(__xludf.DUMMYFUNCTION("GOOGLETRANSLATE(C55,""fr"",""en"")"),"The worst mutual.
Ensured via a collective contract, 30 euros taken every month from my pay slip and the employer also gives 30 euros. Non -existent customer service, difficult to reach on the phone, very badly done and messy online space, a lot of del"&amp;"ay for reimbursement for more than 2 months that I expect a refund for glasses.
Last thing, they struck off my contract on January 31 I knew it in early March following a conventional break friend that I had the right to portability. To flee the mgen !!")</f>
        <v>The worst mutual.
Ensured via a collective contract, 30 euros taken every month from my pay slip and the employer also gives 30 euros. Non -existent customer service, difficult to reach on the phone, very badly done and messy online space, a lot of delay for reimbursement for more than 2 months that I expect a refund for glasses.
Last thing, they struck off my contract on January 31 I knew it in early March following a conventional break friend that I had the right to portability. To flee the mgen !!</v>
      </c>
    </row>
    <row r="56" ht="15.75" customHeight="1">
      <c r="A56" s="2">
        <v>3.0</v>
      </c>
      <c r="B56" s="2" t="s">
        <v>227</v>
      </c>
      <c r="C56" s="2" t="s">
        <v>228</v>
      </c>
      <c r="D56" s="2" t="s">
        <v>19</v>
      </c>
      <c r="E56" s="2" t="s">
        <v>20</v>
      </c>
      <c r="F56" s="2" t="s">
        <v>15</v>
      </c>
      <c r="G56" s="2" t="s">
        <v>229</v>
      </c>
      <c r="H56" s="2" t="s">
        <v>108</v>
      </c>
      <c r="I56" s="2" t="str">
        <f>IFERROR(__xludf.DUMMYFUNCTION("GOOGLETRANSLATE(C56,""fr"",""en"")"),"Hello, your satisfactory prices, but I have no more info on the service at the moment, because I have just taken car insurance.
Have a good evening")</f>
        <v>Hello, your satisfactory prices, but I have no more info on the service at the moment, because I have just taken car insurance.
Have a good evening</v>
      </c>
    </row>
    <row r="57" ht="15.75" customHeight="1">
      <c r="A57" s="2">
        <v>2.0</v>
      </c>
      <c r="B57" s="2" t="s">
        <v>230</v>
      </c>
      <c r="C57" s="2" t="s">
        <v>231</v>
      </c>
      <c r="D57" s="2" t="s">
        <v>19</v>
      </c>
      <c r="E57" s="2" t="s">
        <v>20</v>
      </c>
      <c r="F57" s="2" t="s">
        <v>15</v>
      </c>
      <c r="G57" s="2" t="s">
        <v>232</v>
      </c>
      <c r="H57" s="2" t="s">
        <v>21</v>
      </c>
      <c r="I57" s="2" t="str">
        <f>IFERROR(__xludf.DUMMYFUNCTION("GOOGLETRANSLATE(C57,""fr"",""en"")"),"Simple and practical .... but it gets complicated in the event of a disaster: the staff are not qualified and the discussions are being launched. The expression ""we wear us"" takes on its full meaning, and we must fight firm.
But maybe we always have fo"&amp;"r your money: cheap = bad service after Vebte!")</f>
        <v>Simple and practical .... but it gets complicated in the event of a disaster: the staff are not qualified and the discussions are being launched. The expression "we wear us" takes on its full meaning, and we must fight firm.
But maybe we always have for your money: cheap = bad service after Vebte!</v>
      </c>
    </row>
    <row r="58" ht="15.75" customHeight="1">
      <c r="A58" s="2">
        <v>4.0</v>
      </c>
      <c r="B58" s="2" t="s">
        <v>233</v>
      </c>
      <c r="C58" s="2" t="s">
        <v>234</v>
      </c>
      <c r="D58" s="2" t="s">
        <v>19</v>
      </c>
      <c r="E58" s="2" t="s">
        <v>20</v>
      </c>
      <c r="F58" s="2" t="s">
        <v>15</v>
      </c>
      <c r="G58" s="2" t="s">
        <v>235</v>
      </c>
      <c r="H58" s="2" t="s">
        <v>45</v>
      </c>
      <c r="I58" s="2" t="str">
        <f>IFERROR(__xludf.DUMMYFUNCTION("GOOGLETRANSLATE(C58,""fr"",""en"")"),"I am satisfied with the service and the choices offered. It's fast, effective and simple, we know what we are subscribing to with clarity. No complaints")</f>
        <v>I am satisfied with the service and the choices offered. It's fast, effective and simple, we know what we are subscribing to with clarity. No complaints</v>
      </c>
    </row>
    <row r="59" ht="15.75" customHeight="1">
      <c r="A59" s="2">
        <v>1.0</v>
      </c>
      <c r="B59" s="2" t="s">
        <v>236</v>
      </c>
      <c r="C59" s="2" t="s">
        <v>237</v>
      </c>
      <c r="D59" s="2" t="s">
        <v>29</v>
      </c>
      <c r="E59" s="2" t="s">
        <v>30</v>
      </c>
      <c r="F59" s="2" t="s">
        <v>15</v>
      </c>
      <c r="G59" s="2" t="s">
        <v>238</v>
      </c>
      <c r="H59" s="2" t="s">
        <v>239</v>
      </c>
      <c r="I59" s="2" t="str">
        <f>IFERROR(__xludf.DUMMYFUNCTION("GOOGLETRANSLATE(C59,""fr"",""en"")"),"5 years that I am trying to cancel the presentation of my loan insurance which is no longer in progress. No return despite the sending of the requested documents. It's sad.")</f>
        <v>5 years that I am trying to cancel the presentation of my loan insurance which is no longer in progress. No return despite the sending of the requested documents. It's sad.</v>
      </c>
    </row>
    <row r="60" ht="15.75" customHeight="1">
      <c r="A60" s="2">
        <v>1.0</v>
      </c>
      <c r="B60" s="2" t="s">
        <v>240</v>
      </c>
      <c r="C60" s="2" t="s">
        <v>241</v>
      </c>
      <c r="D60" s="2" t="s">
        <v>19</v>
      </c>
      <c r="E60" s="2" t="s">
        <v>20</v>
      </c>
      <c r="F60" s="2" t="s">
        <v>15</v>
      </c>
      <c r="G60" s="2" t="s">
        <v>242</v>
      </c>
      <c r="H60" s="2" t="s">
        <v>97</v>
      </c>
      <c r="I60" s="2" t="str">
        <f>IFERROR(__xludf.DUMMYFUNCTION("GOOGLETRANSLATE(C60,""fr"",""en"")"),"Interesting call for tenders to bait you the first year ... then increased 14 % in the first year !!! Over 5 years of subscription, increase of 26 % without any information or explanation !!! Without any modification of my basic or sinister contract !!! I"&amp;" seriously think I have been fooled ... to make your contacts follow")</f>
        <v>Interesting call for tenders to bait you the first year ... then increased 14 % in the first year !!! Over 5 years of subscription, increase of 26 % without any information or explanation !!! Without any modification of my basic or sinister contract !!! I seriously think I have been fooled ... to make your contacts follow</v>
      </c>
    </row>
    <row r="61" ht="15.75" customHeight="1">
      <c r="A61" s="2">
        <v>4.0</v>
      </c>
      <c r="B61" s="2" t="s">
        <v>243</v>
      </c>
      <c r="C61" s="2" t="s">
        <v>244</v>
      </c>
      <c r="D61" s="2" t="s">
        <v>245</v>
      </c>
      <c r="E61" s="2" t="s">
        <v>61</v>
      </c>
      <c r="F61" s="2" t="s">
        <v>15</v>
      </c>
      <c r="G61" s="2" t="s">
        <v>246</v>
      </c>
      <c r="H61" s="2" t="s">
        <v>247</v>
      </c>
      <c r="I61" s="2" t="str">
        <f>IFERROR(__xludf.DUMMYFUNCTION("GOOGLETRANSLATE(C61,""fr"",""en"")"),"Very good serious contact customer service, always competent good advice and courtesy")</f>
        <v>Very good serious contact customer service, always competent good advice and courtesy</v>
      </c>
    </row>
    <row r="62" ht="15.75" customHeight="1">
      <c r="A62" s="2">
        <v>1.0</v>
      </c>
      <c r="B62" s="2" t="s">
        <v>248</v>
      </c>
      <c r="C62" s="2" t="s">
        <v>249</v>
      </c>
      <c r="D62" s="2" t="s">
        <v>245</v>
      </c>
      <c r="E62" s="2" t="s">
        <v>61</v>
      </c>
      <c r="F62" s="2" t="s">
        <v>15</v>
      </c>
      <c r="G62" s="2" t="s">
        <v>250</v>
      </c>
      <c r="H62" s="2" t="s">
        <v>251</v>
      </c>
      <c r="I62" s="2" t="str">
        <f>IFERROR(__xludf.DUMMYFUNCTION("GOOGLETRANSLATE(C62,""fr"",""en"")"),"Impossible to terminate, oblige to call on a mediator,")</f>
        <v>Impossible to terminate, oblige to call on a mediator,</v>
      </c>
    </row>
    <row r="63" ht="15.75" customHeight="1">
      <c r="A63" s="2">
        <v>4.0</v>
      </c>
      <c r="B63" s="2" t="s">
        <v>252</v>
      </c>
      <c r="C63" s="2" t="s">
        <v>253</v>
      </c>
      <c r="D63" s="2" t="s">
        <v>254</v>
      </c>
      <c r="E63" s="2" t="s">
        <v>61</v>
      </c>
      <c r="F63" s="2" t="s">
        <v>15</v>
      </c>
      <c r="G63" s="2" t="s">
        <v>255</v>
      </c>
      <c r="H63" s="2" t="s">
        <v>256</v>
      </c>
      <c r="I63" s="2" t="str">
        <f>IFERROR(__xludf.DUMMYFUNCTION("GOOGLETRANSLATE(C63,""fr"",""en"")"),"Charming interlocutor, very attentive to my request, solves it very quickly with an answer that suits me.
So nothing to say, it's perfect;
Besides, I have been a member for 48 years, that is to say if I am satisfied !!!")</f>
        <v>Charming interlocutor, very attentive to my request, solves it very quickly with an answer that suits me.
So nothing to say, it's perfect;
Besides, I have been a member for 48 years, that is to say if I am satisfied !!!</v>
      </c>
    </row>
    <row r="64" ht="15.75" customHeight="1">
      <c r="A64" s="2">
        <v>1.0</v>
      </c>
      <c r="B64" s="2" t="s">
        <v>257</v>
      </c>
      <c r="C64" s="2" t="s">
        <v>258</v>
      </c>
      <c r="D64" s="2" t="s">
        <v>19</v>
      </c>
      <c r="E64" s="2" t="s">
        <v>20</v>
      </c>
      <c r="F64" s="2" t="s">
        <v>15</v>
      </c>
      <c r="G64" s="2" t="s">
        <v>259</v>
      </c>
      <c r="H64" s="2" t="s">
        <v>260</v>
      </c>
      <c r="I64" s="2" t="str">
        <f>IFERROR(__xludf.DUMMYFUNCTION("GOOGLETRANSLATE(C64,""fr"",""en"")"),"To avoid
We tell you what you want to hear and we close the call. But no one manages your file and it is very difficult to get things done.
The assistance took 15 days to deliver my vehicle to an authorized garage. It was I who had to manage.
Following"&amp;" a non -responsible disaster which dates from August 17, my car is still awaiting validation by the expert who offers second -hand parts on a vehicle that raises 10 k ...
No one panics a dossier hanging out and you never remind you.
In the event of a cl"&amp;"aim plan a lot of coffee, and have an unlimited telephone package because you are alone in the face of people and processes that wander you.")</f>
        <v>To avoid
We tell you what you want to hear and we close the call. But no one manages your file and it is very difficult to get things done.
The assistance took 15 days to deliver my vehicle to an authorized garage. It was I who had to manage.
Following a non -responsible disaster which dates from August 17, my car is still awaiting validation by the expert who offers second -hand parts on a vehicle that raises 10 k ...
No one panics a dossier hanging out and you never remind you.
In the event of a claim plan a lot of coffee, and have an unlimited telephone package because you are alone in the face of people and processes that wander you.</v>
      </c>
    </row>
    <row r="65" ht="15.75" customHeight="1">
      <c r="A65" s="2">
        <v>5.0</v>
      </c>
      <c r="B65" s="2" t="s">
        <v>261</v>
      </c>
      <c r="C65" s="2" t="s">
        <v>262</v>
      </c>
      <c r="D65" s="2" t="s">
        <v>35</v>
      </c>
      <c r="E65" s="2" t="s">
        <v>20</v>
      </c>
      <c r="F65" s="2" t="s">
        <v>15</v>
      </c>
      <c r="G65" s="2" t="s">
        <v>263</v>
      </c>
      <c r="H65" s="2" t="s">
        <v>32</v>
      </c>
      <c r="I65" s="2" t="str">
        <f>IFERROR(__xludf.DUMMYFUNCTION("GOOGLETRANSLATE(C65,""fr"",""en"")"),"I am satisfied with the service as well as the quotes provided. Quick response and clear explanations. The prices are very correct, fast and efficient transaction")</f>
        <v>I am satisfied with the service as well as the quotes provided. Quick response and clear explanations. The prices are very correct, fast and efficient transaction</v>
      </c>
    </row>
    <row r="66" ht="15.75" customHeight="1">
      <c r="A66" s="2">
        <v>2.0</v>
      </c>
      <c r="B66" s="2" t="s">
        <v>264</v>
      </c>
      <c r="C66" s="2" t="s">
        <v>265</v>
      </c>
      <c r="D66" s="2" t="s">
        <v>35</v>
      </c>
      <c r="E66" s="2" t="s">
        <v>20</v>
      </c>
      <c r="F66" s="2" t="s">
        <v>15</v>
      </c>
      <c r="G66" s="2" t="s">
        <v>266</v>
      </c>
      <c r="H66" s="2" t="s">
        <v>131</v>
      </c>
      <c r="I66" s="2" t="str">
        <f>IFERROR(__xludf.DUMMYFUNCTION("GOOGLETRANSLATE(C66,""fr"",""en"")"),"Because of a simple error in driving license photocopy, I went from 800 euros to 1,300 euros in annual subscription ... without being able to argue. Distressing.")</f>
        <v>Because of a simple error in driving license photocopy, I went from 800 euros to 1,300 euros in annual subscription ... without being able to argue. Distressing.</v>
      </c>
    </row>
    <row r="67" ht="15.75" customHeight="1">
      <c r="A67" s="2">
        <v>4.0</v>
      </c>
      <c r="B67" s="2" t="s">
        <v>267</v>
      </c>
      <c r="C67" s="2" t="s">
        <v>268</v>
      </c>
      <c r="D67" s="2" t="s">
        <v>269</v>
      </c>
      <c r="E67" s="2" t="s">
        <v>61</v>
      </c>
      <c r="F67" s="2" t="s">
        <v>15</v>
      </c>
      <c r="G67" s="2" t="s">
        <v>270</v>
      </c>
      <c r="H67" s="2" t="s">
        <v>271</v>
      </c>
      <c r="I67" s="2" t="str">
        <f>IFERROR(__xludf.DUMMYFUNCTION("GOOGLETRANSLATE(C67,""fr"",""en"")")," For 23 years at Courtier Providency in Lyon and always only good experiences. A dynamic, sympathetic and competent team!")</f>
        <v> For 23 years at Courtier Providency in Lyon and always only good experiences. A dynamic, sympathetic and competent team!</v>
      </c>
    </row>
    <row r="68" ht="15.75" customHeight="1">
      <c r="A68" s="2">
        <v>1.0</v>
      </c>
      <c r="B68" s="2" t="s">
        <v>272</v>
      </c>
      <c r="C68" s="2" t="s">
        <v>273</v>
      </c>
      <c r="D68" s="2" t="s">
        <v>111</v>
      </c>
      <c r="E68" s="2" t="s">
        <v>214</v>
      </c>
      <c r="F68" s="2" t="s">
        <v>15</v>
      </c>
      <c r="G68" s="2" t="s">
        <v>274</v>
      </c>
      <c r="H68" s="2" t="s">
        <v>32</v>
      </c>
      <c r="I68" s="2" t="str">
        <f>IFERROR(__xludf.DUMMYFUNCTION("GOOGLETRANSLATE(C68,""fr"",""en"")"),"On stop since July 2020, I have still not received anything in addition to salary.
My employer does not answer me concerning my foresight. What to do?")</f>
        <v>On stop since July 2020, I have still not received anything in addition to salary.
My employer does not answer me concerning my foresight. What to do?</v>
      </c>
    </row>
    <row r="69" ht="15.75" customHeight="1">
      <c r="A69" s="2">
        <v>5.0</v>
      </c>
      <c r="B69" s="2" t="s">
        <v>275</v>
      </c>
      <c r="C69" s="2" t="s">
        <v>276</v>
      </c>
      <c r="D69" s="2" t="s">
        <v>19</v>
      </c>
      <c r="E69" s="2" t="s">
        <v>20</v>
      </c>
      <c r="F69" s="2" t="s">
        <v>15</v>
      </c>
      <c r="G69" s="2" t="s">
        <v>277</v>
      </c>
      <c r="H69" s="2" t="s">
        <v>164</v>
      </c>
      <c r="I69" s="2" t="str">
        <f>IFERROR(__xludf.DUMMYFUNCTION("GOOGLETRANSLATE(C69,""fr"",""en"")"),"Attractive, simple and fast price.
I will promote around me insofar as what planned is confirmed. I hope that in use I will not have to regret my choice.")</f>
        <v>Attractive, simple and fast price.
I will promote around me insofar as what planned is confirmed. I hope that in use I will not have to regret my choice.</v>
      </c>
    </row>
    <row r="70" ht="15.75" customHeight="1">
      <c r="A70" s="2">
        <v>3.0</v>
      </c>
      <c r="B70" s="2" t="s">
        <v>278</v>
      </c>
      <c r="C70" s="2" t="s">
        <v>279</v>
      </c>
      <c r="D70" s="2" t="s">
        <v>19</v>
      </c>
      <c r="E70" s="2" t="s">
        <v>20</v>
      </c>
      <c r="F70" s="2" t="s">
        <v>15</v>
      </c>
      <c r="G70" s="2" t="s">
        <v>197</v>
      </c>
      <c r="H70" s="2" t="s">
        <v>74</v>
      </c>
      <c r="I70" s="2" t="str">
        <f>IFERROR(__xludf.DUMMYFUNCTION("GOOGLETRANSLATE(C70,""fr"",""en"")"),"could do better for prices, no information on prices, we are never aware of if we can have a drop in prices")</f>
        <v>could do better for prices, no information on prices, we are never aware of if we can have a drop in prices</v>
      </c>
    </row>
    <row r="71" ht="15.75" customHeight="1">
      <c r="A71" s="2">
        <v>4.0</v>
      </c>
      <c r="B71" s="2" t="s">
        <v>280</v>
      </c>
      <c r="C71" s="2" t="s">
        <v>281</v>
      </c>
      <c r="D71" s="2" t="s">
        <v>245</v>
      </c>
      <c r="E71" s="2" t="s">
        <v>61</v>
      </c>
      <c r="F71" s="2" t="s">
        <v>15</v>
      </c>
      <c r="G71" s="2" t="s">
        <v>282</v>
      </c>
      <c r="H71" s="2" t="s">
        <v>40</v>
      </c>
      <c r="I71" s="2" t="str">
        <f>IFERROR(__xludf.DUMMYFUNCTION("GOOGLETRANSLATE(C71,""fr"",""en"")"),"Very pleasant advisor, good advice and good service")</f>
        <v>Very pleasant advisor, good advice and good service</v>
      </c>
    </row>
    <row r="72" ht="15.75" customHeight="1">
      <c r="A72" s="2">
        <v>2.0</v>
      </c>
      <c r="B72" s="2" t="s">
        <v>283</v>
      </c>
      <c r="C72" s="2" t="s">
        <v>284</v>
      </c>
      <c r="D72" s="2" t="s">
        <v>285</v>
      </c>
      <c r="E72" s="2" t="s">
        <v>122</v>
      </c>
      <c r="F72" s="2" t="s">
        <v>15</v>
      </c>
      <c r="G72" s="2" t="s">
        <v>286</v>
      </c>
      <c r="H72" s="2" t="s">
        <v>287</v>
      </c>
      <c r="I72" s="2" t="str">
        <f>IFERROR(__xludf.DUMMYFUNCTION("GOOGLETRANSLATE(C72,""fr"",""en"")"),"The Macif is incapable (and the word is low) to provide an insurance certificate on behalf of my wife when we are married and both ensure the home and vehicle contracts.")</f>
        <v>The Macif is incapable (and the word is low) to provide an insurance certificate on behalf of my wife when we are married and both ensure the home and vehicle contracts.</v>
      </c>
    </row>
    <row r="73" ht="15.75" customHeight="1">
      <c r="A73" s="2">
        <v>1.0</v>
      </c>
      <c r="B73" s="2" t="s">
        <v>288</v>
      </c>
      <c r="C73" s="2" t="s">
        <v>289</v>
      </c>
      <c r="D73" s="2" t="s">
        <v>200</v>
      </c>
      <c r="E73" s="2" t="s">
        <v>30</v>
      </c>
      <c r="F73" s="2" t="s">
        <v>15</v>
      </c>
      <c r="G73" s="2" t="s">
        <v>290</v>
      </c>
      <c r="H73" s="2" t="s">
        <v>247</v>
      </c>
      <c r="I73" s="2" t="str">
        <f>IFERROR(__xludf.DUMMYFUNCTION("GOOGLETRANSLATE(C73,""fr"",""en"")"),"Hello I am currently in sickness since June 2017 I therefore asked if the insurance took charge of the monthly payments of my loan he replied yes and we sent a file to be filled to the doctor that I have returned. He had to either Saying freezing the mont"&amp;"hly payments while waiting for their response for two months but this was not the case. All its to give me a negative opinion. Looking for papers and energies for nothing has it is there only for paid")</f>
        <v>Hello I am currently in sickness since June 2017 I therefore asked if the insurance took charge of the monthly payments of my loan he replied yes and we sent a file to be filled to the doctor that I have returned. He had to either Saying freezing the monthly payments while waiting for their response for two months but this was not the case. All its to give me a negative opinion. Looking for papers and energies for nothing has it is there only for paid</v>
      </c>
    </row>
    <row r="74" ht="15.75" customHeight="1">
      <c r="A74" s="2">
        <v>2.0</v>
      </c>
      <c r="B74" s="2" t="s">
        <v>291</v>
      </c>
      <c r="C74" s="2" t="s">
        <v>292</v>
      </c>
      <c r="D74" s="2" t="s">
        <v>86</v>
      </c>
      <c r="E74" s="2" t="s">
        <v>61</v>
      </c>
      <c r="F74" s="2" t="s">
        <v>15</v>
      </c>
      <c r="G74" s="2" t="s">
        <v>293</v>
      </c>
      <c r="H74" s="2" t="s">
        <v>190</v>
      </c>
      <c r="I74" s="2" t="str">
        <f>IFERROR(__xludf.DUMMYFUNCTION("GOOGLETRANSLATE(C74,""fr"",""en"")"),"Very professional erika
Complicated to be able to change recipients")</f>
        <v>Very professional erika
Complicated to be able to change recipients</v>
      </c>
    </row>
    <row r="75" ht="15.75" customHeight="1">
      <c r="A75" s="2">
        <v>1.0</v>
      </c>
      <c r="B75" s="2" t="s">
        <v>294</v>
      </c>
      <c r="C75" s="2" t="s">
        <v>295</v>
      </c>
      <c r="D75" s="2" t="s">
        <v>13</v>
      </c>
      <c r="E75" s="2" t="s">
        <v>14</v>
      </c>
      <c r="F75" s="2" t="s">
        <v>15</v>
      </c>
      <c r="G75" s="2" t="s">
        <v>296</v>
      </c>
      <c r="H75" s="2" t="s">
        <v>297</v>
      </c>
      <c r="I75" s="2" t="str">
        <f>IFERROR(__xludf.DUMMYFUNCTION("GOOGLETRANSLATE(C75,""fr"",""en"")"),"Deplurable customer service.")</f>
        <v>Deplurable customer service.</v>
      </c>
    </row>
    <row r="76" ht="15.75" customHeight="1">
      <c r="A76" s="2">
        <v>4.0</v>
      </c>
      <c r="B76" s="2" t="s">
        <v>298</v>
      </c>
      <c r="C76" s="2" t="s">
        <v>299</v>
      </c>
      <c r="D76" s="2" t="s">
        <v>19</v>
      </c>
      <c r="E76" s="2" t="s">
        <v>20</v>
      </c>
      <c r="F76" s="2" t="s">
        <v>15</v>
      </c>
      <c r="G76" s="2" t="s">
        <v>104</v>
      </c>
      <c r="H76" s="2" t="s">
        <v>74</v>
      </c>
      <c r="I76" s="2" t="str">
        <f>IFERROR(__xludf.DUMMYFUNCTION("GOOGLETRANSLATE(C76,""fr"",""en"")"),"The prices suits me, and the service is well guaranteed, there is nothing to say, good insurance, I have not tried the services but I think it's good and serious")</f>
        <v>The prices suits me, and the service is well guaranteed, there is nothing to say, good insurance, I have not tried the services but I think it's good and serious</v>
      </c>
    </row>
    <row r="77" ht="15.75" customHeight="1">
      <c r="A77" s="2">
        <v>4.0</v>
      </c>
      <c r="B77" s="2" t="s">
        <v>300</v>
      </c>
      <c r="C77" s="2" t="s">
        <v>301</v>
      </c>
      <c r="D77" s="2" t="s">
        <v>35</v>
      </c>
      <c r="E77" s="2" t="s">
        <v>20</v>
      </c>
      <c r="F77" s="2" t="s">
        <v>15</v>
      </c>
      <c r="G77" s="2" t="s">
        <v>302</v>
      </c>
      <c r="H77" s="2" t="s">
        <v>164</v>
      </c>
      <c r="I77" s="2" t="str">
        <f>IFERROR(__xludf.DUMMYFUNCTION("GOOGLETRANSLATE(C77,""fr"",""en"")"),"Superb advisor! Nice and kind, congratulations on your teams ready to answer all your questions with incredible sympathy!
Have a lovely day everybody !")</f>
        <v>Superb advisor! Nice and kind, congratulations on your teams ready to answer all your questions with incredible sympathy!
Have a lovely day everybody !</v>
      </c>
    </row>
    <row r="78" ht="15.75" customHeight="1">
      <c r="A78" s="2">
        <v>1.0</v>
      </c>
      <c r="B78" s="2" t="s">
        <v>303</v>
      </c>
      <c r="C78" s="2" t="s">
        <v>304</v>
      </c>
      <c r="D78" s="2" t="s">
        <v>305</v>
      </c>
      <c r="E78" s="2" t="s">
        <v>214</v>
      </c>
      <c r="F78" s="2" t="s">
        <v>15</v>
      </c>
      <c r="G78" s="2" t="s">
        <v>306</v>
      </c>
      <c r="H78" s="2" t="s">
        <v>97</v>
      </c>
      <c r="I78" s="2" t="str">
        <f>IFERROR(__xludf.DUMMYFUNCTION("GOOGLETRANSLATE(C78,""fr"",""en"")"),"Exparing a still client liberal profession at Swisslife and client for many years the contributions have only increased from years to years.
Everything was fine and Swisslife never failed to take me on the scheduled day.
I paid dearly by thinking myself"&amp;" well insured until the day or following a traumatic event I made a nervous breakdown preventing me from exercising the profession that I like but which is also very trying physically and morally for around 3 months .
My feeling: Swisslife did everything"&amp;" to try not to unandemnate me.
To finally obtain the compensation to which I was entitled, it took many emails, letters and exhausting telephone calls in my state of physical and moral fatigue.
Baladed from service to service, he will finally have been "&amp;"forced to address a legal advisor as well as the insurance mediator to get there. Without outdoor support I will certainly never have succeeded.
Today my contracts are still underway but I took the lead to terminate them well before their deadlines.
An "&amp;"employee of Swisslife apologized by phone by recognizing many disfunctions but never wanted to do so by mail as I had asked him.
Only one advice: do not waste your money anymore, forget Swisslife and if you are still under contract, run away as soon as p"&amp;"ossible.
")</f>
        <v>Exparing a still client liberal profession at Swisslife and client for many years the contributions have only increased from years to years.
Everything was fine and Swisslife never failed to take me on the scheduled day.
I paid dearly by thinking myself well insured until the day or following a traumatic event I made a nervous breakdown preventing me from exercising the profession that I like but which is also very trying physically and morally for around 3 months .
My feeling: Swisslife did everything to try not to unandemnate me.
To finally obtain the compensation to which I was entitled, it took many emails, letters and exhausting telephone calls in my state of physical and moral fatigue.
Baladed from service to service, he will finally have been forced to address a legal advisor as well as the insurance mediator to get there. Without outdoor support I will certainly never have succeeded.
Today my contracts are still underway but I took the lead to terminate them well before their deadlines.
An employee of Swisslife apologized by phone by recognizing many disfunctions but never wanted to do so by mail as I had asked him.
Only one advice: do not waste your money anymore, forget Swisslife and if you are still under contract, run away as soon as possible.
</v>
      </c>
    </row>
    <row r="79" ht="15.75" customHeight="1">
      <c r="A79" s="2">
        <v>5.0</v>
      </c>
      <c r="B79" s="2" t="s">
        <v>307</v>
      </c>
      <c r="C79" s="2" t="s">
        <v>308</v>
      </c>
      <c r="D79" s="2" t="s">
        <v>171</v>
      </c>
      <c r="E79" s="2" t="s">
        <v>14</v>
      </c>
      <c r="F79" s="2" t="s">
        <v>15</v>
      </c>
      <c r="G79" s="2" t="s">
        <v>147</v>
      </c>
      <c r="H79" s="2" t="s">
        <v>74</v>
      </c>
      <c r="I79" s="2" t="str">
        <f>IFERROR(__xludf.DUMMYFUNCTION("GOOGLETRANSLATE(C79,""fr"",""en"")"),"Listening service, the professionals available are competent and very professional and the attractive prices! I highly recommend, the insurance facilitation is easy is intuitive. Great.")</f>
        <v>Listening service, the professionals available are competent and very professional and the attractive prices! I highly recommend, the insurance facilitation is easy is intuitive. Great.</v>
      </c>
    </row>
    <row r="80" ht="15.75" customHeight="1">
      <c r="A80" s="2">
        <v>4.0</v>
      </c>
      <c r="B80" s="2" t="s">
        <v>309</v>
      </c>
      <c r="C80" s="2" t="s">
        <v>310</v>
      </c>
      <c r="D80" s="2" t="s">
        <v>19</v>
      </c>
      <c r="E80" s="2" t="s">
        <v>20</v>
      </c>
      <c r="F80" s="2" t="s">
        <v>15</v>
      </c>
      <c r="G80" s="2" t="s">
        <v>222</v>
      </c>
      <c r="H80" s="2" t="s">
        <v>108</v>
      </c>
      <c r="I80" s="2" t="str">
        <f>IFERROR(__xludf.DUMMYFUNCTION("GOOGLETRANSLATE(C80,""fr"",""en"")"),"Satisfied it takes 5 minutes and the cheapest insurance I found for a young driver. All other insurances were double the price I have here for my contract")</f>
        <v>Satisfied it takes 5 minutes and the cheapest insurance I found for a young driver. All other insurances were double the price I have here for my contract</v>
      </c>
    </row>
    <row r="81" ht="15.75" customHeight="1">
      <c r="A81" s="2">
        <v>1.0</v>
      </c>
      <c r="B81" s="2" t="s">
        <v>311</v>
      </c>
      <c r="C81" s="2" t="s">
        <v>312</v>
      </c>
      <c r="D81" s="2" t="s">
        <v>77</v>
      </c>
      <c r="E81" s="2" t="s">
        <v>61</v>
      </c>
      <c r="F81" s="2" t="s">
        <v>15</v>
      </c>
      <c r="G81" s="2" t="s">
        <v>313</v>
      </c>
      <c r="H81" s="2" t="s">
        <v>53</v>
      </c>
      <c r="I81" s="2" t="str">
        <f>IFERROR(__xludf.DUMMYFUNCTION("GOOGLETRANSLATE(C81,""fr"",""en"")"),"During my last optical quote in September, the reimbursement is practically half compared to the reimbursement of my old glasses, I ask for explanations from the generation advisor, who tells me you must call the platform that manages reimbursements, and "&amp;"When I finally manage to have them I explain to them that I have not changed my slice, that every year I pay more, why I am so little reimbursed, the person answers me that I must call generation to see With my contract, because I did not choose a partner"&amp;" optician, suddenly she can not inform me, I recall generation but in the meantime the offices have closed.
I beg you to believe that tomorrow morning, I remind them and if I cannot find out properly, in stride, I will look for another mutual.
")</f>
        <v>During my last optical quote in September, the reimbursement is practically half compared to the reimbursement of my old glasses, I ask for explanations from the generation advisor, who tells me you must call the platform that manages reimbursements, and When I finally manage to have them I explain to them that I have not changed my slice, that every year I pay more, why I am so little reimbursed, the person answers me that I must call generation to see With my contract, because I did not choose a partner optician, suddenly she can not inform me, I recall generation but in the meantime the offices have closed.
I beg you to believe that tomorrow morning, I remind them and if I cannot find out properly, in stride, I will look for another mutual.
</v>
      </c>
    </row>
    <row r="82" ht="15.75" customHeight="1">
      <c r="A82" s="2">
        <v>3.0</v>
      </c>
      <c r="B82" s="2" t="s">
        <v>314</v>
      </c>
      <c r="C82" s="2" t="s">
        <v>315</v>
      </c>
      <c r="D82" s="2" t="s">
        <v>19</v>
      </c>
      <c r="E82" s="2" t="s">
        <v>20</v>
      </c>
      <c r="F82" s="2" t="s">
        <v>15</v>
      </c>
      <c r="G82" s="2" t="s">
        <v>316</v>
      </c>
      <c r="H82" s="2" t="s">
        <v>32</v>
      </c>
      <c r="I82" s="2" t="str">
        <f>IFERROR(__xludf.DUMMYFUNCTION("GOOGLETRANSLATE(C82,""fr"",""en"")"),"For now, everything is okay! No particular difficulty
The survey is far too long too much information request while we are in our space.")</f>
        <v>For now, everything is okay! No particular difficulty
The survey is far too long too much information request while we are in our space.</v>
      </c>
    </row>
    <row r="83" ht="15.75" customHeight="1">
      <c r="A83" s="2">
        <v>4.0</v>
      </c>
      <c r="B83" s="2" t="s">
        <v>317</v>
      </c>
      <c r="C83" s="2" t="s">
        <v>318</v>
      </c>
      <c r="D83" s="2" t="s">
        <v>56</v>
      </c>
      <c r="E83" s="2" t="s">
        <v>122</v>
      </c>
      <c r="F83" s="2" t="s">
        <v>15</v>
      </c>
      <c r="G83" s="2" t="s">
        <v>319</v>
      </c>
      <c r="H83" s="2" t="s">
        <v>21</v>
      </c>
      <c r="I83" s="2" t="str">
        <f>IFERROR(__xludf.DUMMYFUNCTION("GOOGLETRANSLATE(C83,""fr"",""en"")"),"A very big thank you to Pacifia for helping us in the various steps following a water damage. From care to work.")</f>
        <v>A very big thank you to Pacifia for helping us in the various steps following a water damage. From care to work.</v>
      </c>
    </row>
    <row r="84" ht="15.75" customHeight="1">
      <c r="A84" s="2">
        <v>1.0</v>
      </c>
      <c r="B84" s="2" t="s">
        <v>320</v>
      </c>
      <c r="C84" s="2" t="s">
        <v>321</v>
      </c>
      <c r="D84" s="2" t="s">
        <v>285</v>
      </c>
      <c r="E84" s="2" t="s">
        <v>20</v>
      </c>
      <c r="F84" s="2" t="s">
        <v>15</v>
      </c>
      <c r="G84" s="2" t="s">
        <v>322</v>
      </c>
      <c r="H84" s="2" t="s">
        <v>323</v>
      </c>
      <c r="I84" s="2" t="str">
        <f>IFERROR(__xludf.DUMMYFUNCTION("GOOGLETRANSLATE(C84,""fr"",""en"")"),"Hello,
Following the bad weather, I had to extend my day's vacation.
I met a person insured at the Macif on my vacation place in the same situation.
She informed me that the additional night was taken care of by the Macif as part of the assistance.
"&amp;"So I wanted to take advantage of this reimbursement except that the online person refused to take care, may he prefer to take care of an accident?
The Macif therefore practices an à la carte policy.
Customer for more than 15 years and without disaster f"&amp;"or a long time ..., I would not forget this point of detail for my next deadline in April.
Another insurance that assures you that in everything is fine. Ah yes the amount of extension € 86 of my stay, my annual subscription is +€ 1,200
")</f>
        <v>Hello,
Following the bad weather, I had to extend my day's vacation.
I met a person insured at the Macif on my vacation place in the same situation.
She informed me that the additional night was taken care of by the Macif as part of the assistance.
So I wanted to take advantage of this reimbursement except that the online person refused to take care, may he prefer to take care of an accident?
The Macif therefore practices an à la carte policy.
Customer for more than 15 years and without disaster for a long time ..., I would not forget this point of detail for my next deadline in April.
Another insurance that assures you that in everything is fine. Ah yes the amount of extension € 86 of my stay, my annual subscription is +€ 1,200
</v>
      </c>
    </row>
    <row r="85" ht="15.75" customHeight="1">
      <c r="A85" s="2">
        <v>1.0</v>
      </c>
      <c r="B85" s="2" t="s">
        <v>324</v>
      </c>
      <c r="C85" s="2" t="s">
        <v>325</v>
      </c>
      <c r="D85" s="2" t="s">
        <v>48</v>
      </c>
      <c r="E85" s="2" t="s">
        <v>14</v>
      </c>
      <c r="F85" s="2" t="s">
        <v>15</v>
      </c>
      <c r="G85" s="2" t="s">
        <v>147</v>
      </c>
      <c r="H85" s="2" t="s">
        <v>74</v>
      </c>
      <c r="I85" s="2" t="str">
        <f>IFERROR(__xludf.DUMMYFUNCTION("GOOGLETRANSLATE(C85,""fr"",""en"")"),"Hello, Insurance to flee absolutely. 2 years to have a return from them following an accident, 2 years during which my vehicle was immobilized while continuing to pay my contributions. Customer service is zero, people are capable of providing clear answer"&amp;"s, it is a tanned to have them on the phone, they are right there to collect contributions for zero service.
Privileged any other insurance, this cannot be worse")</f>
        <v>Hello, Insurance to flee absolutely. 2 years to have a return from them following an accident, 2 years during which my vehicle was immobilized while continuing to pay my contributions. Customer service is zero, people are capable of providing clear answers, it is a tanned to have them on the phone, they are right there to collect contributions for zero service.
Privileged any other insurance, this cannot be worse</v>
      </c>
    </row>
    <row r="86" ht="15.75" customHeight="1">
      <c r="A86" s="2">
        <v>5.0</v>
      </c>
      <c r="B86" s="2" t="s">
        <v>326</v>
      </c>
      <c r="C86" s="2" t="s">
        <v>327</v>
      </c>
      <c r="D86" s="2" t="s">
        <v>35</v>
      </c>
      <c r="E86" s="2" t="s">
        <v>20</v>
      </c>
      <c r="F86" s="2" t="s">
        <v>15</v>
      </c>
      <c r="G86" s="2" t="s">
        <v>328</v>
      </c>
      <c r="H86" s="2" t="s">
        <v>32</v>
      </c>
      <c r="I86" s="2" t="str">
        <f>IFERROR(__xludf.DUMMYFUNCTION("GOOGLETRANSLATE(C86,""fr"",""en"")"),"I am satisfied with the service
The price is correct
Customer service is good at listening to the insured
Nevertheless an application on mobile would tighten a big plus")</f>
        <v>I am satisfied with the service
The price is correct
Customer service is good at listening to the insured
Nevertheless an application on mobile would tighten a big plus</v>
      </c>
    </row>
    <row r="87" ht="15.75" customHeight="1">
      <c r="A87" s="2">
        <v>2.0</v>
      </c>
      <c r="B87" s="2" t="s">
        <v>329</v>
      </c>
      <c r="C87" s="2" t="s">
        <v>330</v>
      </c>
      <c r="D87" s="2" t="s">
        <v>100</v>
      </c>
      <c r="E87" s="2" t="s">
        <v>20</v>
      </c>
      <c r="F87" s="2" t="s">
        <v>15</v>
      </c>
      <c r="G87" s="2" t="s">
        <v>331</v>
      </c>
      <c r="H87" s="2" t="s">
        <v>332</v>
      </c>
      <c r="I87" s="2" t="str">
        <f>IFERROR(__xludf.DUMMYFUNCTION("GOOGLETRANSLATE(C87,""fr"",""en"")"),"Flee this insurance, I left them as soon as I could after a year!
Fortunately I didn't have a claim, I don't know what would have happened.
I did not receive my green card when I set my annual bonus, I am waiting for the reimbursement because I terminat"&amp;"ed them.
The internet link is ineffective, the telephone service, expensive, is responsible for taking maximum money as possible and not solving problems.")</f>
        <v>Flee this insurance, I left them as soon as I could after a year!
Fortunately I didn't have a claim, I don't know what would have happened.
I did not receive my green card when I set my annual bonus, I am waiting for the reimbursement because I terminated them.
The internet link is ineffective, the telephone service, expensive, is responsible for taking maximum money as possible and not solving problems.</v>
      </c>
    </row>
    <row r="88" ht="15.75" customHeight="1">
      <c r="A88" s="2">
        <v>1.0</v>
      </c>
      <c r="B88" s="2" t="s">
        <v>333</v>
      </c>
      <c r="C88" s="2" t="s">
        <v>334</v>
      </c>
      <c r="D88" s="2" t="s">
        <v>285</v>
      </c>
      <c r="E88" s="2" t="s">
        <v>135</v>
      </c>
      <c r="F88" s="2" t="s">
        <v>15</v>
      </c>
      <c r="G88" s="2" t="s">
        <v>211</v>
      </c>
      <c r="H88" s="2" t="s">
        <v>32</v>
      </c>
      <c r="I88" s="2" t="str">
        <f>IFERROR(__xludf.DUMMYFUNCTION("GOOGLETRANSLATE(C88,""fr"",""en"")"),"I am a non -resident (tax address in Germany).
Mutavie told me that he could no longer take my account from the BNP Paribas in France and pay funds to their account at Société Générale, this is what I did on April 25, 2021 by mentioning my account life b"&amp;"ooklet.
For this payment of € 50 of my account in Germany they demanded a RIB. This document does not exist in Germany or Spain where for all samples it is enough to send its IBAN and its BIC. I sent the opening letter of the German account mentioning hi"&amp;"s information but that does not seem sufficient to them.
Since April 30, I had two people from Mutavie on the phone and I sent them the multiple emails from which I send you a copy of the last.
To date, the 50 € are neither paid on my life booklet nor"&amp;" returned. In addition, since April 30 I have not received any response to my emails or the reception accused mention ""response within two working days"".
And to say that this life insurance has received the best customer service award for 2021: an aber"&amp;"ration ....
""For the attention of Mr. Sebastien B.
 Despite our telephone interview of April 30, 2021 and to my two emails by the customer area of ​​which I received three confirmations I did not hear from Mutavie. I therefore ask you: 1) to turn aroun"&amp;"d 50 € on my German account, which you have the contact details 2) to set up the samples from my BNP Paribas account for future payment. I finally hope to hear from you. Sincerely, Michel U. ""
")</f>
        <v>I am a non -resident (tax address in Germany).
Mutavie told me that he could no longer take my account from the BNP Paribas in France and pay funds to their account at Société Générale, this is what I did on April 25, 2021 by mentioning my account life booklet.
For this payment of € 50 of my account in Germany they demanded a RIB. This document does not exist in Germany or Spain where for all samples it is enough to send its IBAN and its BIC. I sent the opening letter of the German account mentioning his information but that does not seem sufficient to them.
Since April 30, I had two people from Mutavie on the phone and I sent them the multiple emails from which I send you a copy of the last.
To date, the 50 € are neither paid on my life booklet nor returned. In addition, since April 30 I have not received any response to my emails or the reception accused mention "response within two working days".
And to say that this life insurance has received the best customer service award for 2021: an aberration ....
"For the attention of Mr. Sebastien B.
 Despite our telephone interview of April 30, 2021 and to my two emails by the customer area of ​​which I received three confirmations I did not hear from Mutavie. I therefore ask you: 1) to turn around 50 € on my German account, which you have the contact details 2) to set up the samples from my BNP Paribas account for future payment. I finally hope to hear from you. Sincerely, Michel U. "
</v>
      </c>
    </row>
    <row r="89" ht="15.75" customHeight="1">
      <c r="A89" s="2">
        <v>1.0</v>
      </c>
      <c r="B89" s="2" t="s">
        <v>335</v>
      </c>
      <c r="C89" s="2" t="s">
        <v>336</v>
      </c>
      <c r="D89" s="2" t="s">
        <v>337</v>
      </c>
      <c r="E89" s="2" t="s">
        <v>122</v>
      </c>
      <c r="F89" s="2" t="s">
        <v>15</v>
      </c>
      <c r="G89" s="2" t="s">
        <v>338</v>
      </c>
      <c r="H89" s="2" t="s">
        <v>256</v>
      </c>
      <c r="I89" s="2" t="str">
        <f>IFERROR(__xludf.DUMMYFUNCTION("GOOGLETRANSLATE(C89,""fr"",""en"")"),"Regarding Maif:
I will change because it is more expensive than elsewhere, Matmut for example, for the same guarantees.
And I do not agree for an immediate formal notice for a small (forgetting) payment of the annual subscription, in addition there are "&amp;"costs which are added. When I do you have to reimburse you, do the customer are due to the costs due to the prejudices of delay in reimbursement ??? !!")</f>
        <v>Regarding Maif:
I will change because it is more expensive than elsewhere, Matmut for example, for the same guarantees.
And I do not agree for an immediate formal notice for a small (forgetting) payment of the annual subscription, in addition there are costs which are added. When I do you have to reimburse you, do the customer are due to the costs due to the prejudices of delay in reimbursement ??? !!</v>
      </c>
    </row>
    <row r="90" ht="15.75" customHeight="1">
      <c r="A90" s="2">
        <v>5.0</v>
      </c>
      <c r="B90" s="2" t="s">
        <v>339</v>
      </c>
      <c r="C90" s="2" t="s">
        <v>340</v>
      </c>
      <c r="D90" s="2" t="s">
        <v>171</v>
      </c>
      <c r="E90" s="2" t="s">
        <v>14</v>
      </c>
      <c r="F90" s="2" t="s">
        <v>15</v>
      </c>
      <c r="G90" s="2" t="s">
        <v>341</v>
      </c>
      <c r="H90" s="2" t="s">
        <v>45</v>
      </c>
      <c r="I90" s="2" t="str">
        <f>IFERROR(__xludf.DUMMYFUNCTION("GOOGLETRANSLATE(C90,""fr"",""en"")"),"Very fast and suitable!
I also recommend this insurance for the price and the guarantees.
Easy to access, the site is ergonomic and practical. To have...")</f>
        <v>Very fast and suitable!
I also recommend this insurance for the price and the guarantees.
Easy to access, the site is ergonomic and practical. To have...</v>
      </c>
    </row>
    <row r="91" ht="15.75" customHeight="1">
      <c r="A91" s="2">
        <v>1.0</v>
      </c>
      <c r="B91" s="2" t="s">
        <v>342</v>
      </c>
      <c r="C91" s="2" t="s">
        <v>343</v>
      </c>
      <c r="D91" s="2" t="s">
        <v>35</v>
      </c>
      <c r="E91" s="2" t="s">
        <v>20</v>
      </c>
      <c r="F91" s="2" t="s">
        <v>15</v>
      </c>
      <c r="G91" s="2" t="s">
        <v>92</v>
      </c>
      <c r="H91" s="2" t="s">
        <v>92</v>
      </c>
      <c r="I91" s="2" t="str">
        <f>IFERROR(__xludf.DUMMYFUNCTION("GOOGLETRANSLATE(C91,""fr"",""en"")"),"After accepting the quote, paid in advance a poundy sum, the insurance allows itself to increase my subscription under the pretext of an accident where I was not in wrong!
Flee this unworthy confidence insurance.")</f>
        <v>After accepting the quote, paid in advance a poundy sum, the insurance allows itself to increase my subscription under the pretext of an accident where I was not in wrong!
Flee this unworthy confidence insurance.</v>
      </c>
    </row>
    <row r="92" ht="15.75" customHeight="1">
      <c r="A92" s="2">
        <v>1.0</v>
      </c>
      <c r="B92" s="2" t="s">
        <v>344</v>
      </c>
      <c r="C92" s="2" t="s">
        <v>345</v>
      </c>
      <c r="D92" s="2" t="s">
        <v>134</v>
      </c>
      <c r="E92" s="2" t="s">
        <v>135</v>
      </c>
      <c r="F92" s="2" t="s">
        <v>15</v>
      </c>
      <c r="G92" s="2" t="s">
        <v>346</v>
      </c>
      <c r="H92" s="2" t="s">
        <v>347</v>
      </c>
      <c r="I92" s="2" t="str">
        <f>IFERROR(__xludf.DUMMYFUNCTION("GOOGLETRANSLATE(C92,""fr"",""en"")"),"Like all the others, awaiting the payment of the funds following the death of my dad, no news. No one responds to the succession service, and the reception oscillates between people taking us from high or those who do not know. To flee, our loved ones mus"&amp;"t turn around in their grave ... It is high time that the authorities get involved because it is lamentable. For my part, I claim the interests of delay and hopes that my recommended will have at least an impact because while waiting for the emails remain"&amp;" unanswered and I find myself paying costs alone.")</f>
        <v>Like all the others, awaiting the payment of the funds following the death of my dad, no news. No one responds to the succession service, and the reception oscillates between people taking us from high or those who do not know. To flee, our loved ones must turn around in their grave ... It is high time that the authorities get involved because it is lamentable. For my part, I claim the interests of delay and hopes that my recommended will have at least an impact because while waiting for the emails remain unanswered and I find myself paying costs alone.</v>
      </c>
    </row>
    <row r="93" ht="15.75" customHeight="1">
      <c r="A93" s="2">
        <v>5.0</v>
      </c>
      <c r="B93" s="2" t="s">
        <v>348</v>
      </c>
      <c r="C93" s="2" t="s">
        <v>349</v>
      </c>
      <c r="D93" s="2" t="s">
        <v>350</v>
      </c>
      <c r="E93" s="2" t="s">
        <v>61</v>
      </c>
      <c r="F93" s="2" t="s">
        <v>15</v>
      </c>
      <c r="G93" s="2" t="s">
        <v>351</v>
      </c>
      <c r="H93" s="2" t="s">
        <v>131</v>
      </c>
      <c r="I93" s="2" t="str">
        <f>IFERROR(__xludf.DUMMYFUNCTION("GOOGLETRANSLATE(C93,""fr"",""en"")"),"I am satisfied with the service and the quality of your services, which are all very interesting and attractive.
The proposals are good and complete. The explanations are very clear and simple.")</f>
        <v>I am satisfied with the service and the quality of your services, which are all very interesting and attractive.
The proposals are good and complete. The explanations are very clear and simple.</v>
      </c>
    </row>
    <row r="94" ht="15.75" customHeight="1">
      <c r="A94" s="2">
        <v>4.0</v>
      </c>
      <c r="B94" s="2" t="s">
        <v>352</v>
      </c>
      <c r="C94" s="2" t="s">
        <v>353</v>
      </c>
      <c r="D94" s="2" t="s">
        <v>19</v>
      </c>
      <c r="E94" s="2" t="s">
        <v>20</v>
      </c>
      <c r="F94" s="2" t="s">
        <v>15</v>
      </c>
      <c r="G94" s="2" t="s">
        <v>354</v>
      </c>
      <c r="H94" s="2" t="s">
        <v>45</v>
      </c>
      <c r="I94" s="2" t="str">
        <f>IFERROR(__xludf.DUMMYFUNCTION("GOOGLETRANSLATE(C94,""fr"",""en"")"),"I am satisfied with the service, quick response to the phone and response adapted to the issues posed.
The steps to be taken after my call have been well explained.")</f>
        <v>I am satisfied with the service, quick response to the phone and response adapted to the issues posed.
The steps to be taken after my call have been well explained.</v>
      </c>
    </row>
    <row r="95" ht="15.75" customHeight="1">
      <c r="A95" s="2">
        <v>1.0</v>
      </c>
      <c r="B95" s="2" t="s">
        <v>355</v>
      </c>
      <c r="C95" s="2" t="s">
        <v>356</v>
      </c>
      <c r="D95" s="2" t="s">
        <v>337</v>
      </c>
      <c r="E95" s="2" t="s">
        <v>20</v>
      </c>
      <c r="F95" s="2" t="s">
        <v>15</v>
      </c>
      <c r="G95" s="2" t="s">
        <v>357</v>
      </c>
      <c r="H95" s="2" t="s">
        <v>287</v>
      </c>
      <c r="I95" s="2" t="str">
        <f>IFERROR(__xludf.DUMMYFUNCTION("GOOGLETRANSLATE(C95,""fr"",""en"")"),"Insurer who built its reputation on activism. But all of this is only COM for the conquest of new customers. Insurer more expensive than the average, can be reactive, with lingering claims times than the average and with uncontertised refusal of care. Una"&amp;"ble to reach them on the phone (so much to take an insurer from a distance).
The products are exceeded and not very covering, and the staff low -skilled due to the multitude of products they have to manage (insurance of goods, people, credits, etc.)")</f>
        <v>Insurer who built its reputation on activism. But all of this is only COM for the conquest of new customers. Insurer more expensive than the average, can be reactive, with lingering claims times than the average and with uncontertised refusal of care. Unable to reach them on the phone (so much to take an insurer from a distance).
The products are exceeded and not very covering, and the staff low -skilled due to the multitude of products they have to manage (insurance of goods, people, credits, etc.)</v>
      </c>
    </row>
    <row r="96" ht="15.75" customHeight="1">
      <c r="A96" s="2">
        <v>1.0</v>
      </c>
      <c r="B96" s="2" t="s">
        <v>358</v>
      </c>
      <c r="C96" s="2" t="s">
        <v>359</v>
      </c>
      <c r="D96" s="2" t="s">
        <v>350</v>
      </c>
      <c r="E96" s="2" t="s">
        <v>61</v>
      </c>
      <c r="F96" s="2" t="s">
        <v>15</v>
      </c>
      <c r="G96" s="2" t="s">
        <v>360</v>
      </c>
      <c r="H96" s="2" t="s">
        <v>50</v>
      </c>
      <c r="I96" s="2" t="str">
        <f>IFERROR(__xludf.DUMMYFUNCTION("GOOGLETRANSLATE(C96,""fr"",""en"")"),"Everything is fine if you don't cost them anything otherwise they are looking for the slightest excuse to harm you for degraded technical results and are then perfect bad faith")</f>
        <v>Everything is fine if you don't cost them anything otherwise they are looking for the slightest excuse to harm you for degraded technical results and are then perfect bad faith</v>
      </c>
    </row>
    <row r="97" ht="15.75" customHeight="1">
      <c r="A97" s="2">
        <v>5.0</v>
      </c>
      <c r="B97" s="2" t="s">
        <v>361</v>
      </c>
      <c r="C97" s="2" t="s">
        <v>362</v>
      </c>
      <c r="D97" s="2" t="s">
        <v>35</v>
      </c>
      <c r="E97" s="2" t="s">
        <v>20</v>
      </c>
      <c r="F97" s="2" t="s">
        <v>15</v>
      </c>
      <c r="G97" s="2" t="s">
        <v>363</v>
      </c>
      <c r="H97" s="2" t="s">
        <v>131</v>
      </c>
      <c r="I97" s="2" t="str">
        <f>IFERROR(__xludf.DUMMYFUNCTION("GOOGLETRANSLATE(C97,""fr"",""en"")"),"Completely satisfied, the person who took care of my file was really listening to what I wanted, she was able to find out about the email which was a mistake")</f>
        <v>Completely satisfied, the person who took care of my file was really listening to what I wanted, she was able to find out about the email which was a mistake</v>
      </c>
    </row>
    <row r="98" ht="15.75" customHeight="1">
      <c r="A98" s="2">
        <v>1.0</v>
      </c>
      <c r="B98" s="2" t="s">
        <v>364</v>
      </c>
      <c r="C98" s="2" t="s">
        <v>365</v>
      </c>
      <c r="D98" s="2" t="s">
        <v>366</v>
      </c>
      <c r="E98" s="2" t="s">
        <v>367</v>
      </c>
      <c r="F98" s="2" t="s">
        <v>15</v>
      </c>
      <c r="G98" s="2" t="s">
        <v>368</v>
      </c>
      <c r="H98" s="2" t="s">
        <v>45</v>
      </c>
      <c r="I98" s="2" t="str">
        <f>IFERROR(__xludf.DUMMYFUNCTION("GOOGLETRANSLATE(C98,""fr"",""en"")"),"If you like to spend your time listening to telephone waiting music, it's good insurance! I've been waiting for the transfer of my compensation for two months, each time I call (2/3 times a week) I have a minimum of 20 minutes of waiting and no matter the"&amp;" advisor who will answer me, he will look My business and will tell me that he must study it and remind me. Of 11 advised none reminded me. There are even some who do not bother to break my head, he put me on hold and after a few minutes hang up! It is th"&amp;"e worst of all the insurance that I have known and surely the worst of all those who exist! If you are not yet a customer there, fuez!")</f>
        <v>If you like to spend your time listening to telephone waiting music, it's good insurance! I've been waiting for the transfer of my compensation for two months, each time I call (2/3 times a week) I have a minimum of 20 minutes of waiting and no matter the advisor who will answer me, he will look My business and will tell me that he must study it and remind me. Of 11 advised none reminded me. There are even some who do not bother to break my head, he put me on hold and after a few minutes hang up! It is the worst of all the insurance that I have known and surely the worst of all those who exist! If you are not yet a customer there, fuez!</v>
      </c>
    </row>
    <row r="99" ht="15.75" customHeight="1">
      <c r="A99" s="2">
        <v>4.0</v>
      </c>
      <c r="B99" s="2" t="s">
        <v>369</v>
      </c>
      <c r="C99" s="2" t="s">
        <v>370</v>
      </c>
      <c r="D99" s="2" t="s">
        <v>19</v>
      </c>
      <c r="E99" s="2" t="s">
        <v>20</v>
      </c>
      <c r="F99" s="2" t="s">
        <v>15</v>
      </c>
      <c r="G99" s="2" t="s">
        <v>371</v>
      </c>
      <c r="H99" s="2" t="s">
        <v>108</v>
      </c>
      <c r="I99" s="2" t="str">
        <f>IFERROR(__xludf.DUMMYFUNCTION("GOOGLETRANSLATE(C99,""fr"",""en"")"),"I am satisfied with the service, the prices are attractive I am satisfied with the service, the prices are attractive I am satisfied with the service, the prices are attractive")</f>
        <v>I am satisfied with the service, the prices are attractive I am satisfied with the service, the prices are attractive I am satisfied with the service, the prices are attractive</v>
      </c>
    </row>
    <row r="100" ht="15.75" customHeight="1">
      <c r="A100" s="2">
        <v>1.0</v>
      </c>
      <c r="B100" s="2" t="s">
        <v>372</v>
      </c>
      <c r="C100" s="2" t="s">
        <v>373</v>
      </c>
      <c r="D100" s="2" t="s">
        <v>374</v>
      </c>
      <c r="E100" s="2" t="s">
        <v>14</v>
      </c>
      <c r="F100" s="2" t="s">
        <v>15</v>
      </c>
      <c r="G100" s="2" t="s">
        <v>375</v>
      </c>
      <c r="H100" s="2" t="s">
        <v>97</v>
      </c>
      <c r="I100" s="2" t="str">
        <f>IFERROR(__xludf.DUMMYFUNCTION("GOOGLETRANSLATE(C100,""fr"",""en"")"),"Insured for 15 years at Euro-Assurance (without any accident) to realize that their price has increased despite the age of my motorcycle and my bonus and undergo the worst difficulties to terminate (but no sir we did not Not received your termination, but"&amp;" no this is not the right address, etc.). To flee.")</f>
        <v>Insured for 15 years at Euro-Assurance (without any accident) to realize that their price has increased despite the age of my motorcycle and my bonus and undergo the worst difficulties to terminate (but no sir we did not Not received your termination, but no this is not the right address, etc.). To flee.</v>
      </c>
    </row>
    <row r="101" ht="15.75" customHeight="1">
      <c r="A101" s="2">
        <v>1.0</v>
      </c>
      <c r="B101" s="2" t="s">
        <v>376</v>
      </c>
      <c r="C101" s="2" t="s">
        <v>377</v>
      </c>
      <c r="D101" s="2" t="s">
        <v>378</v>
      </c>
      <c r="E101" s="2" t="s">
        <v>61</v>
      </c>
      <c r="F101" s="2" t="s">
        <v>15</v>
      </c>
      <c r="G101" s="2" t="s">
        <v>379</v>
      </c>
      <c r="H101" s="2" t="s">
        <v>251</v>
      </c>
      <c r="I101" s="2" t="str">
        <f>IFERROR(__xludf.DUMMYFUNCTION("GOOGLETRANSLATE(C101,""fr"",""en"")"),"I advise you to avoid this mutual insurance company, it has been weeks that I send the documents I call by phone, sometimes the advisor promises to recall and each time he asks me for documents that I already sent ... he put me in a big hassle because tre"&amp;"atments of 1700 euros eats all the salary and I continue to struggle ... in short, bravo harmony!")</f>
        <v>I advise you to avoid this mutual insurance company, it has been weeks that I send the documents I call by phone, sometimes the advisor promises to recall and each time he asks me for documents that I already sent ... he put me in a big hassle because treatments of 1700 euros eats all the salary and I continue to struggle ... in short, bravo harmony!</v>
      </c>
    </row>
    <row r="102" ht="15.75" customHeight="1">
      <c r="A102" s="2">
        <v>1.0</v>
      </c>
      <c r="B102" s="2" t="s">
        <v>380</v>
      </c>
      <c r="C102" s="2" t="s">
        <v>381</v>
      </c>
      <c r="D102" s="2" t="s">
        <v>24</v>
      </c>
      <c r="E102" s="2" t="s">
        <v>20</v>
      </c>
      <c r="F102" s="2" t="s">
        <v>15</v>
      </c>
      <c r="G102" s="2" t="s">
        <v>382</v>
      </c>
      <c r="H102" s="2" t="s">
        <v>127</v>
      </c>
      <c r="I102" s="2" t="str">
        <f>IFERROR(__xludf.DUMMYFUNCTION("GOOGLETRANSLATE(C102,""fr"",""en"")"),"The insurance price increases every year while the car is watching !!!!!!!!!!!!!!!!!!!!!!!!!!!!!!!!!! !!!!!!!!!!!!!!!")</f>
        <v>The insurance price increases every year while the car is watching !!!!!!!!!!!!!!!!!!!!!!!!!!!!!!!!!! !!!!!!!!!!!!!!!</v>
      </c>
    </row>
    <row r="103" ht="15.75" customHeight="1">
      <c r="A103" s="2">
        <v>2.0</v>
      </c>
      <c r="B103" s="2" t="s">
        <v>383</v>
      </c>
      <c r="C103" s="2" t="s">
        <v>384</v>
      </c>
      <c r="D103" s="2" t="s">
        <v>285</v>
      </c>
      <c r="E103" s="2" t="s">
        <v>14</v>
      </c>
      <c r="F103" s="2" t="s">
        <v>15</v>
      </c>
      <c r="G103" s="2" t="s">
        <v>385</v>
      </c>
      <c r="H103" s="2" t="s">
        <v>92</v>
      </c>
      <c r="I103" s="2" t="str">
        <f>IFERROR(__xludf.DUMMYFUNCTION("GOOGLETRANSLATE(C103,""fr"",""en"")"),"Hello
I do not recommend this insurance, which undergoes another company in the event of a claim to manage the file =&gt; Document requested in doubles, procedural complexity, returns a ball between Macif and under dealing (Créativ'Sud)
The worst part, o"&amp;"nce he decides to reimburse you, more than 8 days between the transfer and the reception of your reimbursement.
I strongly advise against this mutual improperly managed by the policy of managers
thank you for your attention")</f>
        <v>Hello
I do not recommend this insurance, which undergoes another company in the event of a claim to manage the file =&gt; Document requested in doubles, procedural complexity, returns a ball between Macif and under dealing (Créativ'Sud)
The worst part, once he decides to reimburse you, more than 8 days between the transfer and the reception of your reimbursement.
I strongly advise against this mutual improperly managed by the policy of managers
thank you for your attention</v>
      </c>
    </row>
    <row r="104" ht="15.75" customHeight="1">
      <c r="A104" s="2">
        <v>1.0</v>
      </c>
      <c r="B104" s="2" t="s">
        <v>386</v>
      </c>
      <c r="C104" s="2" t="s">
        <v>387</v>
      </c>
      <c r="D104" s="2" t="s">
        <v>245</v>
      </c>
      <c r="E104" s="2" t="s">
        <v>61</v>
      </c>
      <c r="F104" s="2" t="s">
        <v>15</v>
      </c>
      <c r="G104" s="2" t="s">
        <v>388</v>
      </c>
      <c r="H104" s="2" t="s">
        <v>63</v>
      </c>
      <c r="I104" s="2" t="str">
        <f>IFERROR(__xludf.DUMMYFUNCTION("GOOGLETRANSLATE(C104,""fr"",""en"")"),"Following an unjustified rate increase, I wanted to terminate Santiane. My big surprise I see that this company makes the greatest difficulties in accepting the termination. Still time !!!")</f>
        <v>Following an unjustified rate increase, I wanted to terminate Santiane. My big surprise I see that this company makes the greatest difficulties in accepting the termination. Still time !!!</v>
      </c>
    </row>
    <row r="105" ht="15.75" customHeight="1">
      <c r="A105" s="2">
        <v>2.0</v>
      </c>
      <c r="B105" s="2" t="s">
        <v>389</v>
      </c>
      <c r="C105" s="2" t="s">
        <v>390</v>
      </c>
      <c r="D105" s="2" t="s">
        <v>19</v>
      </c>
      <c r="E105" s="2" t="s">
        <v>20</v>
      </c>
      <c r="F105" s="2" t="s">
        <v>15</v>
      </c>
      <c r="G105" s="2" t="s">
        <v>391</v>
      </c>
      <c r="H105" s="2" t="s">
        <v>108</v>
      </c>
      <c r="I105" s="2" t="str">
        <f>IFERROR(__xludf.DUMMYFUNCTION("GOOGLETRANSLATE(C105,""fr"",""en"")"),"Taken in the floods, torrent of water and deluge this Tuesday, September 14, 2021 in the Gard, a vehicle with ESE were swept from the left on my right back, touching my hood (above, right) with His was, to go plant in the decor. I phone Direct Assurance t"&amp;"o report this event to them after having noticed that the deaf noise of the shock, corresponded to a trace on my hood, making the rear telescope of this hood ... Unacceptable response: ""It is a Too bad all accidents ""and not taken into account in natura"&amp;"l disaster! The franchise is obviously not absolutely the same, and it is scandalous. So I will put them in court.")</f>
        <v>Taken in the floods, torrent of water and deluge this Tuesday, September 14, 2021 in the Gard, a vehicle with ESE were swept from the left on my right back, touching my hood (above, right) with His was, to go plant in the decor. I phone Direct Assurance to report this event to them after having noticed that the deaf noise of the shock, corresponded to a trace on my hood, making the rear telescope of this hood ... Unacceptable response: "It is a Too bad all accidents "and not taken into account in natural disaster! The franchise is obviously not absolutely the same, and it is scandalous. So I will put them in court.</v>
      </c>
    </row>
    <row r="106" ht="15.75" customHeight="1">
      <c r="A106" s="2">
        <v>4.0</v>
      </c>
      <c r="B106" s="2" t="s">
        <v>392</v>
      </c>
      <c r="C106" s="2" t="s">
        <v>393</v>
      </c>
      <c r="D106" s="2" t="s">
        <v>193</v>
      </c>
      <c r="E106" s="2" t="s">
        <v>20</v>
      </c>
      <c r="F106" s="2" t="s">
        <v>15</v>
      </c>
      <c r="G106" s="2" t="s">
        <v>394</v>
      </c>
      <c r="H106" s="2" t="s">
        <v>395</v>
      </c>
      <c r="I106" s="2" t="str">
        <f>IFERROR(__xludf.DUMMYFUNCTION("GOOGLETRANSLATE(C106,""fr"",""en"")"),"We are in Matmut, Vesoul agency, we are very satisfied with customer service. Always well informed and advised.")</f>
        <v>We are in Matmut, Vesoul agency, we are very satisfied with customer service. Always well informed and advised.</v>
      </c>
    </row>
    <row r="107" ht="15.75" customHeight="1">
      <c r="A107" s="2">
        <v>3.0</v>
      </c>
      <c r="B107" s="2" t="s">
        <v>396</v>
      </c>
      <c r="C107" s="2" t="s">
        <v>397</v>
      </c>
      <c r="D107" s="2" t="s">
        <v>19</v>
      </c>
      <c r="E107" s="2" t="s">
        <v>20</v>
      </c>
      <c r="F107" s="2" t="s">
        <v>15</v>
      </c>
      <c r="G107" s="2" t="s">
        <v>398</v>
      </c>
      <c r="H107" s="2" t="s">
        <v>164</v>
      </c>
      <c r="I107" s="2" t="str">
        <f>IFERROR(__xludf.DUMMYFUNCTION("GOOGLETRANSLATE(C107,""fr"",""en"")"),"To see I'm just starting to see how it goes if the prices are fixed or if there will be evolution on it especially to see if the insurances are really as good as what we read")</f>
        <v>To see I'm just starting to see how it goes if the prices are fixed or if there will be evolution on it especially to see if the insurances are really as good as what we read</v>
      </c>
    </row>
    <row r="108" ht="15.75" customHeight="1">
      <c r="A108" s="2">
        <v>3.0</v>
      </c>
      <c r="B108" s="2" t="s">
        <v>399</v>
      </c>
      <c r="C108" s="2" t="s">
        <v>400</v>
      </c>
      <c r="D108" s="2" t="s">
        <v>19</v>
      </c>
      <c r="E108" s="2" t="s">
        <v>20</v>
      </c>
      <c r="F108" s="2" t="s">
        <v>15</v>
      </c>
      <c r="G108" s="2" t="s">
        <v>36</v>
      </c>
      <c r="H108" s="2" t="s">
        <v>32</v>
      </c>
      <c r="I108" s="2" t="str">
        <f>IFERROR(__xludf.DUMMYFUNCTION("GOOGLETRANSLATE(C108,""fr"",""en"")"),"Insatisted on the fact that I pay a ""Serenite Pack"" option every month but which obliges to choose one of your garages in case of repairs, but as for the body I only take it to my dealer ... from the Blow I do not have a loan vehicle book with me by you"&amp;"r care ... Too bad")</f>
        <v>Insatisted on the fact that I pay a "Serenite Pack" option every month but which obliges to choose one of your garages in case of repairs, but as for the body I only take it to my dealer ... from the Blow I do not have a loan vehicle book with me by your care ... Too bad</v>
      </c>
    </row>
    <row r="109" ht="15.75" customHeight="1">
      <c r="A109" s="2">
        <v>1.0</v>
      </c>
      <c r="B109" s="2" t="s">
        <v>401</v>
      </c>
      <c r="C109" s="2" t="s">
        <v>402</v>
      </c>
      <c r="D109" s="2" t="s">
        <v>60</v>
      </c>
      <c r="E109" s="2" t="s">
        <v>61</v>
      </c>
      <c r="F109" s="2" t="s">
        <v>15</v>
      </c>
      <c r="G109" s="2" t="s">
        <v>403</v>
      </c>
      <c r="H109" s="2" t="s">
        <v>131</v>
      </c>
      <c r="I109" s="2" t="str">
        <f>IFERROR(__xludf.DUMMYFUNCTION("GOOGLETRANSLATE(C109,""fr"",""en"")"),"My husband was a hospital practitioner he contracted the appearance to be better reimbursed and also for the promises of security… .. given after his death prematurely and following his advice I continued with them but the rules have changed, for all this"&amp;" Who was reimbursed is no longer. Without I pay € 230 per month for my two children and I, I am disappointed, as if the loss of a husband is not enough it is also necessary to face problems like this")</f>
        <v>My husband was a hospital practitioner he contracted the appearance to be better reimbursed and also for the promises of security… .. given after his death prematurely and following his advice I continued with them but the rules have changed, for all this Who was reimbursed is no longer. Without I pay € 230 per month for my two children and I, I am disappointed, as if the loss of a husband is not enough it is also necessary to face problems like this</v>
      </c>
    </row>
    <row r="110" ht="15.75" customHeight="1">
      <c r="A110" s="2">
        <v>3.0</v>
      </c>
      <c r="B110" s="2" t="s">
        <v>404</v>
      </c>
      <c r="C110" s="2" t="s">
        <v>405</v>
      </c>
      <c r="D110" s="2" t="s">
        <v>19</v>
      </c>
      <c r="E110" s="2" t="s">
        <v>20</v>
      </c>
      <c r="F110" s="2" t="s">
        <v>15</v>
      </c>
      <c r="G110" s="2" t="s">
        <v>406</v>
      </c>
      <c r="H110" s="2" t="s">
        <v>21</v>
      </c>
      <c r="I110" s="2" t="str">
        <f>IFERROR(__xludf.DUMMYFUNCTION("GOOGLETRANSLATE(C110,""fr"",""en"")"),"Satisfied except when there is an increase in prices. Prices are still low and accessible. I am overall satisfied with prices and service.")</f>
        <v>Satisfied except when there is an increase in prices. Prices are still low and accessible. I am overall satisfied with prices and service.</v>
      </c>
    </row>
    <row r="111" ht="15.75" customHeight="1">
      <c r="A111" s="2">
        <v>5.0</v>
      </c>
      <c r="B111" s="2" t="s">
        <v>407</v>
      </c>
      <c r="C111" s="2" t="s">
        <v>408</v>
      </c>
      <c r="D111" s="2" t="s">
        <v>19</v>
      </c>
      <c r="E111" s="2" t="s">
        <v>20</v>
      </c>
      <c r="F111" s="2" t="s">
        <v>15</v>
      </c>
      <c r="G111" s="2" t="s">
        <v>409</v>
      </c>
      <c r="H111" s="2" t="s">
        <v>108</v>
      </c>
      <c r="I111" s="2" t="str">
        <f>IFERROR(__xludf.DUMMYFUNCTION("GOOGLETRANSLATE(C111,""fr"",""en"")"),"Satisfaction of your insurance and your website service which is easy to use thank you again pending, please receive the expression of my greetings cordially")</f>
        <v>Satisfaction of your insurance and your website service which is easy to use thank you again pending, please receive the expression of my greetings cordially</v>
      </c>
    </row>
    <row r="112" ht="15.75" customHeight="1">
      <c r="A112" s="2">
        <v>2.0</v>
      </c>
      <c r="B112" s="2" t="s">
        <v>410</v>
      </c>
      <c r="C112" s="2" t="s">
        <v>411</v>
      </c>
      <c r="D112" s="2" t="s">
        <v>19</v>
      </c>
      <c r="E112" s="2" t="s">
        <v>20</v>
      </c>
      <c r="F112" s="2" t="s">
        <v>15</v>
      </c>
      <c r="G112" s="2" t="s">
        <v>412</v>
      </c>
      <c r="H112" s="2" t="s">
        <v>179</v>
      </c>
      <c r="I112" s="2" t="str">
        <f>IFERROR(__xludf.DUMMYFUNCTION("GOOGLETRANSLATE(C112,""fr"",""en"")"),"Easy to create quote but I am not satisfied with the price, other insurer its most competitive in terms of this quote. I am still hesitant to validate my request")</f>
        <v>Easy to create quote but I am not satisfied with the price, other insurer its most competitive in terms of this quote. I am still hesitant to validate my request</v>
      </c>
    </row>
    <row r="113" ht="15.75" customHeight="1">
      <c r="A113" s="2">
        <v>2.0</v>
      </c>
      <c r="B113" s="2" t="s">
        <v>413</v>
      </c>
      <c r="C113" s="2" t="s">
        <v>414</v>
      </c>
      <c r="D113" s="2" t="s">
        <v>100</v>
      </c>
      <c r="E113" s="2" t="s">
        <v>20</v>
      </c>
      <c r="F113" s="2" t="s">
        <v>15</v>
      </c>
      <c r="G113" s="2" t="s">
        <v>415</v>
      </c>
      <c r="H113" s="2" t="s">
        <v>416</v>
      </c>
      <c r="I113" s="2" t="str">
        <f>IFERROR(__xludf.DUMMYFUNCTION("GOOGLETRANSLATE(C113,""fr"",""en"")"),"Avoid especially do not make sure at Active Insurance Better to pay a little more expensive elsewhere and be quiet. I have been there for 2 months and despite telephone reminders I still have not received my green card I am therefore in an inadmissible of"&amp;"fense. .Themement they are the ones we terminate my old insurance and I should have done it myself they were wrong on the date and I have the first month to pay two insurance the old and active ..... we really wonder With them if we will be taken care of "&amp;"correctly and without problem if I happened to have a disaster ... During my calls I sometimes came across people who barely understood French I was forced to spell what I said incredible But true ..... I really regret being insured with them and now I wi"&amp;"ll do everything to leave either while waiting patiently that a year flows while praying to having no claim or I planned to resell my vehicle and D take some Another to get rid of this burden .... I assure you that all this is real and that it is in no wa"&amp;"y speculation .....")</f>
        <v>Avoid especially do not make sure at Active Insurance Better to pay a little more expensive elsewhere and be quiet. I have been there for 2 months and despite telephone reminders I still have not received my green card I am therefore in an inadmissible offense. .Themement they are the ones we terminate my old insurance and I should have done it myself they were wrong on the date and I have the first month to pay two insurance the old and active ..... we really wonder With them if we will be taken care of correctly and without problem if I happened to have a disaster ... During my calls I sometimes came across people who barely understood French I was forced to spell what I said incredible But true ..... I really regret being insured with them and now I will do everything to leave either while waiting patiently that a year flows while praying to having no claim or I planned to resell my vehicle and D take some Another to get rid of this burden .... I assure you that all this is real and that it is in no way speculation .....</v>
      </c>
    </row>
    <row r="114" ht="15.75" customHeight="1">
      <c r="A114" s="2">
        <v>4.0</v>
      </c>
      <c r="B114" s="2" t="s">
        <v>417</v>
      </c>
      <c r="C114" s="2" t="s">
        <v>418</v>
      </c>
      <c r="D114" s="2" t="s">
        <v>86</v>
      </c>
      <c r="E114" s="2" t="s">
        <v>61</v>
      </c>
      <c r="F114" s="2" t="s">
        <v>15</v>
      </c>
      <c r="G114" s="2" t="s">
        <v>266</v>
      </c>
      <c r="H114" s="2" t="s">
        <v>131</v>
      </c>
      <c r="I114" s="2" t="str">
        <f>IFERROR(__xludf.DUMMYFUNCTION("GOOGLETRANSLATE(C114,""fr"",""en"")"),"Very sympathetic correspondent and qualify, quick response to my request to take charge of exceeding fees. The person on the phone has informed me, and act accordingly to meet my request quickly.")</f>
        <v>Very sympathetic correspondent and qualify, quick response to my request to take charge of exceeding fees. The person on the phone has informed me, and act accordingly to meet my request quickly.</v>
      </c>
    </row>
    <row r="115" ht="15.75" customHeight="1">
      <c r="A115" s="2">
        <v>1.0</v>
      </c>
      <c r="B115" s="2" t="s">
        <v>419</v>
      </c>
      <c r="C115" s="2" t="s">
        <v>420</v>
      </c>
      <c r="D115" s="2" t="s">
        <v>86</v>
      </c>
      <c r="E115" s="2" t="s">
        <v>61</v>
      </c>
      <c r="F115" s="2" t="s">
        <v>15</v>
      </c>
      <c r="G115" s="2" t="s">
        <v>421</v>
      </c>
      <c r="H115" s="2" t="s">
        <v>422</v>
      </c>
      <c r="I115" s="2" t="str">
        <f>IFERROR(__xludf.DUMMYFUNCTION("GOOGLETRANSLATE(C115,""fr"",""en"")"),"My mother was abused by a broker for Neoliane. To be sure that everything goes unlikely, she has received no letter from them. As soon as we intervened they quickly terminated the contract: admission? They are unable to provide us with the papers signed b"&amp;"y it, so no evidence and refuse to reimburse her stolen contributions. I pre -indicate that they have never made a single refund for her since she has never changed mutual !!
")</f>
        <v>My mother was abused by a broker for Neoliane. To be sure that everything goes unlikely, she has received no letter from them. As soon as we intervened they quickly terminated the contract: admission? They are unable to provide us with the papers signed by it, so no evidence and refuse to reimburse her stolen contributions. I pre -indicate that they have never made a single refund for her since she has never changed mutual !!
</v>
      </c>
    </row>
    <row r="116" ht="15.75" customHeight="1">
      <c r="A116" s="2">
        <v>5.0</v>
      </c>
      <c r="B116" s="2" t="s">
        <v>423</v>
      </c>
      <c r="C116" s="2" t="s">
        <v>424</v>
      </c>
      <c r="D116" s="2" t="s">
        <v>171</v>
      </c>
      <c r="E116" s="2" t="s">
        <v>14</v>
      </c>
      <c r="F116" s="2" t="s">
        <v>15</v>
      </c>
      <c r="G116" s="2" t="s">
        <v>425</v>
      </c>
      <c r="H116" s="2" t="s">
        <v>32</v>
      </c>
      <c r="I116" s="2" t="str">
        <f>IFERROR(__xludf.DUMMYFUNCTION("GOOGLETRANSLATE(C116,""fr"",""en"")"),"Bravo thank you for us bikers always looking for the cheapest and the nicest and above all the most competitive insurance")</f>
        <v>Bravo thank you for us bikers always looking for the cheapest and the nicest and above all the most competitive insurance</v>
      </c>
    </row>
    <row r="117" ht="15.75" customHeight="1">
      <c r="A117" s="2">
        <v>2.0</v>
      </c>
      <c r="B117" s="2" t="s">
        <v>426</v>
      </c>
      <c r="C117" s="2" t="s">
        <v>427</v>
      </c>
      <c r="D117" s="2" t="s">
        <v>24</v>
      </c>
      <c r="E117" s="2" t="s">
        <v>20</v>
      </c>
      <c r="F117" s="2" t="s">
        <v>15</v>
      </c>
      <c r="G117" s="2" t="s">
        <v>428</v>
      </c>
      <c r="H117" s="2" t="s">
        <v>53</v>
      </c>
      <c r="I117" s="2" t="str">
        <f>IFERROR(__xludf.DUMMYFUNCTION("GOOGLETRANSLATE(C117,""fr"",""en"")"),"Having never had to call on their service in relation to an accident declaration, I am unable to give an opinion on the service, on the other hand I find that their prices are excessive. an internet service.")</f>
        <v>Having never had to call on their service in relation to an accident declaration, I am unable to give an opinion on the service, on the other hand I find that their prices are excessive. an internet service.</v>
      </c>
    </row>
    <row r="118" ht="15.75" customHeight="1">
      <c r="A118" s="2">
        <v>5.0</v>
      </c>
      <c r="B118" s="2" t="s">
        <v>429</v>
      </c>
      <c r="C118" s="2" t="s">
        <v>430</v>
      </c>
      <c r="D118" s="2" t="s">
        <v>19</v>
      </c>
      <c r="E118" s="2" t="s">
        <v>20</v>
      </c>
      <c r="F118" s="2" t="s">
        <v>15</v>
      </c>
      <c r="G118" s="2" t="s">
        <v>431</v>
      </c>
      <c r="H118" s="2" t="s">
        <v>108</v>
      </c>
      <c r="I118" s="2" t="str">
        <f>IFERROR(__xludf.DUMMYFUNCTION("GOOGLETRANSLATE(C118,""fr"",""en"")"),"I am happy for the ready services !! I recommend you !! The best price and internet attention for online arrangements! ! Great ..!")</f>
        <v>I am happy for the ready services !! I recommend you !! The best price and internet attention for online arrangements! ! Great ..!</v>
      </c>
    </row>
    <row r="119" ht="15.75" customHeight="1">
      <c r="A119" s="2">
        <v>5.0</v>
      </c>
      <c r="B119" s="2" t="s">
        <v>432</v>
      </c>
      <c r="C119" s="2" t="s">
        <v>433</v>
      </c>
      <c r="D119" s="2" t="s">
        <v>19</v>
      </c>
      <c r="E119" s="2" t="s">
        <v>20</v>
      </c>
      <c r="F119" s="2" t="s">
        <v>15</v>
      </c>
      <c r="G119" s="2" t="s">
        <v>434</v>
      </c>
      <c r="H119" s="2" t="s">
        <v>45</v>
      </c>
      <c r="I119" s="2" t="str">
        <f>IFERROR(__xludf.DUMMYFUNCTION("GOOGLETRANSLATE(C119,""fr"",""en"")"),"I am satisfied with the price and the customer service of direct insurance I recommend you to anyone starting car or home insurance")</f>
        <v>I am satisfied with the price and the customer service of direct insurance I recommend you to anyone starting car or home insurance</v>
      </c>
    </row>
    <row r="120" ht="15.75" customHeight="1">
      <c r="A120" s="2">
        <v>1.0</v>
      </c>
      <c r="B120" s="2" t="s">
        <v>435</v>
      </c>
      <c r="C120" s="2" t="s">
        <v>436</v>
      </c>
      <c r="D120" s="2" t="s">
        <v>13</v>
      </c>
      <c r="E120" s="2" t="s">
        <v>14</v>
      </c>
      <c r="F120" s="2" t="s">
        <v>15</v>
      </c>
      <c r="G120" s="2" t="s">
        <v>144</v>
      </c>
      <c r="H120" s="2" t="s">
        <v>92</v>
      </c>
      <c r="I120" s="2" t="str">
        <f>IFERROR(__xludf.DUMMYFUNCTION("GOOGLETRANSLATE(C120,""fr"",""en"")"),"The only mutual (what of course) which constantly increases these prices from year to year and even on the collection (neither subjected to bonus/malus) and who also claims that there have been more than M*o *r*t in 2020, well let's see a joke without a j"&amp;"oke.
I add that despite my termination more than a month before carried out in the legal framework with paper and company (note that I even called them to be sure that my request is valid and without problem for anyone), I find myself debited From the co"&amp;"ming year, and reimbursement will not be done before the start of next month ""at best"" (we are April 12), it's completely lamentable and non -professional, I dare not imagine if we have a problem important with this kind of ""mutual"". I add that it is "&amp;"very complicated to join them depending on the period.
Also note that jurimotard and save are assurances that you are forced to have in your contract (note in detail in invoicing when it is not an option, I do not even know if it is possible) in short of"&amp;" work so that they undoubtedly choose.")</f>
        <v>The only mutual (what of course) which constantly increases these prices from year to year and even on the collection (neither subjected to bonus/malus) and who also claims that there have been more than M*o *r*t in 2020, well let's see a joke without a joke.
I add that despite my termination more than a month before carried out in the legal framework with paper and company (note that I even called them to be sure that my request is valid and without problem for anyone), I find myself debited From the coming year, and reimbursement will not be done before the start of next month "at best" (we are April 12), it's completely lamentable and non -professional, I dare not imagine if we have a problem important with this kind of "mutual". I add that it is very complicated to join them depending on the period.
Also note that jurimotard and save are assurances that you are forced to have in your contract (note in detail in invoicing when it is not an option, I do not even know if it is possible) in short of work so that they undoubtedly choose.</v>
      </c>
    </row>
    <row r="121" ht="15.75" customHeight="1">
      <c r="A121" s="2">
        <v>5.0</v>
      </c>
      <c r="B121" s="2" t="s">
        <v>437</v>
      </c>
      <c r="C121" s="2" t="s">
        <v>438</v>
      </c>
      <c r="D121" s="2" t="s">
        <v>134</v>
      </c>
      <c r="E121" s="2" t="s">
        <v>135</v>
      </c>
      <c r="F121" s="2" t="s">
        <v>15</v>
      </c>
      <c r="G121" s="2" t="s">
        <v>439</v>
      </c>
      <c r="H121" s="2" t="s">
        <v>154</v>
      </c>
      <c r="I121" s="2" t="str">
        <f>IFERROR(__xludf.DUMMYFUNCTION("GOOGLETRANSLATE(C121,""fr"",""en"")"),"Satisfied with management fees at 0.475% in FG and UC and reduced costs from Ntrée to 0% in UC from September (if voted at AG) and 0.5% in UC ... only fear: see too much Collection in UC which would kill the FG. Macsf has made the opposite increase by 1 t"&amp;"o 3% fees in FG")</f>
        <v>Satisfied with management fees at 0.475% in FG and UC and reduced costs from Ntrée to 0% in UC from September (if voted at AG) and 0.5% in UC ... only fear: see too much Collection in UC which would kill the FG. Macsf has made the opposite increase by 1 to 3% fees in FG</v>
      </c>
    </row>
    <row r="122" ht="15.75" customHeight="1">
      <c r="A122" s="2">
        <v>3.0</v>
      </c>
      <c r="B122" s="2" t="s">
        <v>440</v>
      </c>
      <c r="C122" s="2" t="s">
        <v>441</v>
      </c>
      <c r="D122" s="2" t="s">
        <v>442</v>
      </c>
      <c r="E122" s="2" t="s">
        <v>30</v>
      </c>
      <c r="F122" s="2" t="s">
        <v>15</v>
      </c>
      <c r="G122" s="2" t="s">
        <v>443</v>
      </c>
      <c r="H122" s="2" t="s">
        <v>74</v>
      </c>
      <c r="I122" s="2" t="str">
        <f>IFERROR(__xludf.DUMMYFUNCTION("GOOGLETRANSLATE(C122,""fr"",""en"")"),"Satisfied with the service until then but not yet finalized. I wait
 The implementation of this new borrower insurance to give a final opinion.")</f>
        <v>Satisfied with the service until then but not yet finalized. I wait
 The implementation of this new borrower insurance to give a final opinion.</v>
      </c>
    </row>
    <row r="123" ht="15.75" customHeight="1">
      <c r="A123" s="2">
        <v>4.0</v>
      </c>
      <c r="B123" s="2" t="s">
        <v>444</v>
      </c>
      <c r="C123" s="2" t="s">
        <v>445</v>
      </c>
      <c r="D123" s="2" t="s">
        <v>171</v>
      </c>
      <c r="E123" s="2" t="s">
        <v>14</v>
      </c>
      <c r="F123" s="2" t="s">
        <v>15</v>
      </c>
      <c r="G123" s="2" t="s">
        <v>108</v>
      </c>
      <c r="H123" s="2" t="s">
        <v>108</v>
      </c>
      <c r="I123" s="2" t="str">
        <f>IFERROR(__xludf.DUMMYFUNCTION("GOOGLETRANSLATE(C123,""fr"",""en"")"),"I am satisfied with the service. The price suits me
Very fast for answers. have subsequently over the years.
Received the information by email immediately the request made.
")</f>
        <v>I am satisfied with the service. The price suits me
Very fast for answers. have subsequently over the years.
Received the information by email immediately the request made.
</v>
      </c>
    </row>
    <row r="124" ht="15.75" customHeight="1">
      <c r="A124" s="2">
        <v>1.0</v>
      </c>
      <c r="B124" s="2" t="s">
        <v>446</v>
      </c>
      <c r="C124" s="2" t="s">
        <v>447</v>
      </c>
      <c r="D124" s="2" t="s">
        <v>378</v>
      </c>
      <c r="E124" s="2" t="s">
        <v>61</v>
      </c>
      <c r="F124" s="2" t="s">
        <v>15</v>
      </c>
      <c r="G124" s="2" t="s">
        <v>448</v>
      </c>
      <c r="H124" s="2" t="s">
        <v>449</v>
      </c>
      <c r="I124" s="2" t="str">
        <f>IFERROR(__xludf.DUMMYFUNCTION("GOOGLETRANSLATE(C124,""fr"",""en"")"),"Harmonie Mutuelle is a disaster!
I have been an employee since October 2016, they have multiplied errors since this month.
They started by putting me under the same contract as my colleagues (as if we were past or married), result we received a card wit"&amp;"h our two names registered on it ...
They continued by refusing that we take higher options than the basic option subscribed by our employer ...
Finally, they take the contributions of all employees on my bank account ...
We have been fighting for a mo"&amp;"nth and a half to gain their case, for now in vain!
Regarding guarantees, no refund on alternative medicine, at the lowest on optics and dental (the optician could not even believe it) ...
If I had been able to put 0/5 I would have done it!
TO FLEE !!!"&amp;"!!!!!")</f>
        <v>Harmonie Mutuelle is a disaster!
I have been an employee since October 2016, they have multiplied errors since this month.
They started by putting me under the same contract as my colleagues (as if we were past or married), result we received a card with our two names registered on it ...
They continued by refusing that we take higher options than the basic option subscribed by our employer ...
Finally, they take the contributions of all employees on my bank account ...
We have been fighting for a month and a half to gain their case, for now in vain!
Regarding guarantees, no refund on alternative medicine, at the lowest on optics and dental (the optician could not even believe it) ...
If I had been able to put 0/5 I would have done it!
TO FLEE !!!!!!!!</v>
      </c>
    </row>
    <row r="125" ht="15.75" customHeight="1">
      <c r="A125" s="2">
        <v>4.0</v>
      </c>
      <c r="B125" s="2" t="s">
        <v>450</v>
      </c>
      <c r="C125" s="2" t="s">
        <v>451</v>
      </c>
      <c r="D125" s="2" t="s">
        <v>245</v>
      </c>
      <c r="E125" s="2" t="s">
        <v>61</v>
      </c>
      <c r="F125" s="2" t="s">
        <v>15</v>
      </c>
      <c r="G125" s="2" t="s">
        <v>452</v>
      </c>
      <c r="H125" s="2" t="s">
        <v>131</v>
      </c>
      <c r="I125" s="2" t="str">
        <f>IFERROR(__xludf.DUMMYFUNCTION("GOOGLETRANSLATE(C125,""fr"",""en"")"),"The very professional Widad advisor was able to settle my request to take care of two pairs of glasses from afar and near my mutual contract stipulated with Viamedis. This platform having dealt with the care requested by my optician reimburse me that on t"&amp;"he basis of a pair only. I thank her for her availability and his kindness that confirms me about the note to give to my mutual")</f>
        <v>The very professional Widad advisor was able to settle my request to take care of two pairs of glasses from afar and near my mutual contract stipulated with Viamedis. This platform having dealt with the care requested by my optician reimburse me that on the basis of a pair only. I thank her for her availability and his kindness that confirms me about the note to give to my mutual</v>
      </c>
    </row>
    <row r="126" ht="15.75" customHeight="1">
      <c r="A126" s="2">
        <v>4.0</v>
      </c>
      <c r="B126" s="2" t="s">
        <v>453</v>
      </c>
      <c r="C126" s="2" t="s">
        <v>454</v>
      </c>
      <c r="D126" s="2" t="s">
        <v>245</v>
      </c>
      <c r="E126" s="2" t="s">
        <v>61</v>
      </c>
      <c r="F126" s="2" t="s">
        <v>15</v>
      </c>
      <c r="G126" s="2" t="s">
        <v>455</v>
      </c>
      <c r="H126" s="2" t="s">
        <v>297</v>
      </c>
      <c r="I126" s="2" t="str">
        <f>IFERROR(__xludf.DUMMYFUNCTION("GOOGLETRANSLATE(C126,""fr"",""en"")"),"Thanks to Caroline who took the time to deal with my various problems following the old mutual that did not do her job")</f>
        <v>Thanks to Caroline who took the time to deal with my various problems following the old mutual that did not do her job</v>
      </c>
    </row>
    <row r="127" ht="15.75" customHeight="1">
      <c r="A127" s="2">
        <v>2.0</v>
      </c>
      <c r="B127" s="2" t="s">
        <v>456</v>
      </c>
      <c r="C127" s="2" t="s">
        <v>457</v>
      </c>
      <c r="D127" s="2" t="s">
        <v>374</v>
      </c>
      <c r="E127" s="2" t="s">
        <v>14</v>
      </c>
      <c r="F127" s="2" t="s">
        <v>15</v>
      </c>
      <c r="G127" s="2" t="s">
        <v>458</v>
      </c>
      <c r="H127" s="2" t="s">
        <v>297</v>
      </c>
      <c r="I127" s="2" t="str">
        <f>IFERROR(__xludf.DUMMYFUNCTION("GOOGLETRANSLATE(C127,""fr"",""en"")"),"Non -responsible accident but with unidentified third parties result you pay € 800 franchise
I have my declaration of a claim canceled and request that the change in diurnal fire be taken care of because I have taken the extension of ice broken with fran"&amp;"chise € 129
response not possible it is part of the disaster that we do not take care of
Result pay you to have no warranty")</f>
        <v>Non -responsible accident but with unidentified third parties result you pay € 800 franchise
I have my declaration of a claim canceled and request that the change in diurnal fire be taken care of because I have taken the extension of ice broken with franchise € 129
response not possible it is part of the disaster that we do not take care of
Result pay you to have no warranty</v>
      </c>
    </row>
    <row r="128" ht="15.75" customHeight="1">
      <c r="A128" s="2">
        <v>1.0</v>
      </c>
      <c r="B128" s="2" t="s">
        <v>459</v>
      </c>
      <c r="C128" s="2" t="s">
        <v>460</v>
      </c>
      <c r="D128" s="2" t="s">
        <v>60</v>
      </c>
      <c r="E128" s="2" t="s">
        <v>61</v>
      </c>
      <c r="F128" s="2" t="s">
        <v>15</v>
      </c>
      <c r="G128" s="2" t="s">
        <v>461</v>
      </c>
      <c r="H128" s="2" t="s">
        <v>164</v>
      </c>
      <c r="I128" s="2" t="str">
        <f>IFERROR(__xludf.DUMMYFUNCTION("GOOGLETRANSLATE(C128,""fr"",""en"")"),"Unfortunately, the Mutuelle Mercer is compulsory for me, because it is the business mutual where I work (suddenly I have doubts if choosing this business was rather a mistake but hey it's another story) . The first experience, they lied to me on sending m"&amp;"y paid third -party card, I did not receive anything (July 5: we inform you that you have sent your third -party payment card Mercer today. ) I made sure of a mutual insurance company (it is the most important for me) and I will never use the services of "&amp;"Mercer, but I am really unhappy to have to pay 30 euros per month for a rotten mutual that I do not 'will never use (and that since March 2021 endlessly). Avoid if you can!")</f>
        <v>Unfortunately, the Mutuelle Mercer is compulsory for me, because it is the business mutual where I work (suddenly I have doubts if choosing this business was rather a mistake but hey it's another story) . The first experience, they lied to me on sending my paid third -party card, I did not receive anything (July 5: we inform you that you have sent your third -party payment card Mercer today. ) I made sure of a mutual insurance company (it is the most important for me) and I will never use the services of Mercer, but I am really unhappy to have to pay 30 euros per month for a rotten mutual that I do not 'will never use (and that since March 2021 endlessly). Avoid if you can!</v>
      </c>
    </row>
    <row r="129" ht="15.75" customHeight="1">
      <c r="A129" s="2">
        <v>4.0</v>
      </c>
      <c r="B129" s="2" t="s">
        <v>462</v>
      </c>
      <c r="C129" s="2" t="s">
        <v>463</v>
      </c>
      <c r="D129" s="2" t="s">
        <v>86</v>
      </c>
      <c r="E129" s="2" t="s">
        <v>61</v>
      </c>
      <c r="F129" s="2" t="s">
        <v>15</v>
      </c>
      <c r="G129" s="2" t="s">
        <v>464</v>
      </c>
      <c r="H129" s="2" t="s">
        <v>21</v>
      </c>
      <c r="I129" s="2" t="str">
        <f>IFERROR(__xludf.DUMMYFUNCTION("GOOGLETRANSLATE(C129,""fr"",""en"")"),"Easy and clear contact with customer service as well as in file follow -up, despite some telephone waiting. I am satisfied on the whole.")</f>
        <v>Easy and clear contact with customer service as well as in file follow -up, despite some telephone waiting. I am satisfied on the whole.</v>
      </c>
    </row>
    <row r="130" ht="15.75" customHeight="1">
      <c r="A130" s="2">
        <v>3.0</v>
      </c>
      <c r="B130" s="2" t="s">
        <v>465</v>
      </c>
      <c r="C130" s="2" t="s">
        <v>466</v>
      </c>
      <c r="D130" s="2" t="s">
        <v>19</v>
      </c>
      <c r="E130" s="2" t="s">
        <v>20</v>
      </c>
      <c r="F130" s="2" t="s">
        <v>15</v>
      </c>
      <c r="G130" s="2" t="s">
        <v>467</v>
      </c>
      <c r="H130" s="2" t="s">
        <v>332</v>
      </c>
      <c r="I130" s="2" t="str">
        <f>IFERROR(__xludf.DUMMYFUNCTION("GOOGLETRANSLATE(C130,""fr"",""en"")"),"Horrible customer experience.
Need insurance for a new vehicle, I asked for a quote that seemed interesting.
However, the spouse must have a French permit so that the vehicle can be provided even if only one driver is registered with the contract. S"&amp;"tupid rule.
Everything is spoiling when the customer official realizes that the spouse does not say so. We then go to smile and friendliness with cold air and disdain before hanging up quickly. As incredible as it is colorful.
")</f>
        <v>Horrible customer experience.
Need insurance for a new vehicle, I asked for a quote that seemed interesting.
However, the spouse must have a French permit so that the vehicle can be provided even if only one driver is registered with the contract. Stupid rule.
Everything is spoiling when the customer official realizes that the spouse does not say so. We then go to smile and friendliness with cold air and disdain before hanging up quickly. As incredible as it is colorful.
</v>
      </c>
    </row>
    <row r="131" ht="15.75" customHeight="1">
      <c r="A131" s="2">
        <v>3.0</v>
      </c>
      <c r="B131" s="2" t="s">
        <v>468</v>
      </c>
      <c r="C131" s="2" t="s">
        <v>469</v>
      </c>
      <c r="D131" s="2" t="s">
        <v>254</v>
      </c>
      <c r="E131" s="2" t="s">
        <v>61</v>
      </c>
      <c r="F131" s="2" t="s">
        <v>15</v>
      </c>
      <c r="G131" s="2" t="s">
        <v>470</v>
      </c>
      <c r="H131" s="2" t="s">
        <v>21</v>
      </c>
      <c r="I131" s="2" t="str">
        <f>IFERROR(__xludf.DUMMYFUNCTION("GOOGLETRANSLATE(C131,""fr"",""en"")"),"Some services are not fully supported even at a high level of contract.
But the options offered in the contracts are satisfactory and allow correct coverage.")</f>
        <v>Some services are not fully supported even at a high level of contract.
But the options offered in the contracts are satisfactory and allow correct coverage.</v>
      </c>
    </row>
    <row r="132" ht="15.75" customHeight="1">
      <c r="A132" s="2">
        <v>4.0</v>
      </c>
      <c r="B132" s="2" t="s">
        <v>471</v>
      </c>
      <c r="C132" s="2" t="s">
        <v>472</v>
      </c>
      <c r="D132" s="2" t="s">
        <v>19</v>
      </c>
      <c r="E132" s="2" t="s">
        <v>20</v>
      </c>
      <c r="F132" s="2" t="s">
        <v>15</v>
      </c>
      <c r="G132" s="2" t="s">
        <v>473</v>
      </c>
      <c r="H132" s="2" t="s">
        <v>83</v>
      </c>
      <c r="I132" s="2" t="str">
        <f>IFERROR(__xludf.DUMMYFUNCTION("GOOGLETRANSLATE(C132,""fr"",""en"")"),"I am satisfied I am satisfied I am satisfied I am satisfied I am satisfied I am satisfied I am satisfied I am satisfied")</f>
        <v>I am satisfied I am satisfied I am satisfied I am satisfied I am satisfied I am satisfied I am satisfied I am satisfied</v>
      </c>
    </row>
    <row r="133" ht="15.75" customHeight="1">
      <c r="A133" s="2">
        <v>4.0</v>
      </c>
      <c r="B133" s="2" t="s">
        <v>474</v>
      </c>
      <c r="C133" s="2" t="s">
        <v>475</v>
      </c>
      <c r="D133" s="2" t="s">
        <v>476</v>
      </c>
      <c r="E133" s="2" t="s">
        <v>122</v>
      </c>
      <c r="F133" s="2" t="s">
        <v>15</v>
      </c>
      <c r="G133" s="2" t="s">
        <v>477</v>
      </c>
      <c r="H133" s="2" t="s">
        <v>53</v>
      </c>
      <c r="I133" s="2" t="str">
        <f>IFERROR(__xludf.DUMMYFUNCTION("GOOGLETRANSLATE(C133,""fr"",""en"")"),"Very welcome telephone and available to answer your questions.
Advises you when making contact.
The prices for this contract are accessible and it is a serious company (I have already been a client at Groupama when I was a student and I kept good memo"&amp;"ries).")</f>
        <v>Very welcome telephone and available to answer your questions.
Advises you when making contact.
The prices for this contract are accessible and it is a serious company (I have already been a client at Groupama when I was a student and I kept good memories).</v>
      </c>
    </row>
    <row r="134" ht="15.75" customHeight="1">
      <c r="A134" s="2">
        <v>5.0</v>
      </c>
      <c r="B134" s="2" t="s">
        <v>478</v>
      </c>
      <c r="C134" s="2" t="s">
        <v>479</v>
      </c>
      <c r="D134" s="2" t="s">
        <v>35</v>
      </c>
      <c r="E134" s="2" t="s">
        <v>20</v>
      </c>
      <c r="F134" s="2" t="s">
        <v>15</v>
      </c>
      <c r="G134" s="2" t="s">
        <v>480</v>
      </c>
      <c r="H134" s="2" t="s">
        <v>481</v>
      </c>
      <c r="I134" s="2" t="str">
        <f>IFERROR(__xludf.DUMMYFUNCTION("GOOGLETRANSLATE(C134,""fr"",""en"")"),"Efficient service online and by phone for the implementation of the contract.
Affordable price for a young license. I recommend this insurance
")</f>
        <v>Efficient service online and by phone for the implementation of the contract.
Affordable price for a young license. I recommend this insurance
</v>
      </c>
    </row>
    <row r="135" ht="15.75" customHeight="1">
      <c r="A135" s="2">
        <v>3.0</v>
      </c>
      <c r="B135" s="2" t="s">
        <v>482</v>
      </c>
      <c r="C135" s="2" t="s">
        <v>483</v>
      </c>
      <c r="D135" s="2" t="s">
        <v>476</v>
      </c>
      <c r="E135" s="2" t="s">
        <v>122</v>
      </c>
      <c r="F135" s="2" t="s">
        <v>15</v>
      </c>
      <c r="G135" s="2" t="s">
        <v>484</v>
      </c>
      <c r="H135" s="2" t="s">
        <v>256</v>
      </c>
      <c r="I135" s="2" t="str">
        <f>IFERROR(__xludf.DUMMYFUNCTION("GOOGLETRANSLATE(C135,""fr"",""en"")"),"Initially customer of Amaguiz, I went to Groupama when they decided to reintegrate their subsidiary.
I found that the transition had not been very well managed and I clearly lost as a service (app and not terrible site).
Above all, I was the victim "&amp;"of a water damage in May 2020 ... which has still not been settled to date (February 2021).
OK we were in COVID in times but the declaration was tedious, I had to send the supporting documents twice and the Groupama teams were absolutely not reactive.
"&amp;"
I no longer count the number of different interlocutors that I could have on my file (&gt; 10), all discovering my case each time and promising to do the necessary ...
I can compare with the management of an equivalent disaster that I had at the time wit"&amp;"h Amaguiz and I clearly lost as a service with this fusion.
After 7 years at Amaguiz I therefore plan to leave Groupama without any regret in the coming months, and would not recommend this insurance as I could do for Amaguiz.")</f>
        <v>Initially customer of Amaguiz, I went to Groupama when they decided to reintegrate their subsidiary.
I found that the transition had not been very well managed and I clearly lost as a service (app and not terrible site).
Above all, I was the victim of a water damage in May 2020 ... which has still not been settled to date (February 2021).
OK we were in COVID in times but the declaration was tedious, I had to send the supporting documents twice and the Groupama teams were absolutely not reactive.
I no longer count the number of different interlocutors that I could have on my file (&gt; 10), all discovering my case each time and promising to do the necessary ...
I can compare with the management of an equivalent disaster that I had at the time with Amaguiz and I clearly lost as a service with this fusion.
After 7 years at Amaguiz I therefore plan to leave Groupama without any regret in the coming months, and would not recommend this insurance as I could do for Amaguiz.</v>
      </c>
    </row>
    <row r="136" ht="15.75" customHeight="1">
      <c r="A136" s="2">
        <v>4.0</v>
      </c>
      <c r="B136" s="2" t="s">
        <v>485</v>
      </c>
      <c r="C136" s="2" t="s">
        <v>486</v>
      </c>
      <c r="D136" s="2" t="s">
        <v>35</v>
      </c>
      <c r="E136" s="2" t="s">
        <v>20</v>
      </c>
      <c r="F136" s="2" t="s">
        <v>15</v>
      </c>
      <c r="G136" s="2" t="s">
        <v>487</v>
      </c>
      <c r="H136" s="2" t="s">
        <v>21</v>
      </c>
      <c r="I136" s="2" t="str">
        <f>IFERROR(__xludf.DUMMYFUNCTION("GOOGLETRANSLATE(C136,""fr"",""en"")"),"Friendliness, professionalism and availability of the person who made me subscribe by phone")</f>
        <v>Friendliness, professionalism and availability of the person who made me subscribe by phone</v>
      </c>
    </row>
    <row r="137" ht="15.75" customHeight="1">
      <c r="A137" s="2">
        <v>1.0</v>
      </c>
      <c r="B137" s="2" t="s">
        <v>488</v>
      </c>
      <c r="C137" s="2" t="s">
        <v>489</v>
      </c>
      <c r="D137" s="2" t="s">
        <v>60</v>
      </c>
      <c r="E137" s="2" t="s">
        <v>61</v>
      </c>
      <c r="F137" s="2" t="s">
        <v>15</v>
      </c>
      <c r="G137" s="2" t="s">
        <v>490</v>
      </c>
      <c r="H137" s="2" t="s">
        <v>491</v>
      </c>
      <c r="I137" s="2" t="str">
        <f>IFERROR(__xludf.DUMMYFUNCTION("GOOGLETRANSLATE(C137,""fr"",""en"")"),"I am disgusted mutual no one extraordinary waiting time at 15 cents the rant minute minutes on the other hand for the monthly sample no worries super pros I regret my old mutual mutual")</f>
        <v>I am disgusted mutual no one extraordinary waiting time at 15 cents the rant minute minutes on the other hand for the monthly sample no worries super pros I regret my old mutual mutual</v>
      </c>
    </row>
    <row r="138" ht="15.75" customHeight="1">
      <c r="A138" s="2">
        <v>1.0</v>
      </c>
      <c r="B138" s="2" t="s">
        <v>492</v>
      </c>
      <c r="C138" s="2" t="s">
        <v>493</v>
      </c>
      <c r="D138" s="2" t="s">
        <v>494</v>
      </c>
      <c r="E138" s="2" t="s">
        <v>122</v>
      </c>
      <c r="F138" s="2" t="s">
        <v>15</v>
      </c>
      <c r="G138" s="2" t="s">
        <v>495</v>
      </c>
      <c r="H138" s="2" t="s">
        <v>347</v>
      </c>
      <c r="I138" s="2" t="str">
        <f>IFERROR(__xludf.DUMMYFUNCTION("GOOGLETRANSLATE(C138,""fr"",""en"")"),"A star is that is a lot, for 2 years I am still not reimbursed they cannot solve the problem with the locksmith who refused the traceability of his accounting.")</f>
        <v>A star is that is a lot, for 2 years I am still not reimbursed they cannot solve the problem with the locksmith who refused the traceability of his accounting.</v>
      </c>
    </row>
    <row r="139" ht="15.75" customHeight="1">
      <c r="A139" s="2">
        <v>1.0</v>
      </c>
      <c r="B139" s="2" t="s">
        <v>496</v>
      </c>
      <c r="C139" s="2" t="s">
        <v>497</v>
      </c>
      <c r="D139" s="2" t="s">
        <v>19</v>
      </c>
      <c r="E139" s="2" t="s">
        <v>20</v>
      </c>
      <c r="F139" s="2" t="s">
        <v>15</v>
      </c>
      <c r="G139" s="2" t="s">
        <v>226</v>
      </c>
      <c r="H139" s="2" t="s">
        <v>21</v>
      </c>
      <c r="I139" s="2" t="str">
        <f>IFERROR(__xludf.DUMMYFUNCTION("GOOGLETRANSLATE(C139,""fr"",""en"")"),"You increase your prices between 5 and 10 percent. I think that the usual customers pay for the new ones because the first year is very advantageous.")</f>
        <v>You increase your prices between 5 and 10 percent. I think that the usual customers pay for the new ones because the first year is very advantageous.</v>
      </c>
    </row>
    <row r="140" ht="15.75" customHeight="1">
      <c r="A140" s="2">
        <v>1.0</v>
      </c>
      <c r="B140" s="2" t="s">
        <v>498</v>
      </c>
      <c r="C140" s="2" t="s">
        <v>499</v>
      </c>
      <c r="D140" s="2" t="s">
        <v>225</v>
      </c>
      <c r="E140" s="2" t="s">
        <v>61</v>
      </c>
      <c r="F140" s="2" t="s">
        <v>15</v>
      </c>
      <c r="G140" s="2" t="s">
        <v>500</v>
      </c>
      <c r="H140" s="2" t="s">
        <v>501</v>
      </c>
      <c r="I140" s="2" t="str">
        <f>IFERROR(__xludf.DUMMYFUNCTION("GOOGLETRANSLATE(C140,""fr"",""en"")"),"Flee if you hold your mental health ...
I have been asking for my care reimbursements for months without success, after multitudes calls, emails and letters. I can not stand it anymore. Whenever I have a interlocutor on the phone I am told anything, the "&amp;"speeches are different depending on the person I can have on the phone! ""We did not receive your mail"" / ""We lost your rib"" / ""You did not send in the right service"" / ""You would have to return your documents"" / ""There was a problem of remote tra"&amp;"nsmission"" ... etc I totally hallucinate.
I specify, I am MGEN FILIA and everything is under treated by the BCAC / B2V: first choice incompetent!
I was at Harmonie Mutuelle before and I was happy. Take lessons with them!")</f>
        <v>Flee if you hold your mental health ...
I have been asking for my care reimbursements for months without success, after multitudes calls, emails and letters. I can not stand it anymore. Whenever I have a interlocutor on the phone I am told anything, the speeches are different depending on the person I can have on the phone! "We did not receive your mail" / "We lost your rib" / "You did not send in the right service" / "You would have to return your documents" / "There was a problem of remote transmission" ... etc I totally hallucinate.
I specify, I am MGEN FILIA and everything is under treated by the BCAC / B2V: first choice incompetent!
I was at Harmonie Mutuelle before and I was happy. Take lessons with them!</v>
      </c>
    </row>
    <row r="141" ht="15.75" customHeight="1">
      <c r="A141" s="2">
        <v>3.0</v>
      </c>
      <c r="B141" s="2" t="s">
        <v>502</v>
      </c>
      <c r="C141" s="2" t="s">
        <v>503</v>
      </c>
      <c r="D141" s="2" t="s">
        <v>43</v>
      </c>
      <c r="E141" s="2" t="s">
        <v>20</v>
      </c>
      <c r="F141" s="2" t="s">
        <v>15</v>
      </c>
      <c r="G141" s="2" t="s">
        <v>504</v>
      </c>
      <c r="H141" s="2" t="s">
        <v>32</v>
      </c>
      <c r="I141" s="2" t="str">
        <f>IFERROR(__xludf.DUMMYFUNCTION("GOOGLETRANSLATE(C141,""fr"",""en"")"),"Satisfied, but too complicated with respect to certain other cits I have nothing else to point out to you what to do otherwise cordially Mr Réaud Pascal 17120 Semussac")</f>
        <v>Satisfied, but too complicated with respect to certain other cits I have nothing else to point out to you what to do otherwise cordially Mr Réaud Pascal 17120 Semussac</v>
      </c>
    </row>
    <row r="142" ht="15.75" customHeight="1">
      <c r="A142" s="2">
        <v>1.0</v>
      </c>
      <c r="B142" s="2" t="s">
        <v>505</v>
      </c>
      <c r="C142" s="2" t="s">
        <v>506</v>
      </c>
      <c r="D142" s="2" t="s">
        <v>95</v>
      </c>
      <c r="E142" s="2" t="s">
        <v>20</v>
      </c>
      <c r="F142" s="2" t="s">
        <v>15</v>
      </c>
      <c r="G142" s="2" t="s">
        <v>507</v>
      </c>
      <c r="H142" s="2" t="s">
        <v>88</v>
      </c>
      <c r="I142" s="2" t="str">
        <f>IFERROR(__xludf.DUMMYFUNCTION("GOOGLETRANSLATE(C142,""fr"",""en"")"),"Search for insurance capable of customer service")</f>
        <v>Search for insurance capable of customer service</v>
      </c>
    </row>
    <row r="143" ht="15.75" customHeight="1">
      <c r="A143" s="2">
        <v>1.0</v>
      </c>
      <c r="B143" s="2" t="s">
        <v>508</v>
      </c>
      <c r="C143" s="2" t="s">
        <v>509</v>
      </c>
      <c r="D143" s="2" t="s">
        <v>43</v>
      </c>
      <c r="E143" s="2" t="s">
        <v>122</v>
      </c>
      <c r="F143" s="2" t="s">
        <v>15</v>
      </c>
      <c r="G143" s="2" t="s">
        <v>232</v>
      </c>
      <c r="H143" s="2" t="s">
        <v>21</v>
      </c>
      <c r="I143" s="2" t="str">
        <f>IFERROR(__xludf.DUMMYFUNCTION("GOOGLETRANSLATE(C143,""fr"",""en"")"),"GMF Housing: Little advice the insured, very expensive with regard to the amount of movable compensation in the event of a claim, an almost non -existent follow -up, I do not recommend myself")</f>
        <v>GMF Housing: Little advice the insured, very expensive with regard to the amount of movable compensation in the event of a claim, an almost non -existent follow -up, I do not recommend myself</v>
      </c>
    </row>
    <row r="144" ht="15.75" customHeight="1">
      <c r="A144" s="2">
        <v>4.0</v>
      </c>
      <c r="B144" s="2" t="s">
        <v>510</v>
      </c>
      <c r="C144" s="2" t="s">
        <v>511</v>
      </c>
      <c r="D144" s="2" t="s">
        <v>245</v>
      </c>
      <c r="E144" s="2" t="s">
        <v>61</v>
      </c>
      <c r="F144" s="2" t="s">
        <v>15</v>
      </c>
      <c r="G144" s="2" t="s">
        <v>91</v>
      </c>
      <c r="H144" s="2" t="s">
        <v>92</v>
      </c>
      <c r="I144" s="2" t="str">
        <f>IFERROR(__xludf.DUMMYFUNCTION("GOOGLETRANSLATE(C144,""fr"",""en"")"),"Very satisfactory exchange, Lamia was welcoming and attentive! Customer advisers are very appreciable, do not hesitate to contact them by phone.")</f>
        <v>Very satisfactory exchange, Lamia was welcoming and attentive! Customer advisers are very appreciable, do not hesitate to contact them by phone.</v>
      </c>
    </row>
    <row r="145" ht="15.75" customHeight="1">
      <c r="A145" s="2">
        <v>1.0</v>
      </c>
      <c r="B145" s="2" t="s">
        <v>512</v>
      </c>
      <c r="C145" s="2" t="s">
        <v>513</v>
      </c>
      <c r="D145" s="2" t="s">
        <v>366</v>
      </c>
      <c r="E145" s="2" t="s">
        <v>20</v>
      </c>
      <c r="F145" s="2" t="s">
        <v>15</v>
      </c>
      <c r="G145" s="2" t="s">
        <v>514</v>
      </c>
      <c r="H145" s="2" t="s">
        <v>83</v>
      </c>
      <c r="I145" s="2" t="str">
        <f>IFERROR(__xludf.DUMMYFUNCTION("GOOGLETRANSLATE(C145,""fr"",""en"")"),"Zero")</f>
        <v>Zero</v>
      </c>
    </row>
    <row r="146" ht="15.75" customHeight="1">
      <c r="A146" s="2">
        <v>5.0</v>
      </c>
      <c r="B146" s="2" t="s">
        <v>515</v>
      </c>
      <c r="C146" s="2" t="s">
        <v>516</v>
      </c>
      <c r="D146" s="2" t="s">
        <v>245</v>
      </c>
      <c r="E146" s="2" t="s">
        <v>61</v>
      </c>
      <c r="F146" s="2" t="s">
        <v>15</v>
      </c>
      <c r="G146" s="2" t="s">
        <v>131</v>
      </c>
      <c r="H146" s="2" t="s">
        <v>131</v>
      </c>
      <c r="I146" s="2" t="str">
        <f>IFERROR(__xludf.DUMMYFUNCTION("GOOGLETRANSLATE(C146,""fr"",""en"")"),"Thank you to Larbi for his professionalism and the clarity of his explanations, without forgetting his courtesy. I have several contracts and I am satisfied with Santiane.")</f>
        <v>Thank you to Larbi for his professionalism and the clarity of his explanations, without forgetting his courtesy. I have several contracts and I am satisfied with Santiane.</v>
      </c>
    </row>
    <row r="147" ht="15.75" customHeight="1">
      <c r="A147" s="2">
        <v>2.0</v>
      </c>
      <c r="B147" s="2" t="s">
        <v>517</v>
      </c>
      <c r="C147" s="2" t="s">
        <v>518</v>
      </c>
      <c r="D147" s="2" t="s">
        <v>19</v>
      </c>
      <c r="E147" s="2" t="s">
        <v>20</v>
      </c>
      <c r="F147" s="2" t="s">
        <v>15</v>
      </c>
      <c r="G147" s="2" t="s">
        <v>519</v>
      </c>
      <c r="H147" s="2" t="s">
        <v>21</v>
      </c>
      <c r="I147" s="2" t="str">
        <f>IFERROR(__xludf.DUMMYFUNCTION("GOOGLETRANSLATE(C147,""fr"",""en"")"),"A huge increase except that we are in a covid period and that the cars have not driven. The other insurances make gestures !!!! Very disappointed")</f>
        <v>A huge increase except that we are in a covid period and that the cars have not driven. The other insurances make gestures !!!! Very disappointed</v>
      </c>
    </row>
    <row r="148" ht="15.75" customHeight="1">
      <c r="A148" s="2">
        <v>2.0</v>
      </c>
      <c r="B148" s="2" t="s">
        <v>520</v>
      </c>
      <c r="C148" s="2" t="s">
        <v>521</v>
      </c>
      <c r="D148" s="2" t="s">
        <v>95</v>
      </c>
      <c r="E148" s="2" t="s">
        <v>122</v>
      </c>
      <c r="F148" s="2" t="s">
        <v>15</v>
      </c>
      <c r="G148" s="2" t="s">
        <v>522</v>
      </c>
      <c r="H148" s="2" t="s">
        <v>168</v>
      </c>
      <c r="I148" s="2" t="str">
        <f>IFERROR(__xludf.DUMMYFUNCTION("GOOGLETRANSLATE(C148,""fr"",""en"")"),"I wanted to ensure a house. A charming advisor had submitted a quote to me. But when I recalled to subscribe, Patatras: fell on ""Jérôme"" and refusal because the house was acquired in life life (there would be a ""problem"" of civil liability!). Now the "&amp;"person who occupied is in Ehpad no longer enters the equation since it is gone (we have the keys, we will come from time to time: we must ensure!). I was offered a simple ""non-occupying owner"" which does not correspond to the situation. It was very simp"&amp;"le: secondary residence insurance (bought in life life or not!). I was dealing with a wall.")</f>
        <v>I wanted to ensure a house. A charming advisor had submitted a quote to me. But when I recalled to subscribe, Patatras: fell on "Jérôme" and refusal because the house was acquired in life life (there would be a "problem" of civil liability!). Now the person who occupied is in Ehpad no longer enters the equation since it is gone (we have the keys, we will come from time to time: we must ensure!). I was offered a simple "non-occupying owner" which does not correspond to the situation. It was very simple: secondary residence insurance (bought in life life or not!). I was dealing with a wall.</v>
      </c>
    </row>
    <row r="149" ht="15.75" customHeight="1">
      <c r="A149" s="2">
        <v>2.0</v>
      </c>
      <c r="B149" s="2" t="s">
        <v>523</v>
      </c>
      <c r="C149" s="2" t="s">
        <v>524</v>
      </c>
      <c r="D149" s="2" t="s">
        <v>525</v>
      </c>
      <c r="E149" s="2" t="s">
        <v>206</v>
      </c>
      <c r="F149" s="2" t="s">
        <v>15</v>
      </c>
      <c r="G149" s="2" t="s">
        <v>526</v>
      </c>
      <c r="H149" s="2" t="s">
        <v>16</v>
      </c>
      <c r="I149" s="2" t="str">
        <f>IFERROR(__xludf.DUMMYFUNCTION("GOOGLETRANSLATE(C149,""fr"",""en"")"),"Ensures at home for my dog ​​since October 2019 I go quickly from home. Make too much problem with reimbursement Example my dog ​​needed a dough medication for vomiting and they confused dough with paté so the commercial me ""said We cannot reimburse you "&amp;"this medication because it is a food and you have exhausted your package. Virment stupid. This ssurance reimburses you as they see fit and it puts you asleep with good words. of them.")</f>
        <v>Ensures at home for my dog ​​since October 2019 I go quickly from home. Make too much problem with reimbursement Example my dog ​​needed a dough medication for vomiting and they confused dough with paté so the commercial me "said We cannot reimburse you this medication because it is a food and you have exhausted your package. Virment stupid. This ssurance reimburses you as they see fit and it puts you asleep with good words. of them.</v>
      </c>
    </row>
    <row r="150" ht="15.75" customHeight="1">
      <c r="A150" s="2">
        <v>5.0</v>
      </c>
      <c r="B150" s="2" t="s">
        <v>527</v>
      </c>
      <c r="C150" s="2" t="s">
        <v>528</v>
      </c>
      <c r="D150" s="2" t="s">
        <v>19</v>
      </c>
      <c r="E150" s="2" t="s">
        <v>20</v>
      </c>
      <c r="F150" s="2" t="s">
        <v>15</v>
      </c>
      <c r="G150" s="2" t="s">
        <v>529</v>
      </c>
      <c r="H150" s="2" t="s">
        <v>108</v>
      </c>
      <c r="I150" s="2" t="str">
        <f>IFERROR(__xludf.DUMMYFUNCTION("GOOGLETRANSLATE(C150,""fr"",""en"")"),"I am satisfied with services and price.
Good explanation on the site. And the offer to give we had seen the advertising and and the prices are atractive")</f>
        <v>I am satisfied with services and price.
Good explanation on the site. And the offer to give we had seen the advertising and and the prices are atractive</v>
      </c>
    </row>
    <row r="151" ht="15.75" customHeight="1">
      <c r="A151" s="2">
        <v>1.0</v>
      </c>
      <c r="B151" s="2" t="s">
        <v>530</v>
      </c>
      <c r="C151" s="2" t="s">
        <v>531</v>
      </c>
      <c r="D151" s="2" t="s">
        <v>532</v>
      </c>
      <c r="E151" s="2" t="s">
        <v>214</v>
      </c>
      <c r="F151" s="2" t="s">
        <v>15</v>
      </c>
      <c r="G151" s="2" t="s">
        <v>533</v>
      </c>
      <c r="H151" s="2" t="s">
        <v>534</v>
      </c>
      <c r="I151" s="2" t="str">
        <f>IFERROR(__xludf.DUMMYFUNCTION("GOOGLETRANSLATE(C151,""fr"",""en"")"),"A deadline for processing unimaginable files, unequaled arrogance on the part of advisers, incompetence in the management of family files, no communication between the various interlocutors, no knowledge of files, online platform not functional, difficult"&amp;" to reachable")</f>
        <v>A deadline for processing unimaginable files, unequaled arrogance on the part of advisers, incompetence in the management of family files, no communication between the various interlocutors, no knowledge of files, online platform not functional, difficult to reachable</v>
      </c>
    </row>
    <row r="152" ht="15.75" customHeight="1">
      <c r="A152" s="2">
        <v>1.0</v>
      </c>
      <c r="B152" s="2" t="s">
        <v>535</v>
      </c>
      <c r="C152" s="2" t="s">
        <v>536</v>
      </c>
      <c r="D152" s="2" t="s">
        <v>378</v>
      </c>
      <c r="E152" s="2" t="s">
        <v>61</v>
      </c>
      <c r="F152" s="2" t="s">
        <v>15</v>
      </c>
      <c r="G152" s="2" t="s">
        <v>371</v>
      </c>
      <c r="H152" s="2" t="s">
        <v>239</v>
      </c>
      <c r="I152" s="2" t="str">
        <f>IFERROR(__xludf.DUMMYFUNCTION("GOOGLETRANSLATE(C152,""fr"",""en"")"),"To flee absolutely !!! Impossible to attach our little girl who is 8 months old now! Inadmissible, you increased my husband's monthly payment by updating his file without taking into account the request for the attachment of our daughter ?????????? ??")</f>
        <v>To flee absolutely !!! Impossible to attach our little girl who is 8 months old now! Inadmissible, you increased my husband's monthly payment by updating his file without taking into account the request for the attachment of our daughter ?????????? ??</v>
      </c>
    </row>
    <row r="153" ht="15.75" customHeight="1">
      <c r="A153" s="2">
        <v>2.0</v>
      </c>
      <c r="B153" s="2" t="s">
        <v>537</v>
      </c>
      <c r="C153" s="2" t="s">
        <v>538</v>
      </c>
      <c r="D153" s="2" t="s">
        <v>200</v>
      </c>
      <c r="E153" s="2" t="s">
        <v>30</v>
      </c>
      <c r="F153" s="2" t="s">
        <v>15</v>
      </c>
      <c r="G153" s="2" t="s">
        <v>539</v>
      </c>
      <c r="H153" s="2" t="s">
        <v>260</v>
      </c>
      <c r="I153" s="2" t="str">
        <f>IFERROR(__xludf.DUMMYFUNCTION("GOOGLETRANSLATE(C153,""fr"",""en"")"),"Very disappointed, I am turned in circles, following my dismissal I ask for care, I send the documents, then I am added a second list of documents to validate my file, what I send in receipt of receipt , my file and validate be accepted but I am asked for"&amp;" telephone contact, I call them and surprise it blocks my file and it will be accepted only if I refer again documents which correspond to the same already send. And I was very badly talking to the phone and my same cut off on the nose, super welcome, he "&amp;"is looking for the little detail so as not to validate this folder.")</f>
        <v>Very disappointed, I am turned in circles, following my dismissal I ask for care, I send the documents, then I am added a second list of documents to validate my file, what I send in receipt of receipt , my file and validate be accepted but I am asked for telephone contact, I call them and surprise it blocks my file and it will be accepted only if I refer again documents which correspond to the same already send. And I was very badly talking to the phone and my same cut off on the nose, super welcome, he is looking for the little detail so as not to validate this folder.</v>
      </c>
    </row>
    <row r="154" ht="15.75" customHeight="1">
      <c r="A154" s="2">
        <v>3.0</v>
      </c>
      <c r="B154" s="2" t="s">
        <v>540</v>
      </c>
      <c r="C154" s="2" t="s">
        <v>541</v>
      </c>
      <c r="D154" s="2" t="s">
        <v>19</v>
      </c>
      <c r="E154" s="2" t="s">
        <v>20</v>
      </c>
      <c r="F154" s="2" t="s">
        <v>15</v>
      </c>
      <c r="G154" s="2" t="s">
        <v>542</v>
      </c>
      <c r="H154" s="2" t="s">
        <v>74</v>
      </c>
      <c r="I154" s="2" t="str">
        <f>IFERROR(__xludf.DUMMYFUNCTION("GOOGLETRANSLATE(C154,""fr"",""en"")"),"I am satisfied with online service thank you very much for this service. I am here for the first time thank you again for beautiful online service I thank you")</f>
        <v>I am satisfied with online service thank you very much for this service. I am here for the first time thank you again for beautiful online service I thank you</v>
      </c>
    </row>
    <row r="155" ht="15.75" customHeight="1">
      <c r="A155" s="2">
        <v>1.0</v>
      </c>
      <c r="B155" s="2" t="s">
        <v>543</v>
      </c>
      <c r="C155" s="2" t="s">
        <v>544</v>
      </c>
      <c r="D155" s="2" t="s">
        <v>532</v>
      </c>
      <c r="E155" s="2" t="s">
        <v>214</v>
      </c>
      <c r="F155" s="2" t="s">
        <v>15</v>
      </c>
      <c r="G155" s="2" t="s">
        <v>545</v>
      </c>
      <c r="H155" s="2" t="s">
        <v>271</v>
      </c>
      <c r="I155" s="2" t="str">
        <f>IFERROR(__xludf.DUMMYFUNCTION("GOOGLETRANSLATE(C155,""fr"",""en"")"),"A year after the death of a person of whom I was the beneficiary of life insurance, impossible to reach my capital. Jamous the same interlocutor at the CNP The arguments are still different. Patient a week ... refer your documents ( Already sent 5 times)."&amp;" It is desperate and I even think of abandoning but of transferring my own life insurance to another insurer.")</f>
        <v>A year after the death of a person of whom I was the beneficiary of life insurance, impossible to reach my capital. Jamous the same interlocutor at the CNP The arguments are still different. Patient a week ... refer your documents ( Already sent 5 times). It is desperate and I even think of abandoning but of transferring my own life insurance to another insurer.</v>
      </c>
    </row>
    <row r="156" ht="15.75" customHeight="1">
      <c r="A156" s="2">
        <v>5.0</v>
      </c>
      <c r="B156" s="2" t="s">
        <v>546</v>
      </c>
      <c r="C156" s="2" t="s">
        <v>547</v>
      </c>
      <c r="D156" s="2" t="s">
        <v>48</v>
      </c>
      <c r="E156" s="2" t="s">
        <v>14</v>
      </c>
      <c r="F156" s="2" t="s">
        <v>15</v>
      </c>
      <c r="G156" s="2" t="s">
        <v>548</v>
      </c>
      <c r="H156" s="2" t="s">
        <v>53</v>
      </c>
      <c r="I156" s="2" t="str">
        <f>IFERROR(__xludf.DUMMYFUNCTION("GOOGLETRANSLATE(C156,""fr"",""en"")"),"Very satisfied notice of AMV always listening very satisfied with the yield
Quick and effective whether by email or by phone a top team.")</f>
        <v>Very satisfied notice of AMV always listening very satisfied with the yield
Quick and effective whether by email or by phone a top team.</v>
      </c>
    </row>
    <row r="157" ht="15.75" customHeight="1">
      <c r="A157" s="2">
        <v>1.0</v>
      </c>
      <c r="B157" s="2" t="s">
        <v>549</v>
      </c>
      <c r="C157" s="2" t="s">
        <v>550</v>
      </c>
      <c r="D157" s="2" t="s">
        <v>193</v>
      </c>
      <c r="E157" s="2" t="s">
        <v>20</v>
      </c>
      <c r="F157" s="2" t="s">
        <v>15</v>
      </c>
      <c r="G157" s="2" t="s">
        <v>551</v>
      </c>
      <c r="H157" s="2" t="s">
        <v>216</v>
      </c>
      <c r="I157" s="2" t="str">
        <f>IFERROR(__xludf.DUMMYFUNCTION("GOOGLETRANSLATE(C157,""fr"",""en"")"),"Customer for 10 years, and my family for 30, never had an accident, the first accident that I am a victim (someone gritles a giving up the passage) and drives my car bought 2 months ago! Declared irreparable and estimated at 1,300 euros below the argus de"&amp;"spite maintenance bills, other offers well above their proposal. I am unable to buy myself a similar vehicle and I have been without a car since the start of the procedure. The file is dragging again and again for us to get tired, we ask for a counter-exp"&amp;"ertise and we realize that they have it done by the same expertise box as the first. Ashamed! As long as there is no problem they are good for taking their contributions but then ... No one, everyone returns the ball, nobody is responsible and no valid in"&amp;"terlocutor! In agency they sell products that they do not master, after conversation with someone from the agency, they admit ""that they would not like to be in our place and that it is unfair"" but are in the inability to act. It is ashamed to be treate"&amp;"d thus when you drop almost 1600 euros in contributions per year for the insurance of our cars and house. No commercial sense. The only power that I have left as a customer is to seek a new agency for all of my property.")</f>
        <v>Customer for 10 years, and my family for 30, never had an accident, the first accident that I am a victim (someone gritles a giving up the passage) and drives my car bought 2 months ago! Declared irreparable and estimated at 1,300 euros below the argus despite maintenance bills, other offers well above their proposal. I am unable to buy myself a similar vehicle and I have been without a car since the start of the procedure. The file is dragging again and again for us to get tired, we ask for a counter-expertise and we realize that they have it done by the same expertise box as the first. Ashamed! As long as there is no problem they are good for taking their contributions but then ... No one, everyone returns the ball, nobody is responsible and no valid interlocutor! In agency they sell products that they do not master, after conversation with someone from the agency, they admit "that they would not like to be in our place and that it is unfair" but are in the inability to act. It is ashamed to be treated thus when you drop almost 1600 euros in contributions per year for the insurance of our cars and house. No commercial sense. The only power that I have left as a customer is to seek a new agency for all of my property.</v>
      </c>
    </row>
    <row r="158" ht="15.75" customHeight="1">
      <c r="A158" s="2">
        <v>4.0</v>
      </c>
      <c r="B158" s="2" t="s">
        <v>552</v>
      </c>
      <c r="C158" s="2" t="s">
        <v>553</v>
      </c>
      <c r="D158" s="2" t="s">
        <v>60</v>
      </c>
      <c r="E158" s="2" t="s">
        <v>61</v>
      </c>
      <c r="F158" s="2" t="s">
        <v>15</v>
      </c>
      <c r="G158" s="2" t="s">
        <v>554</v>
      </c>
      <c r="H158" s="2" t="s">
        <v>179</v>
      </c>
      <c r="I158" s="2" t="str">
        <f>IFERROR(__xludf.DUMMYFUNCTION("GOOGLETRANSLATE(C158,""fr"",""en"")"),"Insured for 2 years nothing to complain about, much worse elsewhere")</f>
        <v>Insured for 2 years nothing to complain about, much worse elsewhere</v>
      </c>
    </row>
    <row r="159" ht="15.75" customHeight="1">
      <c r="A159" s="2">
        <v>3.0</v>
      </c>
      <c r="B159" s="2" t="s">
        <v>555</v>
      </c>
      <c r="C159" s="2" t="s">
        <v>556</v>
      </c>
      <c r="D159" s="2" t="s">
        <v>19</v>
      </c>
      <c r="E159" s="2" t="s">
        <v>20</v>
      </c>
      <c r="F159" s="2" t="s">
        <v>15</v>
      </c>
      <c r="G159" s="2" t="s">
        <v>147</v>
      </c>
      <c r="H159" s="2" t="s">
        <v>74</v>
      </c>
      <c r="I159" s="2" t="str">
        <f>IFERROR(__xludf.DUMMYFUNCTION("GOOGLETRANSLATE(C159,""fr"",""en"")"),"The prices are excessive // ​​guarantees
I have very little direct assurance (it is that everything is fine!)
In any case, I would not like to change the company ...")</f>
        <v>The prices are excessive // ​​guarantees
I have very little direct assurance (it is that everything is fine!)
In any case, I would not like to change the company ...</v>
      </c>
    </row>
    <row r="160" ht="15.75" customHeight="1">
      <c r="A160" s="2">
        <v>1.0</v>
      </c>
      <c r="B160" s="2" t="s">
        <v>557</v>
      </c>
      <c r="C160" s="2" t="s">
        <v>558</v>
      </c>
      <c r="D160" s="2" t="s">
        <v>559</v>
      </c>
      <c r="E160" s="2" t="s">
        <v>135</v>
      </c>
      <c r="F160" s="2" t="s">
        <v>15</v>
      </c>
      <c r="G160" s="2" t="s">
        <v>560</v>
      </c>
      <c r="H160" s="2" t="s">
        <v>561</v>
      </c>
      <c r="I160" s="2" t="str">
        <f>IFERROR(__xludf.DUMMYFUNCTION("GOOGLETRANSLATE(C160,""fr"",""en"")"),"I had in early December 2016 in early December 2016, issued the wish to make a partial acquisition of 72 hours (so urgent) of 3,600 euros. The boredom is that the account on which this transfer was intended was no longer valid. In addition, the link to a "&amp;"change in account contact details is only bugging. Despite my report, their services were not able to correct this. So I was forced to go through a paper formula, although the expected transfer was urgent. Despite a letter of good reception on their part,"&amp;" dated December 23, the transfer has still not been made. I know that we have returned to a holiday season but the bank has not completely closed since I know. I regularly disinvest the money I had at home because for several years, I realize that their s"&amp;"ervices are constantly degraded, proof is the endless and regular half-hour on the phone behind a vocal server without obtaining anyone (again yesterday from 9:30 a.m. to 10 a.m.). I have only 2 hesitations, completely closed my account of the worst bank "&amp;"that I have known, general and water the forums of bad advertising against them to save the inconvenience of the new subscribers. But what is certain is that I start to lose patience and I invite you to execute my request as soon as possible, I will ask t"&amp;"he various consumer associations and legal services to take charge.")</f>
        <v>I had in early December 2016 in early December 2016, issued the wish to make a partial acquisition of 72 hours (so urgent) of 3,600 euros. The boredom is that the account on which this transfer was intended was no longer valid. In addition, the link to a change in account contact details is only bugging. Despite my report, their services were not able to correct this. So I was forced to go through a paper formula, although the expected transfer was urgent. Despite a letter of good reception on their part, dated December 23, the transfer has still not been made. I know that we have returned to a holiday season but the bank has not completely closed since I know. I regularly disinvest the money I had at home because for several years, I realize that their services are constantly degraded, proof is the endless and regular half-hour on the phone behind a vocal server without obtaining anyone (again yesterday from 9:30 a.m. to 10 a.m.). I have only 2 hesitations, completely closed my account of the worst bank that I have known, general and water the forums of bad advertising against them to save the inconvenience of the new subscribers. But what is certain is that I start to lose patience and I invite you to execute my request as soon as possible, I will ask the various consumer associations and legal services to take charge.</v>
      </c>
    </row>
    <row r="161" ht="15.75" customHeight="1">
      <c r="A161" s="2">
        <v>3.0</v>
      </c>
      <c r="B161" s="2" t="s">
        <v>562</v>
      </c>
      <c r="C161" s="2" t="s">
        <v>563</v>
      </c>
      <c r="D161" s="2" t="s">
        <v>43</v>
      </c>
      <c r="E161" s="2" t="s">
        <v>122</v>
      </c>
      <c r="F161" s="2" t="s">
        <v>15</v>
      </c>
      <c r="G161" s="2" t="s">
        <v>564</v>
      </c>
      <c r="H161" s="2" t="s">
        <v>332</v>
      </c>
      <c r="I161" s="2" t="str">
        <f>IFERROR(__xludf.DUMMYFUNCTION("GOOGLETRANSLATE(C161,""fr"",""en"")"),"The prices explode every year. And I never have sinister. I will see elsewhere because too much is too much. I did the calculation of 300 euros 5 years ago I pay 410 euros today. years. Commit my retirement !!!!!!!!!!")</f>
        <v>The prices explode every year. And I never have sinister. I will see elsewhere because too much is too much. I did the calculation of 300 euros 5 years ago I pay 410 euros today. years. Commit my retirement !!!!!!!!!!</v>
      </c>
    </row>
    <row r="162" ht="15.75" customHeight="1">
      <c r="A162" s="2">
        <v>1.0</v>
      </c>
      <c r="B162" s="2" t="s">
        <v>565</v>
      </c>
      <c r="C162" s="2" t="s">
        <v>566</v>
      </c>
      <c r="D162" s="2" t="s">
        <v>86</v>
      </c>
      <c r="E162" s="2" t="s">
        <v>61</v>
      </c>
      <c r="F162" s="2" t="s">
        <v>15</v>
      </c>
      <c r="G162" s="2" t="s">
        <v>567</v>
      </c>
      <c r="H162" s="2" t="s">
        <v>567</v>
      </c>
      <c r="I162" s="2" t="str">
        <f>IFERROR(__xludf.DUMMYFUNCTION("GOOGLETRANSLATE(C162,""fr"",""en"")"),"Suite canvassing tel laptop of my wife and after verifying my contact details compared to my IBAN I have just received a membership certificate. I have never received a proposal and signed a contract with them. I explain to you. My wife is brought down by"&amp;" a canvassing on the phone on August 22, 2018 by one of your employees who called it with the following N of Tel: 06 43 85 43 35. Missels no acceptance of any of your contracts. I still received confirmation of membership as well as a Laddrewer to a Neoli"&amp;"ane Legal Protection contract today on September 01, 2018 which is for me a false because I did not adhere to any contract, for info I would never do D Membership of no contract with you or your representatives, so I went to the gendarmerie, and I am advi"&amp;"sed to start by playing the withdrawal period which is fourteen days before considering other procedures here is the adhesion number which is subscribed under the first name of my wife with sets provided for 20 euros each month on my personal bank account"&amp;". I therefore ask you to cancel this so -called contract on the membership field 324106. This email will be followed by an AR dice on September 03 as well as an opposition to my bank. If before ten days I have no news from you a complaint will actually be"&amp;" filed with the help of my lawyer.")</f>
        <v>Suite canvassing tel laptop of my wife and after verifying my contact details compared to my IBAN I have just received a membership certificate. I have never received a proposal and signed a contract with them. I explain to you. My wife is brought down by a canvassing on the phone on August 22, 2018 by one of your employees who called it with the following N of Tel: 06 43 85 43 35. Missels no acceptance of any of your contracts. I still received confirmation of membership as well as a Laddrewer to a Neoliane Legal Protection contract today on September 01, 2018 which is for me a false because I did not adhere to any contract, for info I would never do D Membership of no contract with you or your representatives, so I went to the gendarmerie, and I am advised to start by playing the withdrawal period which is fourteen days before considering other procedures here is the adhesion number which is subscribed under the first name of my wife with sets provided for 20 euros each month on my personal bank account. I therefore ask you to cancel this so -called contract on the membership field 324106. This email will be followed by an AR dice on September 03 as well as an opposition to my bank. If before ten days I have no news from you a complaint will actually be filed with the help of my lawyer.</v>
      </c>
    </row>
    <row r="163" ht="15.75" customHeight="1">
      <c r="A163" s="2">
        <v>2.0</v>
      </c>
      <c r="B163" s="2" t="s">
        <v>568</v>
      </c>
      <c r="C163" s="2" t="s">
        <v>569</v>
      </c>
      <c r="D163" s="2" t="s">
        <v>35</v>
      </c>
      <c r="E163" s="2" t="s">
        <v>20</v>
      </c>
      <c r="F163" s="2" t="s">
        <v>15</v>
      </c>
      <c r="G163" s="2" t="s">
        <v>570</v>
      </c>
      <c r="H163" s="2" t="s">
        <v>32</v>
      </c>
      <c r="I163" s="2" t="str">
        <f>IFERROR(__xludf.DUMMYFUNCTION("GOOGLETRANSLATE(C163,""fr"",""en"")"),"A beginning of chaotic insurance with errors compared to the quote ..., no return to the email after several days, unsettled after -sales service for the moment ...")</f>
        <v>A beginning of chaotic insurance with errors compared to the quote ..., no return to the email after several days, unsettled after -sales service for the moment ...</v>
      </c>
    </row>
    <row r="164" ht="15.75" customHeight="1">
      <c r="A164" s="2">
        <v>5.0</v>
      </c>
      <c r="B164" s="2" t="s">
        <v>571</v>
      </c>
      <c r="C164" s="2" t="s">
        <v>572</v>
      </c>
      <c r="D164" s="2" t="s">
        <v>171</v>
      </c>
      <c r="E164" s="2" t="s">
        <v>14</v>
      </c>
      <c r="F164" s="2" t="s">
        <v>15</v>
      </c>
      <c r="G164" s="2" t="s">
        <v>573</v>
      </c>
      <c r="H164" s="2" t="s">
        <v>74</v>
      </c>
      <c r="I164" s="2" t="str">
        <f>IFERROR(__xludf.DUMMYFUNCTION("GOOGLETRANSLATE(C164,""fr"",""en"")"),"Cheap compared to other insurance and 0km breakdown !!! In the top. Facilitates to ensure on the internet ...
Only positive compared to competitors")</f>
        <v>Cheap compared to other insurance and 0km breakdown !!! In the top. Facilitates to ensure on the internet ...
Only positive compared to competitors</v>
      </c>
    </row>
    <row r="165" ht="15.75" customHeight="1">
      <c r="A165" s="2">
        <v>2.0</v>
      </c>
      <c r="B165" s="2" t="s">
        <v>574</v>
      </c>
      <c r="C165" s="2" t="s">
        <v>575</v>
      </c>
      <c r="D165" s="2" t="s">
        <v>35</v>
      </c>
      <c r="E165" s="2" t="s">
        <v>20</v>
      </c>
      <c r="F165" s="2" t="s">
        <v>15</v>
      </c>
      <c r="G165" s="2" t="s">
        <v>576</v>
      </c>
      <c r="H165" s="2" t="s">
        <v>247</v>
      </c>
      <c r="I165" s="2" t="str">
        <f>IFERROR(__xludf.DUMMYFUNCTION("GOOGLETRANSLATE(C165,""fr"",""en"")"),"I strongly advise against this insurance! In the event of sinister we are responsible for you without even trying to understand ... I went home I but my turn signal I start to turn left and a woman who says I have not seen me (surely on her phone) returns"&amp;" to me in it in Trying to overtake me or do I don't know what .. in short she tells herself completely at fault we fill the observation, I send it, and the surprise !! Total responsibility !!! So I actually find out I have my share of responsibility, but "&amp;"according to the IRSA scale (scale of insurance responsibilities) that the olive tree did not sign. I come back from the case 17 which empowers 50/50 for this victory so why did my insurance try to defend this position and fully responsibility? No call to"&amp;" know the exact circumstances .. so I call to say that I do not agree with this decision, and the impression of speaking alone, to say ""my colleague to judge that you were responsible"" they do not know how to say anything. I will simply call on our cons"&amp;"umer protection service. Hallucing for a disaster or even the third party admits being at fault .. barely believable .. so I tell you in the event of claims does not count on them to lower the note. They will not defend your position on the contrary. I re"&amp;"ally recommend that you go your way even if the prices are attracting the game is not worth the candle.")</f>
        <v>I strongly advise against this insurance! In the event of sinister we are responsible for you without even trying to understand ... I went home I but my turn signal I start to turn left and a woman who says I have not seen me (surely on her phone) returns to me in it in Trying to overtake me or do I don't know what .. in short she tells herself completely at fault we fill the observation, I send it, and the surprise !! Total responsibility !!! So I actually find out I have my share of responsibility, but according to the IRSA scale (scale of insurance responsibilities) that the olive tree did not sign. I come back from the case 17 which empowers 50/50 for this victory so why did my insurance try to defend this position and fully responsibility? No call to know the exact circumstances .. so I call to say that I do not agree with this decision, and the impression of speaking alone, to say "my colleague to judge that you were responsible" they do not know how to say anything. I will simply call on our consumer protection service. Hallucing for a disaster or even the third party admits being at fault .. barely believable .. so I tell you in the event of claims does not count on them to lower the note. They will not defend your position on the contrary. I really recommend that you go your way even if the prices are attracting the game is not worth the candle.</v>
      </c>
    </row>
    <row r="166" ht="15.75" customHeight="1">
      <c r="A166" s="2">
        <v>1.0</v>
      </c>
      <c r="B166" s="2" t="s">
        <v>577</v>
      </c>
      <c r="C166" s="2" t="s">
        <v>578</v>
      </c>
      <c r="D166" s="2" t="s">
        <v>285</v>
      </c>
      <c r="E166" s="2" t="s">
        <v>122</v>
      </c>
      <c r="F166" s="2" t="s">
        <v>15</v>
      </c>
      <c r="G166" s="2" t="s">
        <v>579</v>
      </c>
      <c r="H166" s="2" t="s">
        <v>186</v>
      </c>
      <c r="I166" s="2" t="str">
        <f>IFERROR(__xludf.DUMMYFUNCTION("GOOGLETRANSLATE(C166,""fr"",""en"")"),"hello very very disappointed .Cambriolage with jewelry flight expert report established since early July for the moment no return lack of communication with discordant responses despite calls, email, trip to the agency")</f>
        <v>hello very very disappointed .Cambriolage with jewelry flight expert report established since early July for the moment no return lack of communication with discordant responses despite calls, email, trip to the agency</v>
      </c>
    </row>
    <row r="167" ht="15.75" customHeight="1">
      <c r="A167" s="2">
        <v>3.0</v>
      </c>
      <c r="B167" s="2" t="s">
        <v>580</v>
      </c>
      <c r="C167" s="2" t="s">
        <v>581</v>
      </c>
      <c r="D167" s="2" t="s">
        <v>171</v>
      </c>
      <c r="E167" s="2" t="s">
        <v>14</v>
      </c>
      <c r="F167" s="2" t="s">
        <v>15</v>
      </c>
      <c r="G167" s="2" t="s">
        <v>582</v>
      </c>
      <c r="H167" s="2" t="s">
        <v>32</v>
      </c>
      <c r="I167" s="2" t="str">
        <f>IFERROR(__xludf.DUMMYFUNCTION("GOOGLETRANSLATE(C167,""fr"",""en"")"),"Good responsiveness from the phone advisor
The price with so many years of disaster license is still excessive.
Finalization of the simple file to make
")</f>
        <v>Good responsiveness from the phone advisor
The price with so many years of disaster license is still excessive.
Finalization of the simple file to make
</v>
      </c>
    </row>
    <row r="168" ht="15.75" customHeight="1">
      <c r="A168" s="2">
        <v>4.0</v>
      </c>
      <c r="B168" s="2" t="s">
        <v>583</v>
      </c>
      <c r="C168" s="2" t="s">
        <v>584</v>
      </c>
      <c r="D168" s="2" t="s">
        <v>193</v>
      </c>
      <c r="E168" s="2" t="s">
        <v>20</v>
      </c>
      <c r="F168" s="2" t="s">
        <v>15</v>
      </c>
      <c r="G168" s="2" t="s">
        <v>585</v>
      </c>
      <c r="H168" s="2" t="s">
        <v>256</v>
      </c>
      <c r="I168" s="2" t="str">
        <f>IFERROR(__xludf.DUMMYFUNCTION("GOOGLETRANSLATE(C168,""fr"",""en"")"),"I have been a member for my eighteen years and I have sixty two today. I am assured at home for the house and for my car. I read a good thirty comments and I am frightened by what I read. Me, it goes not too bad.
I had a burglary on Christmas Eve. All my"&amp;" jewelry as well as money without forgetting the gifts I had at home on the eve of departure in the family were stolen. My window was forced to enter. No more starting police. The Matmut came, I gave the invoices and the objects of stolen objects and I wa"&amp;"s reimbursed quickly but 1/3 of the value because for my jewelry, it was necessary a very expensive additional insurance that I still subscribed.
As for the vehicle, I had several light accidents without my responsibility being engaged, too, I was each t"&amp;"ime at my mechanic who sees with the expert. The mechanic lends me a car for free or paying if the Matmut takes care of this expense. The last time, I dropped off my car on Good Friday, the expert passed on Saturday and the work started the following Tues"&amp;"day (Easter). The Matmut refused to take charge of the rental from Saturday to Monday included.
Another time, I had an accident in a roundabout, the lady who was driving to my left forced the passage to go out and took my front left wing. She was on the "&amp;"phone, stopped and fled. I caught her, she wanted to call her husband. I forced her to give me his papers otherwise I called the police with which I worked and I made my statement. I was first recognized. I argued that the lady in question had made drivin"&amp;"g errors and I was held responsible 50%. I insisted by providing proof that driving in a round was different to enter a roundabout as well as a police certificate explaining the driving in a roundabout (this is where I realized that the person Claisres di"&amp;"d not know her code) what was she doing to claims? I was laundered with my responsibility and the lady ended up with 100%responsibility. If you are right, you have to fight.
Responsible or not, now things are different. There are no longer several insure"&amp;"rs but only one central.
I specify that I am always 65%, that I have not been canceled and that when I call Aubagne or if I move, I always come across pleasant girls, very often, attacked (waiting for your Tour, we hear green and ripe steps), which have "&amp;"always listened to me and helped me in the ""solution"" of my problems.
Change why, given the notes of others .... you believe that other insurers are angels descended from the sky for the well -being of the insured. They are not there to make demagoguer"&amp;"y but money.
Finally, small anecdote since there are characters. The front door slaps following a gale. I am in the street. Impossible to fit out the windows, they are protected because of burglaries. I call the Matmut who speaks compensation. The locksm"&amp;"ith comes. Change lock (protected lock cause burglaries) and intervention 1000 euros. The Matmut on the phone says 200 euros to me. Upon receipt, only 130 euros/1000 euros remain. So....")</f>
        <v>I have been a member for my eighteen years and I have sixty two today. I am assured at home for the house and for my car. I read a good thirty comments and I am frightened by what I read. Me, it goes not too bad.
I had a burglary on Christmas Eve. All my jewelry as well as money without forgetting the gifts I had at home on the eve of departure in the family were stolen. My window was forced to enter. No more starting police. The Matmut came, I gave the invoices and the objects of stolen objects and I was reimbursed quickly but 1/3 of the value because for my jewelry, it was necessary a very expensive additional insurance that I still subscribed.
As for the vehicle, I had several light accidents without my responsibility being engaged, too, I was each time at my mechanic who sees with the expert. The mechanic lends me a car for free or paying if the Matmut takes care of this expense. The last time, I dropped off my car on Good Friday, the expert passed on Saturday and the work started the following Tuesday (Easter). The Matmut refused to take charge of the rental from Saturday to Monday included.
Another time, I had an accident in a roundabout, the lady who was driving to my left forced the passage to go out and took my front left wing. She was on the phone, stopped and fled. I caught her, she wanted to call her husband. I forced her to give me his papers otherwise I called the police with which I worked and I made my statement. I was first recognized. I argued that the lady in question had made driving errors and I was held responsible 50%. I insisted by providing proof that driving in a round was different to enter a roundabout as well as a police certificate explaining the driving in a roundabout (this is where I realized that the person Claisres did not know her code) what was she doing to claims? I was laundered with my responsibility and the lady ended up with 100%responsibility. If you are right, you have to fight.
Responsible or not, now things are different. There are no longer several insurers but only one central.
I specify that I am always 65%, that I have not been canceled and that when I call Aubagne or if I move, I always come across pleasant girls, very often, attacked (waiting for your Tour, we hear green and ripe steps), which have always listened to me and helped me in the "solution" of my problems.
Change why, given the notes of others .... you believe that other insurers are angels descended from the sky for the well -being of the insured. They are not there to make demagoguery but money.
Finally, small anecdote since there are characters. The front door slaps following a gale. I am in the street. Impossible to fit out the windows, they are protected because of burglaries. I call the Matmut who speaks compensation. The locksmith comes. Change lock (protected lock cause burglaries) and intervention 1000 euros. The Matmut on the phone says 200 euros to me. Upon receipt, only 130 euros/1000 euros remain. So....</v>
      </c>
    </row>
    <row r="169" ht="15.75" customHeight="1">
      <c r="A169" s="2">
        <v>1.0</v>
      </c>
      <c r="B169" s="2" t="s">
        <v>586</v>
      </c>
      <c r="C169" s="2" t="s">
        <v>587</v>
      </c>
      <c r="D169" s="2" t="s">
        <v>245</v>
      </c>
      <c r="E169" s="2" t="s">
        <v>61</v>
      </c>
      <c r="F169" s="2" t="s">
        <v>15</v>
      </c>
      <c r="G169" s="2" t="s">
        <v>588</v>
      </c>
      <c r="H169" s="2" t="s">
        <v>271</v>
      </c>
      <c r="I169" s="2" t="str">
        <f>IFERROR(__xludf.DUMMYFUNCTION("GOOGLETRANSLATE(C169,""fr"",""en"")"),"Do not be in a hurry for 1 request after 15 days with 2 reminders not new ...................................")</f>
        <v>Do not be in a hurry for 1 request after 15 days with 2 reminders not new ...................................</v>
      </c>
    </row>
    <row r="170" ht="15.75" customHeight="1">
      <c r="A170" s="2">
        <v>4.0</v>
      </c>
      <c r="B170" s="2" t="s">
        <v>589</v>
      </c>
      <c r="C170" s="2" t="s">
        <v>590</v>
      </c>
      <c r="D170" s="2" t="s">
        <v>35</v>
      </c>
      <c r="E170" s="2" t="s">
        <v>20</v>
      </c>
      <c r="F170" s="2" t="s">
        <v>15</v>
      </c>
      <c r="G170" s="2" t="s">
        <v>130</v>
      </c>
      <c r="H170" s="2" t="s">
        <v>131</v>
      </c>
      <c r="I170" s="2" t="str">
        <f>IFERROR(__xludf.DUMMYFUNCTION("GOOGLETRANSLATE(C170,""fr"",""en"")"),"I am satisfied with the price of customer service services The members of the group everything was clear they explain well
I recommend them for my loved ones")</f>
        <v>I am satisfied with the price of customer service services The members of the group everything was clear they explain well
I recommend them for my loved ones</v>
      </c>
    </row>
    <row r="171" ht="15.75" customHeight="1">
      <c r="A171" s="2">
        <v>4.0</v>
      </c>
      <c r="B171" s="2" t="s">
        <v>591</v>
      </c>
      <c r="C171" s="2" t="s">
        <v>592</v>
      </c>
      <c r="D171" s="2" t="s">
        <v>19</v>
      </c>
      <c r="E171" s="2" t="s">
        <v>20</v>
      </c>
      <c r="F171" s="2" t="s">
        <v>15</v>
      </c>
      <c r="G171" s="2" t="s">
        <v>593</v>
      </c>
      <c r="H171" s="2" t="s">
        <v>108</v>
      </c>
      <c r="I171" s="2" t="str">
        <f>IFERROR(__xludf.DUMMYFUNCTION("GOOGLETRANSLATE(C171,""fr"",""en"")"),"The fifth star would have been put if I had been able to settle in a monthly and not annual way, which concerns the rest seems correct for the moment.
")</f>
        <v>The fifth star would have been put if I had been able to settle in a monthly and not annual way, which concerns the rest seems correct for the moment.
</v>
      </c>
    </row>
    <row r="172" ht="15.75" customHeight="1">
      <c r="A172" s="2">
        <v>1.0</v>
      </c>
      <c r="B172" s="2" t="s">
        <v>594</v>
      </c>
      <c r="C172" s="2" t="s">
        <v>595</v>
      </c>
      <c r="D172" s="2" t="s">
        <v>24</v>
      </c>
      <c r="E172" s="2" t="s">
        <v>122</v>
      </c>
      <c r="F172" s="2" t="s">
        <v>15</v>
      </c>
      <c r="G172" s="2" t="s">
        <v>596</v>
      </c>
      <c r="H172" s="2" t="s">
        <v>131</v>
      </c>
      <c r="I172" s="2" t="str">
        <f>IFERROR(__xludf.DUMMYFUNCTION("GOOGLETRANSLATE(C172,""fr"",""en"")"),"No follow -up, overwhelmed, late return more than 4 months for a partial catch from our disaster (storm). I don't even imagine with a big claim by being insured at Axa")</f>
        <v>No follow -up, overwhelmed, late return more than 4 months for a partial catch from our disaster (storm). I don't even imagine with a big claim by being insured at Axa</v>
      </c>
    </row>
    <row r="173" ht="15.75" customHeight="1">
      <c r="A173" s="2">
        <v>1.0</v>
      </c>
      <c r="B173" s="2" t="s">
        <v>597</v>
      </c>
      <c r="C173" s="2" t="s">
        <v>598</v>
      </c>
      <c r="D173" s="2" t="s">
        <v>95</v>
      </c>
      <c r="E173" s="2" t="s">
        <v>20</v>
      </c>
      <c r="F173" s="2" t="s">
        <v>15</v>
      </c>
      <c r="G173" s="2" t="s">
        <v>599</v>
      </c>
      <c r="H173" s="2" t="s">
        <v>16</v>
      </c>
      <c r="I173" s="2" t="str">
        <f>IFERROR(__xludf.DUMMYFUNCTION("GOOGLETRANSLATE(C173,""fr"",""en"")"),"20.08.2020
Maaf at the top of the top of the draws
For my son, a young driver who is looking for insurance, I consult the MAAF on the Internet and obtains a quote without problem, by conscientiously answering, in all honest and transparency, to the ques"&amp;"tions asked. After putting this quote into competition, my son validates this one. Here we go to the BRIE COMTE Robert agency in Seine et Marne to transform this quote into a contract. We are greeted by the agency manager who informs us that ensuring a yo"&amp;"ung driver at the MAAF is only possible if the young driver is a child of a member. So why not specify it from the start, on the Internet?
In any event, due to the overflowing kindness of the manager, we must better flee this agency and forget it as soon"&amp;" as possible, I dare not imagine the continuation that he can give to a sinister .... JPGLE 24.08 .2020le 24.08.2020")</f>
        <v>20.08.2020
Maaf at the top of the top of the draws
For my son, a young driver who is looking for insurance, I consult the MAAF on the Internet and obtains a quote without problem, by conscientiously answering, in all honest and transparency, to the questions asked. After putting this quote into competition, my son validates this one. Here we go to the BRIE COMTE Robert agency in Seine et Marne to transform this quote into a contract. We are greeted by the agency manager who informs us that ensuring a young driver at the MAAF is only possible if the young driver is a child of a member. So why not specify it from the start, on the Internet?
In any event, due to the overflowing kindness of the manager, we must better flee this agency and forget it as soon as possible, I dare not imagine the continuation that he can give to a sinister .... JPGLE 24.08 .2020le 24.08.2020</v>
      </c>
    </row>
    <row r="174" ht="15.75" customHeight="1">
      <c r="A174" s="2">
        <v>1.0</v>
      </c>
      <c r="B174" s="2" t="s">
        <v>600</v>
      </c>
      <c r="C174" s="2" t="s">
        <v>601</v>
      </c>
      <c r="D174" s="2" t="s">
        <v>56</v>
      </c>
      <c r="E174" s="2" t="s">
        <v>20</v>
      </c>
      <c r="F174" s="2" t="s">
        <v>15</v>
      </c>
      <c r="G174" s="2" t="s">
        <v>73</v>
      </c>
      <c r="H174" s="2" t="s">
        <v>74</v>
      </c>
      <c r="I174" s="2" t="str">
        <f>IFERROR(__xludf.DUMMYFUNCTION("GOOGLETRANSLATE(C174,""fr"",""en"")"),"Having needed assistance for returning home and car loan following a breakdown I waited for 3 hours that I was sent a taxi !!!
Total incompetence of this service!")</f>
        <v>Having needed assistance for returning home and car loan following a breakdown I waited for 3 hours that I was sent a taxi !!!
Total incompetence of this service!</v>
      </c>
    </row>
    <row r="175" ht="15.75" customHeight="1">
      <c r="A175" s="2">
        <v>1.0</v>
      </c>
      <c r="B175" s="2" t="s">
        <v>602</v>
      </c>
      <c r="C175" s="2" t="s">
        <v>603</v>
      </c>
      <c r="D175" s="2" t="s">
        <v>43</v>
      </c>
      <c r="E175" s="2" t="s">
        <v>20</v>
      </c>
      <c r="F175" s="2" t="s">
        <v>15</v>
      </c>
      <c r="G175" s="2" t="s">
        <v>604</v>
      </c>
      <c r="H175" s="2" t="s">
        <v>239</v>
      </c>
      <c r="I175" s="2" t="str">
        <f>IFERROR(__xludf.DUMMYFUNCTION("GOOGLETRANSLATE(C175,""fr"",""en"")"),"Very expensive. Hours of expectations to reach them on the phone so that it hangs up in the end with nothing. No problem to take out a new contract but as soon as it is a question of stopping it is another story ... Nothing is done to help us.")</f>
        <v>Very expensive. Hours of expectations to reach them on the phone so that it hangs up in the end with nothing. No problem to take out a new contract but as soon as it is a question of stopping it is another story ... Nothing is done to help us.</v>
      </c>
    </row>
    <row r="176" ht="15.75" customHeight="1">
      <c r="A176" s="2">
        <v>4.0</v>
      </c>
      <c r="B176" s="2" t="s">
        <v>605</v>
      </c>
      <c r="C176" s="2" t="s">
        <v>606</v>
      </c>
      <c r="D176" s="2" t="s">
        <v>19</v>
      </c>
      <c r="E176" s="2" t="s">
        <v>20</v>
      </c>
      <c r="F176" s="2" t="s">
        <v>15</v>
      </c>
      <c r="G176" s="2" t="s">
        <v>607</v>
      </c>
      <c r="H176" s="2" t="s">
        <v>164</v>
      </c>
      <c r="I176" s="2" t="str">
        <f>IFERROR(__xludf.DUMMYFUNCTION("GOOGLETRANSLATE(C176,""fr"",""en"")"),"I am satisfied with the service, simple and practical, I highly recommend to my family and friends entourage without any problems.
The quality of data processing is very good")</f>
        <v>I am satisfied with the service, simple and practical, I highly recommend to my family and friends entourage without any problems.
The quality of data processing is very good</v>
      </c>
    </row>
    <row r="177" ht="15.75" customHeight="1">
      <c r="A177" s="2">
        <v>4.0</v>
      </c>
      <c r="B177" s="2" t="s">
        <v>608</v>
      </c>
      <c r="C177" s="2" t="s">
        <v>609</v>
      </c>
      <c r="D177" s="2" t="s">
        <v>35</v>
      </c>
      <c r="E177" s="2" t="s">
        <v>20</v>
      </c>
      <c r="F177" s="2" t="s">
        <v>15</v>
      </c>
      <c r="G177" s="2" t="s">
        <v>610</v>
      </c>
      <c r="H177" s="2" t="s">
        <v>74</v>
      </c>
      <c r="I177" s="2" t="str">
        <f>IFERROR(__xludf.DUMMYFUNCTION("GOOGLETRANSLATE(C177,""fr"",""en"")"),"Simple and practical
During my subscription I had to do to a competent person, attentive and also very patient.
                         ")</f>
        <v>Simple and practical
During my subscription I had to do to a competent person, attentive and also very patient.
                         </v>
      </c>
    </row>
    <row r="178" ht="15.75" customHeight="1">
      <c r="A178" s="2">
        <v>4.0</v>
      </c>
      <c r="B178" s="2" t="s">
        <v>611</v>
      </c>
      <c r="C178" s="2" t="s">
        <v>612</v>
      </c>
      <c r="D178" s="2" t="s">
        <v>171</v>
      </c>
      <c r="E178" s="2" t="s">
        <v>14</v>
      </c>
      <c r="F178" s="2" t="s">
        <v>15</v>
      </c>
      <c r="G178" s="2" t="s">
        <v>613</v>
      </c>
      <c r="H178" s="2" t="s">
        <v>92</v>
      </c>
      <c r="I178" s="2" t="str">
        <f>IFERROR(__xludf.DUMMYFUNCTION("GOOGLETRANSLATE(C178,""fr"",""en"")"),"The online service works properly. I would appreciate immediately receiving my recorded card payment, the visualization of the green card via my mailbox.")</f>
        <v>The online service works properly. I would appreciate immediately receiving my recorded card payment, the visualization of the green card via my mailbox.</v>
      </c>
    </row>
    <row r="179" ht="15.75" customHeight="1">
      <c r="A179" s="2">
        <v>1.0</v>
      </c>
      <c r="B179" s="2" t="s">
        <v>614</v>
      </c>
      <c r="C179" s="2" t="s">
        <v>615</v>
      </c>
      <c r="D179" s="2" t="s">
        <v>476</v>
      </c>
      <c r="E179" s="2" t="s">
        <v>122</v>
      </c>
      <c r="F179" s="2" t="s">
        <v>15</v>
      </c>
      <c r="G179" s="2" t="s">
        <v>428</v>
      </c>
      <c r="H179" s="2" t="s">
        <v>53</v>
      </c>
      <c r="I179" s="2" t="str">
        <f>IFERROR(__xludf.DUMMYFUNCTION("GOOGLETRANSLATE(C179,""fr"",""en"")"),"Mediocre value for money, to remind you and offer commercial offers they are fast, friendly but when it comes to declaring a claim, the site never works, advisers are unreachable, summons to expertise are not transmitted And/ or the dates are wrong, the i"&amp;"nsurer does not respect the interests of his client and the designated experts lack neutrality and his under the influence of Groupama, finality, everything is done so as not to compensate and/ discourage you to insist.
To flee!")</f>
        <v>Mediocre value for money, to remind you and offer commercial offers they are fast, friendly but when it comes to declaring a claim, the site never works, advisers are unreachable, summons to expertise are not transmitted And/ or the dates are wrong, the insurer does not respect the interests of his client and the designated experts lack neutrality and his under the influence of Groupama, finality, everything is done so as not to compensate and/ discourage you to insist.
To flee!</v>
      </c>
    </row>
    <row r="180" ht="15.75" customHeight="1">
      <c r="A180" s="2">
        <v>4.0</v>
      </c>
      <c r="B180" s="2" t="s">
        <v>616</v>
      </c>
      <c r="C180" s="2" t="s">
        <v>617</v>
      </c>
      <c r="D180" s="2" t="s">
        <v>19</v>
      </c>
      <c r="E180" s="2" t="s">
        <v>20</v>
      </c>
      <c r="F180" s="2" t="s">
        <v>15</v>
      </c>
      <c r="G180" s="2" t="s">
        <v>618</v>
      </c>
      <c r="H180" s="2" t="s">
        <v>92</v>
      </c>
      <c r="I180" s="2" t="str">
        <f>IFERROR(__xludf.DUMMYFUNCTION("GOOGLETRANSLATE(C180,""fr"",""en"")"),"I am satisfied with the online service, simple and quick, only regret no annual telephone contact, to offer an adjustment of the contract or new service")</f>
        <v>I am satisfied with the online service, simple and quick, only regret no annual telephone contact, to offer an adjustment of the contract or new service</v>
      </c>
    </row>
    <row r="181" ht="15.75" customHeight="1">
      <c r="A181" s="2">
        <v>3.0</v>
      </c>
      <c r="B181" s="2" t="s">
        <v>619</v>
      </c>
      <c r="C181" s="2" t="s">
        <v>620</v>
      </c>
      <c r="D181" s="2" t="s">
        <v>19</v>
      </c>
      <c r="E181" s="2" t="s">
        <v>20</v>
      </c>
      <c r="F181" s="2" t="s">
        <v>15</v>
      </c>
      <c r="G181" s="2" t="s">
        <v>621</v>
      </c>
      <c r="H181" s="2" t="s">
        <v>32</v>
      </c>
      <c r="I181" s="2" t="str">
        <f>IFERROR(__xludf.DUMMYFUNCTION("GOOGLETRANSLATE(C181,""fr"",""en"")"),"Personal space not very user -friendly. I did not find what I was looking for. A help window appears to mean that there is no one to help me.")</f>
        <v>Personal space not very user -friendly. I did not find what I was looking for. A help window appears to mean that there is no one to help me.</v>
      </c>
    </row>
    <row r="182" ht="15.75" customHeight="1">
      <c r="A182" s="2">
        <v>1.0</v>
      </c>
      <c r="B182" s="2" t="s">
        <v>622</v>
      </c>
      <c r="C182" s="2" t="s">
        <v>623</v>
      </c>
      <c r="D182" s="2" t="s">
        <v>19</v>
      </c>
      <c r="E182" s="2" t="s">
        <v>20</v>
      </c>
      <c r="F182" s="2" t="s">
        <v>15</v>
      </c>
      <c r="G182" s="2" t="s">
        <v>624</v>
      </c>
      <c r="H182" s="2" t="s">
        <v>32</v>
      </c>
      <c r="I182" s="2" t="str">
        <f>IFERROR(__xludf.DUMMYFUNCTION("GOOGLETRANSLATE(C182,""fr"",""en"")"),"A claim assigned to my contract, of which I know neither the provenance nor the third party involved which of course generated a tripled contribution during a change of vehicle.
No file follow -up.
")</f>
        <v>A claim assigned to my contract, of which I know neither the provenance nor the third party involved which of course generated a tripled contribution during a change of vehicle.
No file follow -up.
</v>
      </c>
    </row>
    <row r="183" ht="15.75" customHeight="1">
      <c r="A183" s="2">
        <v>4.0</v>
      </c>
      <c r="B183" s="2" t="s">
        <v>625</v>
      </c>
      <c r="C183" s="2" t="s">
        <v>626</v>
      </c>
      <c r="D183" s="2" t="s">
        <v>35</v>
      </c>
      <c r="E183" s="2" t="s">
        <v>20</v>
      </c>
      <c r="F183" s="2" t="s">
        <v>15</v>
      </c>
      <c r="G183" s="2" t="s">
        <v>627</v>
      </c>
      <c r="H183" s="2" t="s">
        <v>164</v>
      </c>
      <c r="I183" s="2" t="str">
        <f>IFERROR(__xludf.DUMMYFUNCTION("GOOGLETRANSLATE(C183,""fr"",""en"")"),"I am satisfied with Olivier Insurance, but concerning young drivers the prices are still high. I recommend this insurance for everyone.")</f>
        <v>I am satisfied with Olivier Insurance, but concerning young drivers the prices are still high. I recommend this insurance for everyone.</v>
      </c>
    </row>
    <row r="184" ht="15.75" customHeight="1">
      <c r="A184" s="2">
        <v>3.0</v>
      </c>
      <c r="B184" s="2" t="s">
        <v>628</v>
      </c>
      <c r="C184" s="2" t="s">
        <v>629</v>
      </c>
      <c r="D184" s="2" t="s">
        <v>254</v>
      </c>
      <c r="E184" s="2" t="s">
        <v>61</v>
      </c>
      <c r="F184" s="2" t="s">
        <v>15</v>
      </c>
      <c r="G184" s="2" t="s">
        <v>630</v>
      </c>
      <c r="H184" s="2" t="s">
        <v>179</v>
      </c>
      <c r="I184" s="2" t="str">
        <f>IFERROR(__xludf.DUMMYFUNCTION("GOOGLETRANSLATE(C184,""fr"",""en"")"),"The MGP insufficiently reimburses osteopathy sessions (package of 20 euros per session, maximum 3 per year), in the eyes of other mutuals. Regrettable insufficiency because this medical practice is revealed, for many pathologies, very effective.
Thanks,")</f>
        <v>The MGP insufficiently reimburses osteopathy sessions (package of 20 euros per session, maximum 3 per year), in the eyes of other mutuals. Regrettable insufficiency because this medical practice is revealed, for many pathologies, very effective.
Thanks,</v>
      </c>
    </row>
    <row r="185" ht="15.75" customHeight="1">
      <c r="A185" s="2">
        <v>4.0</v>
      </c>
      <c r="B185" s="2" t="s">
        <v>631</v>
      </c>
      <c r="C185" s="2" t="s">
        <v>632</v>
      </c>
      <c r="D185" s="2" t="s">
        <v>43</v>
      </c>
      <c r="E185" s="2" t="s">
        <v>20</v>
      </c>
      <c r="F185" s="2" t="s">
        <v>15</v>
      </c>
      <c r="G185" s="2" t="s">
        <v>633</v>
      </c>
      <c r="H185" s="2" t="s">
        <v>32</v>
      </c>
      <c r="I185" s="2" t="str">
        <f>IFERROR(__xludf.DUMMYFUNCTION("GOOGLETRANSLATE(C185,""fr"",""en"")"),"Quite efficient, for questions and follow-ups, the site could be clearer for research or validation. Indeed, you ask to validate a document but I must look, it should be visible and awaiting.")</f>
        <v>Quite efficient, for questions and follow-ups, the site could be clearer for research or validation. Indeed, you ask to validate a document but I must look, it should be visible and awaiting.</v>
      </c>
    </row>
    <row r="186" ht="15.75" customHeight="1">
      <c r="A186" s="2">
        <v>1.0</v>
      </c>
      <c r="B186" s="2" t="s">
        <v>634</v>
      </c>
      <c r="C186" s="2" t="s">
        <v>635</v>
      </c>
      <c r="D186" s="2" t="s">
        <v>100</v>
      </c>
      <c r="E186" s="2" t="s">
        <v>20</v>
      </c>
      <c r="F186" s="2" t="s">
        <v>15</v>
      </c>
      <c r="G186" s="2" t="s">
        <v>636</v>
      </c>
      <c r="H186" s="2" t="s">
        <v>108</v>
      </c>
      <c r="I186" s="2" t="str">
        <f>IFERROR(__xludf.DUMMYFUNCTION("GOOGLETRANSLATE(C186,""fr"",""en"")"),"Shabby !!!
No follow -up of files! Give the files to the bailiffs without even verifying that we are not concerned and after it is up to us to justify ourselves.
The deadlines are deducted 3 months before. I terminated in August 2021 I paid until the en"&amp;"d of November 2021 and I fight for the reimbursement of the deadlines which should have been maximum at 30 days !!!
A shame ! Both telephone interlocutors who take us from high and who can never do anything anyway, as well as by their response to emails "&amp;"...
This insurance should be seriously controlled!")</f>
        <v>Shabby !!!
No follow -up of files! Give the files to the bailiffs without even verifying that we are not concerned and after it is up to us to justify ourselves.
The deadlines are deducted 3 months before. I terminated in August 2021 I paid until the end of November 2021 and I fight for the reimbursement of the deadlines which should have been maximum at 30 days !!!
A shame ! Both telephone interlocutors who take us from high and who can never do anything anyway, as well as by their response to emails ...
This insurance should be seriously controlled!</v>
      </c>
    </row>
    <row r="187" ht="15.75" customHeight="1">
      <c r="A187" s="2">
        <v>1.0</v>
      </c>
      <c r="B187" s="2" t="s">
        <v>637</v>
      </c>
      <c r="C187" s="2" t="s">
        <v>638</v>
      </c>
      <c r="D187" s="2" t="s">
        <v>19</v>
      </c>
      <c r="E187" s="2" t="s">
        <v>20</v>
      </c>
      <c r="F187" s="2" t="s">
        <v>15</v>
      </c>
      <c r="G187" s="2" t="s">
        <v>639</v>
      </c>
      <c r="H187" s="2" t="s">
        <v>74</v>
      </c>
      <c r="I187" s="2" t="str">
        <f>IFERROR(__xludf.DUMMYFUNCTION("GOOGLETRANSLATE(C187,""fr"",""en"")"),"Prices increase by almost 10% this year for no particular reason (no accident in 2020/early 2021). By calling customer service, to have explanations and obtain a commercial gesture, the given argument is that ""the residential area where we live is at ris"&amp;"k"". However, we have lived there for 15 years, have no problem that is more, our car is parked safe in our home. We find that disproportionate.")</f>
        <v>Prices increase by almost 10% this year for no particular reason (no accident in 2020/early 2021). By calling customer service, to have explanations and obtain a commercial gesture, the given argument is that "the residential area where we live is at risk". However, we have lived there for 15 years, have no problem that is more, our car is parked safe in our home. We find that disproportionate.</v>
      </c>
    </row>
    <row r="188" ht="15.75" customHeight="1">
      <c r="A188" s="2">
        <v>1.0</v>
      </c>
      <c r="B188" s="2" t="s">
        <v>640</v>
      </c>
      <c r="C188" s="2" t="s">
        <v>641</v>
      </c>
      <c r="D188" s="2" t="s">
        <v>200</v>
      </c>
      <c r="E188" s="2" t="s">
        <v>135</v>
      </c>
      <c r="F188" s="2" t="s">
        <v>15</v>
      </c>
      <c r="G188" s="2" t="s">
        <v>115</v>
      </c>
      <c r="H188" s="2" t="s">
        <v>116</v>
      </c>
      <c r="I188" s="2" t="str">
        <f>IFERROR(__xludf.DUMMYFUNCTION("GOOGLETRANSLATE(C188,""fr"",""en"")"),"Flee this insurance, during a succession they take you for idiots, requests for identical documents on several occasions, during the call to their platform, you find you wacky explanations ""we have not opened the second part of the email"" ""we have coul"&amp;"d not open the attachments ”and so on and for more than 7 months !!!! Shameful no empathy, very difficult to mourn through their fault ......")</f>
        <v>Flee this insurance, during a succession they take you for idiots, requests for identical documents on several occasions, during the call to their platform, you find you wacky explanations "we have not opened the second part of the email" "we have could not open the attachments ”and so on and for more than 7 months !!!! Shameful no empathy, very difficult to mourn through their fault ......</v>
      </c>
    </row>
    <row r="189" ht="15.75" customHeight="1">
      <c r="A189" s="2">
        <v>5.0</v>
      </c>
      <c r="B189" s="2" t="s">
        <v>642</v>
      </c>
      <c r="C189" s="2" t="s">
        <v>643</v>
      </c>
      <c r="D189" s="2" t="s">
        <v>35</v>
      </c>
      <c r="E189" s="2" t="s">
        <v>20</v>
      </c>
      <c r="F189" s="2" t="s">
        <v>15</v>
      </c>
      <c r="G189" s="2" t="s">
        <v>582</v>
      </c>
      <c r="H189" s="2" t="s">
        <v>32</v>
      </c>
      <c r="I189" s="2" t="str">
        <f>IFERROR(__xludf.DUMMYFUNCTION("GOOGLETRANSLATE(C189,""fr"",""en"")"),"Good value for money and very available telephone service. Registering by internet was easy. Now of course you have to see the day when you have a concern because it is at this point that you can really judge your insurance. But for the moment, the commer"&amp;"cial/administrative part is effective. All the best.")</f>
        <v>Good value for money and very available telephone service. Registering by internet was easy. Now of course you have to see the day when you have a concern because it is at this point that you can really judge your insurance. But for the moment, the commercial/administrative part is effective. All the best.</v>
      </c>
    </row>
    <row r="190" ht="15.75" customHeight="1">
      <c r="A190" s="2">
        <v>1.0</v>
      </c>
      <c r="B190" s="2" t="s">
        <v>644</v>
      </c>
      <c r="C190" s="2" t="s">
        <v>645</v>
      </c>
      <c r="D190" s="2" t="s">
        <v>525</v>
      </c>
      <c r="E190" s="2" t="s">
        <v>206</v>
      </c>
      <c r="F190" s="2" t="s">
        <v>15</v>
      </c>
      <c r="G190" s="2" t="s">
        <v>646</v>
      </c>
      <c r="H190" s="2" t="s">
        <v>92</v>
      </c>
      <c r="I190" s="2" t="str">
        <f>IFERROR(__xludf.DUMMYFUNCTION("GOOGLETRANSLATE(C190,""fr"",""en"")"),"I asked for a quote that I never signed unfortunately to have the prices they asked me my rib but not complete and we still taken. I called them and they told me that they had 2 months to terminate my contract that I never asked for. Obliged to warn my ba"&amp;"nk to block the samples.")</f>
        <v>I asked for a quote that I never signed unfortunately to have the prices they asked me my rib but not complete and we still taken. I called them and they told me that they had 2 months to terminate my contract that I never asked for. Obliged to warn my bank to block the samples.</v>
      </c>
    </row>
    <row r="191" ht="15.75" customHeight="1">
      <c r="A191" s="2">
        <v>5.0</v>
      </c>
      <c r="B191" s="2" t="s">
        <v>647</v>
      </c>
      <c r="C191" s="2" t="s">
        <v>648</v>
      </c>
      <c r="D191" s="2" t="s">
        <v>19</v>
      </c>
      <c r="E191" s="2" t="s">
        <v>20</v>
      </c>
      <c r="F191" s="2" t="s">
        <v>15</v>
      </c>
      <c r="G191" s="2" t="s">
        <v>398</v>
      </c>
      <c r="H191" s="2" t="s">
        <v>164</v>
      </c>
      <c r="I191" s="2" t="str">
        <f>IFERROR(__xludf.DUMMYFUNCTION("GOOGLETRANSLATE(C191,""fr"",""en"")"),"Satisfied it will be super quickly in addition, everything is clear and well explained, payment secure, a good site to get us out of the juice, thank you the team.")</f>
        <v>Satisfied it will be super quickly in addition, everything is clear and well explained, payment secure, a good site to get us out of the juice, thank you the team.</v>
      </c>
    </row>
    <row r="192" ht="15.75" customHeight="1">
      <c r="A192" s="2">
        <v>1.0</v>
      </c>
      <c r="B192" s="2" t="s">
        <v>649</v>
      </c>
      <c r="C192" s="2" t="s">
        <v>650</v>
      </c>
      <c r="D192" s="2" t="s">
        <v>56</v>
      </c>
      <c r="E192" s="2" t="s">
        <v>20</v>
      </c>
      <c r="F192" s="2" t="s">
        <v>15</v>
      </c>
      <c r="G192" s="2" t="s">
        <v>651</v>
      </c>
      <c r="H192" s="2" t="s">
        <v>652</v>
      </c>
      <c r="I192" s="2" t="str">
        <f>IFERROR(__xludf.DUMMYFUNCTION("GOOGLETRANSLATE(C192,""fr"",""en"")"),"That she ashamed to say insurer, without ensuring his responsibilities. It has been almost 4 months since my vehicle is wreck, the conditions of the disaster are of course taken care of by my contract (all-risk + at 267 €/month) and nothing is done I am s"&amp;"trolled from interlocutor as an interlocutor, They have speeches that diverge, they never write anything, and have no email address. To have traces I have to send recommended to which I am always answered by the same catchphrase, in short, ""an advisor wi"&amp;"ll study your request and we will come back to you within 30 days by informing you of the progress of your request"" as much Tell you that I have that under my elbow. I am taking a lawyer and continuing the costs.
While remaining correct, I am dealing wi"&amp;"th inhuman and incapable people who have no idea of ​​their responsibilities.")</f>
        <v>That she ashamed to say insurer, without ensuring his responsibilities. It has been almost 4 months since my vehicle is wreck, the conditions of the disaster are of course taken care of by my contract (all-risk + at 267 €/month) and nothing is done I am strolled from interlocutor as an interlocutor, They have speeches that diverge, they never write anything, and have no email address. To have traces I have to send recommended to which I am always answered by the same catchphrase, in short, "an advisor will study your request and we will come back to you within 30 days by informing you of the progress of your request" as much Tell you that I have that under my elbow. I am taking a lawyer and continuing the costs.
While remaining correct, I am dealing with inhuman and incapable people who have no idea of ​​their responsibilities.</v>
      </c>
    </row>
    <row r="193" ht="15.75" customHeight="1">
      <c r="A193" s="2">
        <v>5.0</v>
      </c>
      <c r="B193" s="2" t="s">
        <v>653</v>
      </c>
      <c r="C193" s="2" t="s">
        <v>654</v>
      </c>
      <c r="D193" s="2" t="s">
        <v>19</v>
      </c>
      <c r="E193" s="2" t="s">
        <v>20</v>
      </c>
      <c r="F193" s="2" t="s">
        <v>15</v>
      </c>
      <c r="G193" s="2" t="s">
        <v>655</v>
      </c>
      <c r="H193" s="2" t="s">
        <v>164</v>
      </c>
      <c r="I193" s="2" t="str">
        <f>IFERROR(__xludf.DUMMYFUNCTION("GOOGLETRANSLATE(C193,""fr"",""en"")"),"Speed, seriousness, availability, top functionality.
I recommend without worry. I am delighted with the quality/price ratio and the speed of subscription.")</f>
        <v>Speed, seriousness, availability, top functionality.
I recommend without worry. I am delighted with the quality/price ratio and the speed of subscription.</v>
      </c>
    </row>
    <row r="194" ht="15.75" customHeight="1">
      <c r="A194" s="2">
        <v>4.0</v>
      </c>
      <c r="B194" s="2" t="s">
        <v>656</v>
      </c>
      <c r="C194" s="2" t="s">
        <v>657</v>
      </c>
      <c r="D194" s="2" t="s">
        <v>19</v>
      </c>
      <c r="E194" s="2" t="s">
        <v>20</v>
      </c>
      <c r="F194" s="2" t="s">
        <v>15</v>
      </c>
      <c r="G194" s="2" t="s">
        <v>658</v>
      </c>
      <c r="H194" s="2" t="s">
        <v>179</v>
      </c>
      <c r="I194" s="2" t="str">
        <f>IFERROR(__xludf.DUMMYFUNCTION("GOOGLETRANSLATE(C194,""fr"",""en"")"),"Some missing information, deductible, vehicle warranty. But very practical site.
The prices seem very advantageous. I would like to discuss it with an advisor to see the whole offer what Direct Insurance can do.")</f>
        <v>Some missing information, deductible, vehicle warranty. But very practical site.
The prices seem very advantageous. I would like to discuss it with an advisor to see the whole offer what Direct Insurance can do.</v>
      </c>
    </row>
    <row r="195" ht="15.75" customHeight="1">
      <c r="A195" s="2">
        <v>5.0</v>
      </c>
      <c r="B195" s="2" t="s">
        <v>659</v>
      </c>
      <c r="C195" s="2" t="s">
        <v>660</v>
      </c>
      <c r="D195" s="2" t="s">
        <v>19</v>
      </c>
      <c r="E195" s="2" t="s">
        <v>20</v>
      </c>
      <c r="F195" s="2" t="s">
        <v>15</v>
      </c>
      <c r="G195" s="2" t="s">
        <v>661</v>
      </c>
      <c r="H195" s="2" t="s">
        <v>108</v>
      </c>
      <c r="I195" s="2" t="str">
        <f>IFERROR(__xludf.DUMMYFUNCTION("GOOGLETRANSLATE(C195,""fr"",""en"")"),"I am very satisfied with the progress of my research. I hope I will take place in the same way. Being able to compare insurance companies greatly facilitates things.")</f>
        <v>I am very satisfied with the progress of my research. I hope I will take place in the same way. Being able to compare insurance companies greatly facilitates things.</v>
      </c>
    </row>
    <row r="196" ht="15.75" customHeight="1">
      <c r="A196" s="2">
        <v>4.0</v>
      </c>
      <c r="B196" s="2" t="s">
        <v>662</v>
      </c>
      <c r="C196" s="2" t="s">
        <v>663</v>
      </c>
      <c r="D196" s="2" t="s">
        <v>35</v>
      </c>
      <c r="E196" s="2" t="s">
        <v>20</v>
      </c>
      <c r="F196" s="2" t="s">
        <v>15</v>
      </c>
      <c r="G196" s="2" t="s">
        <v>664</v>
      </c>
      <c r="H196" s="2" t="s">
        <v>21</v>
      </c>
      <c r="I196" s="2" t="str">
        <f>IFERROR(__xludf.DUMMYFUNCTION("GOOGLETRANSLATE(C196,""fr"",""en"")"),"Good services at competitive prices. I am satisfied by the ease of use of your website, simple procedures as well as responses and assistance of your advisor.")</f>
        <v>Good services at competitive prices. I am satisfied by the ease of use of your website, simple procedures as well as responses and assistance of your advisor.</v>
      </c>
    </row>
    <row r="197" ht="15.75" customHeight="1">
      <c r="A197" s="2">
        <v>3.0</v>
      </c>
      <c r="B197" s="2" t="s">
        <v>665</v>
      </c>
      <c r="C197" s="2" t="s">
        <v>666</v>
      </c>
      <c r="D197" s="2" t="s">
        <v>111</v>
      </c>
      <c r="E197" s="2" t="s">
        <v>61</v>
      </c>
      <c r="F197" s="2" t="s">
        <v>15</v>
      </c>
      <c r="G197" s="2" t="s">
        <v>667</v>
      </c>
      <c r="H197" s="2" t="s">
        <v>567</v>
      </c>
      <c r="I197" s="2" t="str">
        <f>IFERROR(__xludf.DUMMYFUNCTION("GOOGLETRANSLATE(C197,""fr"",""en"")"),"File sent in early September and always complete the file I ask me for papers of sending I still awaits additional salary of the month of August")</f>
        <v>File sent in early September and always complete the file I ask me for papers of sending I still awaits additional salary of the month of August</v>
      </c>
    </row>
    <row r="198" ht="15.75" customHeight="1">
      <c r="A198" s="2">
        <v>4.0</v>
      </c>
      <c r="B198" s="2" t="s">
        <v>668</v>
      </c>
      <c r="C198" s="2" t="s">
        <v>669</v>
      </c>
      <c r="D198" s="2" t="s">
        <v>86</v>
      </c>
      <c r="E198" s="2" t="s">
        <v>61</v>
      </c>
      <c r="F198" s="2" t="s">
        <v>15</v>
      </c>
      <c r="G198" s="2" t="s">
        <v>670</v>
      </c>
      <c r="H198" s="2" t="s">
        <v>74</v>
      </c>
      <c r="I198" s="2" t="str">
        <f>IFERROR(__xludf.DUMMYFUNCTION("GOOGLETRANSLATE(C198,""fr"",""en"")"),"Hello Maria I wanted to thank you for your help to reactivate my count Neoliane Sante
yours listens and a patience of 1 hour allowed me to find my care reimbursements and the follow -up of all my payments as well as the third parties concerned
I am 77 y"&amp;"ears old and not an IT expert!
I really thank you for your assistance and the cordiality of ours contact like June 7
Receive Maria my most cordial greetings
JL GRAVAT NEOLIANE")</f>
        <v>Hello Maria I wanted to thank you for your help to reactivate my count Neoliane Sante
yours listens and a patience of 1 hour allowed me to find my care reimbursements and the follow -up of all my payments as well as the third parties concerned
I am 77 years old and not an IT expert!
I really thank you for your assistance and the cordiality of ours contact like June 7
Receive Maria my most cordial greetings
JL GRAVAT NEOLIANE</v>
      </c>
    </row>
    <row r="199" ht="15.75" customHeight="1">
      <c r="A199" s="2">
        <v>5.0</v>
      </c>
      <c r="B199" s="2" t="s">
        <v>671</v>
      </c>
      <c r="C199" s="2" t="s">
        <v>672</v>
      </c>
      <c r="D199" s="2" t="s">
        <v>35</v>
      </c>
      <c r="E199" s="2" t="s">
        <v>20</v>
      </c>
      <c r="F199" s="2" t="s">
        <v>15</v>
      </c>
      <c r="G199" s="2" t="s">
        <v>673</v>
      </c>
      <c r="H199" s="2" t="s">
        <v>164</v>
      </c>
      <c r="I199" s="2" t="str">
        <f>IFERROR(__xludf.DUMMYFUNCTION("GOOGLETRANSLATE(C199,""fr"",""en"")"),"Hello,
TOP telephone service, the person guides you with patience and takes up the whole file with you!
Only small problem, the website or I failed to make my quote on my own.")</f>
        <v>Hello,
TOP telephone service, the person guides you with patience and takes up the whole file with you!
Only small problem, the website or I failed to make my quote on my own.</v>
      </c>
    </row>
    <row r="200" ht="15.75" customHeight="1">
      <c r="A200" s="2">
        <v>5.0</v>
      </c>
      <c r="B200" s="2" t="s">
        <v>674</v>
      </c>
      <c r="C200" s="2" t="s">
        <v>675</v>
      </c>
      <c r="D200" s="2" t="s">
        <v>35</v>
      </c>
      <c r="E200" s="2" t="s">
        <v>20</v>
      </c>
      <c r="F200" s="2" t="s">
        <v>15</v>
      </c>
      <c r="G200" s="2" t="s">
        <v>676</v>
      </c>
      <c r="H200" s="2" t="s">
        <v>32</v>
      </c>
      <c r="I200" s="2" t="str">
        <f>IFERROR(__xludf.DUMMYFUNCTION("GOOGLETRANSLATE(C200,""fr"",""en"")"),"Ras I was able to take all my steps with the possibility of taking information by phone with kind and available people. I am satisfied with all the steps")</f>
        <v>Ras I was able to take all my steps with the possibility of taking information by phone with kind and available people. I am satisfied with all the steps</v>
      </c>
    </row>
    <row r="201" ht="15.75" customHeight="1">
      <c r="A201" s="2">
        <v>4.0</v>
      </c>
      <c r="B201" s="2" t="s">
        <v>677</v>
      </c>
      <c r="C201" s="2" t="s">
        <v>678</v>
      </c>
      <c r="D201" s="2" t="s">
        <v>171</v>
      </c>
      <c r="E201" s="2" t="s">
        <v>14</v>
      </c>
      <c r="F201" s="2" t="s">
        <v>15</v>
      </c>
      <c r="G201" s="2" t="s">
        <v>222</v>
      </c>
      <c r="H201" s="2" t="s">
        <v>108</v>
      </c>
      <c r="I201" s="2" t="str">
        <f>IFERROR(__xludf.DUMMYFUNCTION("GOOGLETRANSLATE(C201,""fr"",""en"")"),"I am satisfied with the services and the speed for the subscription. Bon value for money, for two years I have been at April Moto. I hope to stay there for a long time.
")</f>
        <v>I am satisfied with the services and the speed for the subscription. Bon value for money, for two years I have been at April Moto. I hope to stay there for a long time.
</v>
      </c>
    </row>
    <row r="202" ht="15.75" customHeight="1">
      <c r="A202" s="2">
        <v>4.0</v>
      </c>
      <c r="B202" s="2" t="s">
        <v>679</v>
      </c>
      <c r="C202" s="2" t="s">
        <v>680</v>
      </c>
      <c r="D202" s="2" t="s">
        <v>19</v>
      </c>
      <c r="E202" s="2" t="s">
        <v>20</v>
      </c>
      <c r="F202" s="2" t="s">
        <v>15</v>
      </c>
      <c r="G202" s="2" t="s">
        <v>681</v>
      </c>
      <c r="H202" s="2" t="s">
        <v>108</v>
      </c>
      <c r="I202" s="2" t="str">
        <f>IFERROR(__xludf.DUMMYFUNCTION("GOOGLETRANSLATE(C202,""fr"",""en"")"),"I am very satisfied with the Direct Insurance Service ... of the speed and simplicity of the procedures taken for my mini Clubman car insurance. Thank you")</f>
        <v>I am very satisfied with the Direct Insurance Service ... of the speed and simplicity of the procedures taken for my mini Clubman car insurance. Thank you</v>
      </c>
    </row>
    <row r="203" ht="15.75" customHeight="1">
      <c r="A203" s="2">
        <v>1.0</v>
      </c>
      <c r="B203" s="2" t="s">
        <v>682</v>
      </c>
      <c r="C203" s="2" t="s">
        <v>683</v>
      </c>
      <c r="D203" s="2" t="s">
        <v>111</v>
      </c>
      <c r="E203" s="2" t="s">
        <v>214</v>
      </c>
      <c r="F203" s="2" t="s">
        <v>15</v>
      </c>
      <c r="G203" s="2" t="s">
        <v>684</v>
      </c>
      <c r="H203" s="2" t="s">
        <v>116</v>
      </c>
      <c r="I203" s="2" t="str">
        <f>IFERROR(__xludf.DUMMYFUNCTION("GOOGLETRANSLATE(C203,""fr"",""en"")"),"After 2 years of care for a sick leave, the CPAM has decided to put me in disability category 2 since November 01, 2020. I therefore sent all the necessary documents (even more ...) for a continuation of the taking Disability load and more in work stoppag"&amp;"es as before.
I sent all the documents to AG2R on November 06 and each payment of a pension I send the certificate to AG2R !!! I specify that I was in an interim previously and the provident interim care.
Despite a multitude of phone calls still nothing"&amp;" ... I am walking by giving me different processing dates ... I am told that it takes 12 weeks when we are at 15 weeks !!!
I am really very dissatisfied with this insurance which put my wife and I in financial difficulties due to the slowness of processi"&amp;"ng times. She too is invalidity ... I specify that my file is already open and care has been made since August 04, 2018 for sick leave, this is just the continuation of disability care !!!
It is really a shame !!!")</f>
        <v>After 2 years of care for a sick leave, the CPAM has decided to put me in disability category 2 since November 01, 2020. I therefore sent all the necessary documents (even more ...) for a continuation of the taking Disability load and more in work stoppages as before.
I sent all the documents to AG2R on November 06 and each payment of a pension I send the certificate to AG2R !!! I specify that I was in an interim previously and the provident interim care.
Despite a multitude of phone calls still nothing ... I am walking by giving me different processing dates ... I am told that it takes 12 weeks when we are at 15 weeks !!!
I am really very dissatisfied with this insurance which put my wife and I in financial difficulties due to the slowness of processing times. She too is invalidity ... I specify that my file is already open and care has been made since August 04, 2018 for sick leave, this is just the continuation of disability care !!!
It is really a shame !!!</v>
      </c>
    </row>
    <row r="204" ht="15.75" customHeight="1">
      <c r="A204" s="2">
        <v>1.0</v>
      </c>
      <c r="B204" s="2" t="s">
        <v>685</v>
      </c>
      <c r="C204" s="2" t="s">
        <v>686</v>
      </c>
      <c r="D204" s="2" t="s">
        <v>60</v>
      </c>
      <c r="E204" s="2" t="s">
        <v>61</v>
      </c>
      <c r="F204" s="2" t="s">
        <v>15</v>
      </c>
      <c r="G204" s="2" t="s">
        <v>687</v>
      </c>
      <c r="H204" s="2" t="s">
        <v>92</v>
      </c>
      <c r="I204" s="2" t="str">
        <f>IFERROR(__xludf.DUMMYFUNCTION("GOOGLETRANSLATE(C204,""fr"",""en"")"),"Mercer never answers it by mail, by phone, or by email.
I changed my email address so the system does not recognize me and I have no more access to my account
For several months, despite my reminders nothing has happened.")</f>
        <v>Mercer never answers it by mail, by phone, or by email.
I changed my email address so the system does not recognize me and I have no more access to my account
For several months, despite my reminders nothing has happened.</v>
      </c>
    </row>
    <row r="205" ht="15.75" customHeight="1">
      <c r="A205" s="2">
        <v>4.0</v>
      </c>
      <c r="B205" s="2" t="s">
        <v>688</v>
      </c>
      <c r="C205" s="2" t="s">
        <v>689</v>
      </c>
      <c r="D205" s="2" t="s">
        <v>48</v>
      </c>
      <c r="E205" s="2" t="s">
        <v>14</v>
      </c>
      <c r="F205" s="2" t="s">
        <v>15</v>
      </c>
      <c r="G205" s="2" t="s">
        <v>690</v>
      </c>
      <c r="H205" s="2" t="s">
        <v>116</v>
      </c>
      <c r="I205" s="2" t="str">
        <f>IFERROR(__xludf.DUMMYFUNCTION("GOOGLETRANSLATE(C205,""fr"",""en"")"),"Rolling very little on a motorcycle less than 2000km per year I am very satisfied with the two -wheeled prices of AMV despite that having no claims I cannot know if there will be no worries")</f>
        <v>Rolling very little on a motorcycle less than 2000km per year I am very satisfied with the two -wheeled prices of AMV despite that having no claims I cannot know if there will be no worries</v>
      </c>
    </row>
    <row r="206" ht="15.75" customHeight="1">
      <c r="A206" s="2">
        <v>1.0</v>
      </c>
      <c r="B206" s="2" t="s">
        <v>691</v>
      </c>
      <c r="C206" s="2" t="s">
        <v>692</v>
      </c>
      <c r="D206" s="2" t="s">
        <v>532</v>
      </c>
      <c r="E206" s="2" t="s">
        <v>214</v>
      </c>
      <c r="F206" s="2" t="s">
        <v>15</v>
      </c>
      <c r="G206" s="2" t="s">
        <v>331</v>
      </c>
      <c r="H206" s="2" t="s">
        <v>332</v>
      </c>
      <c r="I206" s="2" t="str">
        <f>IFERROR(__xludf.DUMMYFUNCTION("GOOGLETRANSLATE(C206,""fr"",""en"")"),"Hahaha, this insurance is a huge joke. I have been trying my deceased grandmother's life insurance for four months to be paid. Online service more zero than zero and unfortunately the staff do not compensate. Impossible to create my e-Beneficiary account,"&amp;" after 4 calls on this subject and 4 promises that 'the technical service will contact me within 72 hours' (never contacted. Does the technical service really exist?), Impossible to send some sending Parts by email, ended up sending the parts by mail, as "&amp;"in the Middle Ages. No confirmation of reception, you must constantly contact the CNP and stuff yourself with systematically unpleasant interlocutors from the start of the conversation to beg the slightest information on the progress of its file. When it "&amp;"lacks parts/information, we are informed of it in a dropper, not in one go, which means that I have now been waiting for a payment for four months. Properly mind -blowing. I note 'a star' because it is impossible to put less, but if it was possible, I wou"&amp;"ld put in negative. Absolutely nothing happens properly. One thing is sure, never, never, I will never be insured by the CNP and I preach the good word around me: all flee this insurance like the plague.")</f>
        <v>Hahaha, this insurance is a huge joke. I have been trying my deceased grandmother's life insurance for four months to be paid. Online service more zero than zero and unfortunately the staff do not compensate. Impossible to create my e-Beneficiary account, after 4 calls on this subject and 4 promises that 'the technical service will contact me within 72 hours' (never contacted. Does the technical service really exist?), Impossible to send some sending Parts by email, ended up sending the parts by mail, as in the Middle Ages. No confirmation of reception, you must constantly contact the CNP and stuff yourself with systematically unpleasant interlocutors from the start of the conversation to beg the slightest information on the progress of its file. When it lacks parts/information, we are informed of it in a dropper, not in one go, which means that I have now been waiting for a payment for four months. Properly mind -blowing. I note 'a star' because it is impossible to put less, but if it was possible, I would put in negative. Absolutely nothing happens properly. One thing is sure, never, never, I will never be insured by the CNP and I preach the good word around me: all flee this insurance like the plague.</v>
      </c>
    </row>
    <row r="207" ht="15.75" customHeight="1">
      <c r="A207" s="2">
        <v>2.0</v>
      </c>
      <c r="B207" s="2" t="s">
        <v>693</v>
      </c>
      <c r="C207" s="2" t="s">
        <v>694</v>
      </c>
      <c r="D207" s="2" t="s">
        <v>60</v>
      </c>
      <c r="E207" s="2" t="s">
        <v>61</v>
      </c>
      <c r="F207" s="2" t="s">
        <v>15</v>
      </c>
      <c r="G207" s="2" t="s">
        <v>570</v>
      </c>
      <c r="H207" s="2" t="s">
        <v>32</v>
      </c>
      <c r="I207" s="2" t="str">
        <f>IFERROR(__xludf.DUMMYFUNCTION("GOOGLETRANSLATE(C207,""fr"",""en"")"),"very poor consideration of the insured. It has been since December that I have run after them for the reimbursement of the hospitalization fees of my son that I had to move forward because they had not responded to my request for a quote, however made sev"&amp;"eral weeks before the operation. It takes a lot for me to groan, but after dozens of calls, messages, I was reimbursed in part and remains in enormous load. I am told that my surgeon is not optam while if, it is written on the quote that no one has read ."&amp;".. I may try to send messages, calls or be told that 'I will be reminded of or I have never had a single reminder since December (count 20 to 30 min of answering machine before I have them) or I am told that it is in progress. No one answers me. So I lose"&amp;" 500 euros because of them! disgusted!")</f>
        <v>very poor consideration of the insured. It has been since December that I have run after them for the reimbursement of the hospitalization fees of my son that I had to move forward because they had not responded to my request for a quote, however made several weeks before the operation. It takes a lot for me to groan, but after dozens of calls, messages, I was reimbursed in part and remains in enormous load. I am told that my surgeon is not optam while if, it is written on the quote that no one has read ... I may try to send messages, calls or be told that 'I will be reminded of or I have never had a single reminder since December (count 20 to 30 min of answering machine before I have them) or I am told that it is in progress. No one answers me. So I lose 500 euros because of them! disgusted!</v>
      </c>
    </row>
    <row r="208" ht="15.75" customHeight="1">
      <c r="A208" s="2">
        <v>5.0</v>
      </c>
      <c r="B208" s="2" t="s">
        <v>695</v>
      </c>
      <c r="C208" s="2" t="s">
        <v>696</v>
      </c>
      <c r="D208" s="2" t="s">
        <v>366</v>
      </c>
      <c r="E208" s="2" t="s">
        <v>20</v>
      </c>
      <c r="F208" s="2" t="s">
        <v>15</v>
      </c>
      <c r="G208" s="2" t="s">
        <v>697</v>
      </c>
      <c r="H208" s="2" t="s">
        <v>256</v>
      </c>
      <c r="I208" s="2" t="str">
        <f>IFERROR(__xludf.DUMMYFUNCTION("GOOGLETRANSLATE(C208,""fr"",""en"")"),"Price accessible to my level, listening advisor, kind, adaptation of prices according to the customer's budget. I recommend that everyone adhere to Allianz because C, is a very serious company")</f>
        <v>Price accessible to my level, listening advisor, kind, adaptation of prices according to the customer's budget. I recommend that everyone adhere to Allianz because C, is a very serious company</v>
      </c>
    </row>
    <row r="209" ht="15.75" customHeight="1">
      <c r="A209" s="2">
        <v>5.0</v>
      </c>
      <c r="B209" s="2" t="s">
        <v>698</v>
      </c>
      <c r="C209" s="2" t="s">
        <v>699</v>
      </c>
      <c r="D209" s="2" t="s">
        <v>245</v>
      </c>
      <c r="E209" s="2" t="s">
        <v>61</v>
      </c>
      <c r="F209" s="2" t="s">
        <v>15</v>
      </c>
      <c r="G209" s="2" t="s">
        <v>700</v>
      </c>
      <c r="H209" s="2" t="s">
        <v>701</v>
      </c>
      <c r="I209" s="2" t="str">
        <f>IFERROR(__xludf.DUMMYFUNCTION("GOOGLETRANSLATE(C209,""fr"",""en"")"),"Very satisfied with the MR who took care of me")</f>
        <v>Very satisfied with the MR who took care of me</v>
      </c>
    </row>
    <row r="210" ht="15.75" customHeight="1">
      <c r="A210" s="2">
        <v>3.0</v>
      </c>
      <c r="B210" s="2" t="s">
        <v>702</v>
      </c>
      <c r="C210" s="2" t="s">
        <v>703</v>
      </c>
      <c r="D210" s="2" t="s">
        <v>35</v>
      </c>
      <c r="E210" s="2" t="s">
        <v>20</v>
      </c>
      <c r="F210" s="2" t="s">
        <v>15</v>
      </c>
      <c r="G210" s="2" t="s">
        <v>107</v>
      </c>
      <c r="H210" s="2" t="s">
        <v>108</v>
      </c>
      <c r="I210" s="2" t="str">
        <f>IFERROR(__xludf.DUMMYFUNCTION("GOOGLETRANSLATE(C210,""fr"",""en"")"),"IT with many BUG connection problems, network often saturate with instructions to try again later, but the price and competitive is the main")</f>
        <v>IT with many BUG connection problems, network often saturate with instructions to try again later, but the price and competitive is the main</v>
      </c>
    </row>
    <row r="211" ht="15.75" customHeight="1">
      <c r="A211" s="2">
        <v>4.0</v>
      </c>
      <c r="B211" s="2" t="s">
        <v>704</v>
      </c>
      <c r="C211" s="2" t="s">
        <v>705</v>
      </c>
      <c r="D211" s="2" t="s">
        <v>19</v>
      </c>
      <c r="E211" s="2" t="s">
        <v>20</v>
      </c>
      <c r="F211" s="2" t="s">
        <v>15</v>
      </c>
      <c r="G211" s="2" t="s">
        <v>607</v>
      </c>
      <c r="H211" s="2" t="s">
        <v>164</v>
      </c>
      <c r="I211" s="2" t="str">
        <f>IFERROR(__xludf.DUMMYFUNCTION("GOOGLETRANSLATE(C211,""fr"",""en"")"),"Fast and efficient service, online quote and fast online subscription like lightning
Immediate validation
Subscription ease
Ease for procedures")</f>
        <v>Fast and efficient service, online quote and fast online subscription like lightning
Immediate validation
Subscription ease
Ease for procedures</v>
      </c>
    </row>
    <row r="212" ht="15.75" customHeight="1">
      <c r="A212" s="2">
        <v>1.0</v>
      </c>
      <c r="B212" s="2" t="s">
        <v>706</v>
      </c>
      <c r="C212" s="2" t="s">
        <v>707</v>
      </c>
      <c r="D212" s="2" t="s">
        <v>532</v>
      </c>
      <c r="E212" s="2" t="s">
        <v>214</v>
      </c>
      <c r="F212" s="2" t="s">
        <v>15</v>
      </c>
      <c r="G212" s="2" t="s">
        <v>708</v>
      </c>
      <c r="H212" s="2" t="s">
        <v>332</v>
      </c>
      <c r="I212" s="2" t="str">
        <f>IFERROR(__xludf.DUMMYFUNCTION("GOOGLETRANSLATE(C212,""fr"",""en"")"),"Following the purchase of a house and a loan obtained at CONSEMENT IMEMBER DE FRANCE with CNP insurance, I had a work accident refusal of the CNP to take charge of the monthly payment for them the accident does not correspond To their definition even acco"&amp;"rding to one of their advisor is not accidental
I have been paying for their insurance and I have been right to nothing for 19 years, I see a legal action but it is worth it I don't know advice")</f>
        <v>Following the purchase of a house and a loan obtained at CONSEMENT IMEMBER DE FRANCE with CNP insurance, I had a work accident refusal of the CNP to take charge of the monthly payment for them the accident does not correspond To their definition even according to one of their advisor is not accidental
I have been paying for their insurance and I have been right to nothing for 19 years, I see a legal action but it is worth it I don't know advice</v>
      </c>
    </row>
    <row r="213" ht="15.75" customHeight="1">
      <c r="A213" s="2">
        <v>3.0</v>
      </c>
      <c r="B213" s="2" t="s">
        <v>709</v>
      </c>
      <c r="C213" s="2" t="s">
        <v>710</v>
      </c>
      <c r="D213" s="2" t="s">
        <v>19</v>
      </c>
      <c r="E213" s="2" t="s">
        <v>20</v>
      </c>
      <c r="F213" s="2" t="s">
        <v>15</v>
      </c>
      <c r="G213" s="2" t="s">
        <v>711</v>
      </c>
      <c r="H213" s="2" t="s">
        <v>164</v>
      </c>
      <c r="I213" s="2" t="str">
        <f>IFERROR(__xludf.DUMMYFUNCTION("GOOGLETRANSLATE(C213,""fr"",""en"")"),"First insurance therefore no notice yet but satisfied with the guarantees offered in relation to the price. 0km assistance is a bit expensive unfortunately like everywhere")</f>
        <v>First insurance therefore no notice yet but satisfied with the guarantees offered in relation to the price. 0km assistance is a bit expensive unfortunately like everywhere</v>
      </c>
    </row>
    <row r="214" ht="15.75" customHeight="1">
      <c r="A214" s="2">
        <v>2.0</v>
      </c>
      <c r="B214" s="2" t="s">
        <v>712</v>
      </c>
      <c r="C214" s="2" t="s">
        <v>713</v>
      </c>
      <c r="D214" s="2" t="s">
        <v>19</v>
      </c>
      <c r="E214" s="2" t="s">
        <v>20</v>
      </c>
      <c r="F214" s="2" t="s">
        <v>15</v>
      </c>
      <c r="G214" s="2" t="s">
        <v>714</v>
      </c>
      <c r="H214" s="2" t="s">
        <v>714</v>
      </c>
      <c r="I214" s="2" t="str">
        <f>IFERROR(__xludf.DUMMYFUNCTION("GOOGLETRANSLATE(C214,""fr"",""en"")"),"Better not to have a problem with them ... Insurance that does not protect, worse: that drives you")</f>
        <v>Better not to have a problem with them ... Insurance that does not protect, worse: that drives you</v>
      </c>
    </row>
    <row r="215" ht="15.75" customHeight="1">
      <c r="A215" s="2">
        <v>5.0</v>
      </c>
      <c r="B215" s="2" t="s">
        <v>715</v>
      </c>
      <c r="C215" s="2" t="s">
        <v>716</v>
      </c>
      <c r="D215" s="2" t="s">
        <v>19</v>
      </c>
      <c r="E215" s="2" t="s">
        <v>20</v>
      </c>
      <c r="F215" s="2" t="s">
        <v>15</v>
      </c>
      <c r="G215" s="2" t="s">
        <v>428</v>
      </c>
      <c r="H215" s="2" t="s">
        <v>53</v>
      </c>
      <c r="I215" s="2" t="str">
        <f>IFERROR(__xludf.DUMMYFUNCTION("GOOGLETRANSLATE(C215,""fr"",""en"")"),"I see that it has changed, the site has improved.
Cheer.
I see that there was evolution in terms of guarantees.
You are always the cheapest")</f>
        <v>I see that it has changed, the site has improved.
Cheer.
I see that there was evolution in terms of guarantees.
You are always the cheapest</v>
      </c>
    </row>
    <row r="216" ht="15.75" customHeight="1">
      <c r="A216" s="2">
        <v>1.0</v>
      </c>
      <c r="B216" s="2" t="s">
        <v>717</v>
      </c>
      <c r="C216" s="2" t="s">
        <v>718</v>
      </c>
      <c r="D216" s="2" t="s">
        <v>205</v>
      </c>
      <c r="E216" s="2" t="s">
        <v>206</v>
      </c>
      <c r="F216" s="2" t="s">
        <v>15</v>
      </c>
      <c r="G216" s="2" t="s">
        <v>719</v>
      </c>
      <c r="H216" s="2" t="s">
        <v>491</v>
      </c>
      <c r="I216" s="2" t="str">
        <f>IFERROR(__xludf.DUMMYFUNCTION("GOOGLETRANSLATE(C216,""fr"",""en"")"),"According to the many negative opinions circulating on Santévet, I simply join the list of many customers who do not appreciate your operating mode, and that, I can assure you in any case!")</f>
        <v>According to the many negative opinions circulating on Santévet, I simply join the list of many customers who do not appreciate your operating mode, and that, I can assure you in any case!</v>
      </c>
    </row>
    <row r="217" ht="15.75" customHeight="1">
      <c r="A217" s="2">
        <v>1.0</v>
      </c>
      <c r="B217" s="2" t="s">
        <v>720</v>
      </c>
      <c r="C217" s="2" t="s">
        <v>721</v>
      </c>
      <c r="D217" s="2" t="s">
        <v>378</v>
      </c>
      <c r="E217" s="2" t="s">
        <v>61</v>
      </c>
      <c r="F217" s="2" t="s">
        <v>15</v>
      </c>
      <c r="G217" s="2" t="s">
        <v>722</v>
      </c>
      <c r="H217" s="2" t="s">
        <v>26</v>
      </c>
      <c r="I217" s="2" t="str">
        <f>IFERROR(__xludf.DUMMYFUNCTION("GOOGLETRANSLATE(C217,""fr"",""en"")"),"Very bad communication. All advisers or almost unclusive online. Divergent speech. Long reimbursements. Disaster. I advise against. Run away !!!")</f>
        <v>Very bad communication. All advisers or almost unclusive online. Divergent speech. Long reimbursements. Disaster. I advise against. Run away !!!</v>
      </c>
    </row>
    <row r="218" ht="15.75" customHeight="1">
      <c r="A218" s="2">
        <v>3.0</v>
      </c>
      <c r="B218" s="2" t="s">
        <v>723</v>
      </c>
      <c r="C218" s="2" t="s">
        <v>724</v>
      </c>
      <c r="D218" s="2" t="s">
        <v>254</v>
      </c>
      <c r="E218" s="2" t="s">
        <v>61</v>
      </c>
      <c r="F218" s="2" t="s">
        <v>15</v>
      </c>
      <c r="G218" s="2" t="s">
        <v>725</v>
      </c>
      <c r="H218" s="2" t="s">
        <v>116</v>
      </c>
      <c r="I218" s="2" t="str">
        <f>IFERROR(__xludf.DUMMYFUNCTION("GOOGLETRANSLATE(C218,""fr"",""en"")"),"I have been at the MGP since 1970 I am quite satisfied. The reimbursements are fast the advisers are attentive. Only downside a little expensive for retirees who see their pension decrease and everything is not reimbursed.")</f>
        <v>I have been at the MGP since 1970 I am quite satisfied. The reimbursements are fast the advisers are attentive. Only downside a little expensive for retirees who see their pension decrease and everything is not reimbursed.</v>
      </c>
    </row>
    <row r="219" ht="15.75" customHeight="1">
      <c r="A219" s="2">
        <v>2.0</v>
      </c>
      <c r="B219" s="2" t="s">
        <v>726</v>
      </c>
      <c r="C219" s="2" t="s">
        <v>727</v>
      </c>
      <c r="D219" s="2" t="s">
        <v>95</v>
      </c>
      <c r="E219" s="2" t="s">
        <v>20</v>
      </c>
      <c r="F219" s="2" t="s">
        <v>15</v>
      </c>
      <c r="G219" s="2" t="s">
        <v>728</v>
      </c>
      <c r="H219" s="2" t="s">
        <v>729</v>
      </c>
      <c r="I219" s="2" t="str">
        <f>IFERROR(__xludf.DUMMYFUNCTION("GOOGLETRANSLATE(C219,""fr"",""en"")"),"I have an Automobile Insurance Contract All at risk for the MAAF for 9 years.
I have a 0.50 bonus coefficient and an additional 8 % winner bonus
This contract has benefited from the life bonus since my registration.
I have had no claims for 9 years (da"&amp;"te of start of contract).
No doubt to thank me I just received my maturity notice for 2018 with an increase of 6 %.
I travel to my agency to have explanations.
The advisor tells me that she is sorry but that she has no explanation to give me and that s"&amp;"he has no budget to correct this unconteited increase.
I think the MAAF strategy is as follows; Adventureous prices at registration and then large increases without reason to catch up")</f>
        <v>I have an Automobile Insurance Contract All at risk for the MAAF for 9 years.
I have a 0.50 bonus coefficient and an additional 8 % winner bonus
This contract has benefited from the life bonus since my registration.
I have had no claims for 9 years (date of start of contract).
No doubt to thank me I just received my maturity notice for 2018 with an increase of 6 %.
I travel to my agency to have explanations.
The advisor tells me that she is sorry but that she has no explanation to give me and that she has no budget to correct this unconteited increase.
I think the MAAF strategy is as follows; Adventureous prices at registration and then large increases without reason to catch up</v>
      </c>
    </row>
    <row r="220" ht="15.75" customHeight="1">
      <c r="A220" s="2">
        <v>4.0</v>
      </c>
      <c r="B220" s="2" t="s">
        <v>730</v>
      </c>
      <c r="C220" s="2" t="s">
        <v>731</v>
      </c>
      <c r="D220" s="2" t="s">
        <v>35</v>
      </c>
      <c r="E220" s="2" t="s">
        <v>20</v>
      </c>
      <c r="F220" s="2" t="s">
        <v>15</v>
      </c>
      <c r="G220" s="2" t="s">
        <v>732</v>
      </c>
      <c r="H220" s="2" t="s">
        <v>567</v>
      </c>
      <c r="I220" s="2" t="str">
        <f>IFERROR(__xludf.DUMMYFUNCTION("GOOGLETRANSLATE(C220,""fr"",""en"")"),"I am a new customer of this insurer, the first contacts were positive in their explanations concerning the contract especially for a young license, with a single contact in the event of a problem.")</f>
        <v>I am a new customer of this insurer, the first contacts were positive in their explanations concerning the contract especially for a young license, with a single contact in the event of a problem.</v>
      </c>
    </row>
    <row r="221" ht="15.75" customHeight="1">
      <c r="A221" s="2">
        <v>1.0</v>
      </c>
      <c r="B221" s="2" t="s">
        <v>733</v>
      </c>
      <c r="C221" s="2" t="s">
        <v>734</v>
      </c>
      <c r="D221" s="2" t="s">
        <v>100</v>
      </c>
      <c r="E221" s="2" t="s">
        <v>20</v>
      </c>
      <c r="F221" s="2" t="s">
        <v>15</v>
      </c>
      <c r="G221" s="2" t="s">
        <v>735</v>
      </c>
      <c r="H221" s="2" t="s">
        <v>271</v>
      </c>
      <c r="I221" s="2" t="str">
        <f>IFERROR(__xludf.DUMMYFUNCTION("GOOGLETRANSLATE(C221,""fr"",""en"")"),"Hello dear community of insured. I give you my opinion in a simple and very brief manner I will develop after: To ensure at Active Insurance is to pay to live nightmares. I invite you to read the facts in detail after.
My wife signed a one -year contract"&amp;" with them last May, in the 2nd month there was a discharge rejection by the bank, something that can happen and which is quite resoluble. I contacted them since I appeared on the contract in my capacity as insured as the second driver of the vehicle, and"&amp;" we solved the problem. I was asked for a RIB, a copy of my identity document, and a handwritten levy authorization. I sent the requested parts (recommended with AR). A few weeks later the Intrum litigation office contacted me asking me for the amount of "&amp;"every month remaining of the year, I ask to pay at the schedule and they accepted. I recall Active Insurance To request the reason for this approach, an advisor informs me that I had failed to sign the levy authorization electronically. My amazement was t"&amp;"otal, nobody informed me of this approach, really no one, they may have estimated that I had to have enough curiosity, and nothing to do with my life to go on my own will do A tour on the Active Insurance site to see if by chance there was not something t"&amp;"o sign electronically ... and please wait that's not all! Taken of frustration and anger, I ask the question to my advisor: do I remain covered in the event of payment at the schedule with your partner? His answer was yes. Suddenly for a few months the in"&amp;"trum litigation office set my card and I thought I was insured ... or my contract had already been resilled. My wife discovered that we were no longer insured during a control of the police, she had the documents that we have obtained during the subscript"&amp;"ion, but the presence of a telephone number 0800 ... a Arrested the gendarme, he decided to call the Customer Relations Center Active Insurance in order to verify the validity of the contract, and the advisor announces to him that the contract had been su"&amp;"spended for lack of payment. My wife recalled the Customer Relations Center during her arrest and he was promised to put her contract into force the next day if she pays the remaining months right away. The gendarme could not wait for this period. Shocked"&amp;" I took my blue card and called intrum and I settled the amount remaining of the year and requested proof in order to present it to Active Insurance and ask them for Immary Return to the Contract in order to get my wife out of This nightmare, they did not"&amp;" want to understand anything, even with supporting documents for support, they decided to put the contract into force until their partner has paid the funds. As if their internal working methods and with their partners were my problem, example: if Intrum "&amp;"send their funds in a few months, I remain without insurance during these few months or their partners keep my money in their bank accounts. And indeed I paid everything on February 10, we are the 22nd and our car is still immobilized. They did not want t"&amp;"o make any effort of the style call their partner to make sure that I have fulfilled my payment and reactivate my contract in order to spare us the worst, although they are behind the problem, nothing, that slab, no sense of initiative.
My wife had a fin"&amp;"e of 400 euros, a withdrawal of 4 points, a fine of 400 euros and will be known to the security services and will have a mention on her criminal record as a delinquency of the roads for the next 10 years, she is in Losing her position as an educator.
I s"&amp;"wear to you on my honor that she is an extra person, a beautiful soul, an exemplary citizen, she has been driving for 10 years and keeps a balance of 12 points never affected by the slightest offense, she has never declared a claim and has no penalty. Act"&amp;"ive insurance destroys his life for him because of lack of follow -up and collaboration, incompetence and carelessness with regard to a client.
Dear friends, avoid this brand is a calamity.")</f>
        <v>Hello dear community of insured. I give you my opinion in a simple and very brief manner I will develop after: To ensure at Active Insurance is to pay to live nightmares. I invite you to read the facts in detail after.
My wife signed a one -year contract with them last May, in the 2nd month there was a discharge rejection by the bank, something that can happen and which is quite resoluble. I contacted them since I appeared on the contract in my capacity as insured as the second driver of the vehicle, and we solved the problem. I was asked for a RIB, a copy of my identity document, and a handwritten levy authorization. I sent the requested parts (recommended with AR). A few weeks later the Intrum litigation office contacted me asking me for the amount of every month remaining of the year, I ask to pay at the schedule and they accepted. I recall Active Insurance To request the reason for this approach, an advisor informs me that I had failed to sign the levy authorization electronically. My amazement was total, nobody informed me of this approach, really no one, they may have estimated that I had to have enough curiosity, and nothing to do with my life to go on my own will do A tour on the Active Insurance site to see if by chance there was not something to sign electronically ... and please wait that's not all! Taken of frustration and anger, I ask the question to my advisor: do I remain covered in the event of payment at the schedule with your partner? His answer was yes. Suddenly for a few months the intrum litigation office set my card and I thought I was insured ... or my contract had already been resilled. My wife discovered that we were no longer insured during a control of the police, she had the documents that we have obtained during the subscription, but the presence of a telephone number 0800 ... a Arrested the gendarme, he decided to call the Customer Relations Center Active Insurance in order to verify the validity of the contract, and the advisor announces to him that the contract had been suspended for lack of payment. My wife recalled the Customer Relations Center during her arrest and he was promised to put her contract into force the next day if she pays the remaining months right away. The gendarme could not wait for this period. Shocked I took my blue card and called intrum and I settled the amount remaining of the year and requested proof in order to present it to Active Insurance and ask them for Immary Return to the Contract in order to get my wife out of This nightmare, they did not want to understand anything, even with supporting documents for support, they decided to put the contract into force until their partner has paid the funds. As if their internal working methods and with their partners were my problem, example: if Intrum send their funds in a few months, I remain without insurance during these few months or their partners keep my money in their bank accounts. And indeed I paid everything on February 10, we are the 22nd and our car is still immobilized. They did not want to make any effort of the style call their partner to make sure that I have fulfilled my payment and reactivate my contract in order to spare us the worst, although they are behind the problem, nothing, that slab, no sense of initiative.
My wife had a fine of 400 euros, a withdrawal of 4 points, a fine of 400 euros and will be known to the security services and will have a mention on her criminal record as a delinquency of the roads for the next 10 years, she is in Losing her position as an educator.
I swear to you on my honor that she is an extra person, a beautiful soul, an exemplary citizen, she has been driving for 10 years and keeps a balance of 12 points never affected by the slightest offense, she has never declared a claim and has no penalty. Active insurance destroys his life for him because of lack of follow -up and collaboration, incompetence and carelessness with regard to a client.
Dear friends, avoid this brand is a calamity.</v>
      </c>
    </row>
    <row r="222" ht="15.75" customHeight="1">
      <c r="A222" s="2">
        <v>5.0</v>
      </c>
      <c r="B222" s="2" t="s">
        <v>736</v>
      </c>
      <c r="C222" s="2" t="s">
        <v>737</v>
      </c>
      <c r="D222" s="2" t="s">
        <v>19</v>
      </c>
      <c r="E222" s="2" t="s">
        <v>20</v>
      </c>
      <c r="F222" s="2" t="s">
        <v>15</v>
      </c>
      <c r="G222" s="2" t="s">
        <v>219</v>
      </c>
      <c r="H222" s="2" t="s">
        <v>74</v>
      </c>
      <c r="I222" s="2" t="str">
        <f>IFERROR(__xludf.DUMMYFUNCTION("GOOGLETRANSLATE(C222,""fr"",""en"")"),"I am fully satisfied with my insurance
Despite what we think of being on the Internet does not penalize contacts
Always well received on the phone")</f>
        <v>I am fully satisfied with my insurance
Despite what we think of being on the Internet does not penalize contacts
Always well received on the phone</v>
      </c>
    </row>
    <row r="223" ht="15.75" customHeight="1">
      <c r="A223" s="2">
        <v>1.0</v>
      </c>
      <c r="B223" s="2" t="s">
        <v>738</v>
      </c>
      <c r="C223" s="2" t="s">
        <v>739</v>
      </c>
      <c r="D223" s="2" t="s">
        <v>43</v>
      </c>
      <c r="E223" s="2" t="s">
        <v>20</v>
      </c>
      <c r="F223" s="2" t="s">
        <v>15</v>
      </c>
      <c r="G223" s="2" t="s">
        <v>740</v>
      </c>
      <c r="H223" s="2" t="s">
        <v>239</v>
      </c>
      <c r="I223" s="2" t="str">
        <f>IFERROR(__xludf.DUMMYFUNCTION("GOOGLETRANSLATE(C223,""fr"",""en"")"),"In the event of a GMF accident you don't help all. They tell me anything and what to go around in circles. I insult, no respect for customers. Changing its mind as if our life remains there not to move. When you call he lets you speak. I have already trie"&amp;"d several insurance but GMF is the worst in the event of an accident. Ensuring any risk is as if you are not assured how it treats you. N'hstay not even send a message because it does not take into account. Very disappointed,")</f>
        <v>In the event of a GMF accident you don't help all. They tell me anything and what to go around in circles. I insult, no respect for customers. Changing its mind as if our life remains there not to move. When you call he lets you speak. I have already tried several insurance but GMF is the worst in the event of an accident. Ensuring any risk is as if you are not assured how it treats you. N'hstay not even send a message because it does not take into account. Very disappointed,</v>
      </c>
    </row>
    <row r="224" ht="15.75" customHeight="1">
      <c r="A224" s="2">
        <v>4.0</v>
      </c>
      <c r="B224" s="2" t="s">
        <v>741</v>
      </c>
      <c r="C224" s="2" t="s">
        <v>742</v>
      </c>
      <c r="D224" s="2" t="s">
        <v>35</v>
      </c>
      <c r="E224" s="2" t="s">
        <v>20</v>
      </c>
      <c r="F224" s="2" t="s">
        <v>15</v>
      </c>
      <c r="G224" s="2" t="s">
        <v>743</v>
      </c>
      <c r="H224" s="2" t="s">
        <v>32</v>
      </c>
      <c r="I224" s="2" t="str">
        <f>IFERROR(__xludf.DUMMYFUNCTION("GOOGLETRANSLATE(C224,""fr"",""en"")"),"I am satisfied with the service and the prices ... For the moment, I hope to stay with the Olivier Insurance a few years.
The telephone call went well, my interlocutor seemed to be very clear, however the price offered online was significantly different "&amp;"from that calculated on your site.")</f>
        <v>I am satisfied with the service and the prices ... For the moment, I hope to stay with the Olivier Insurance a few years.
The telephone call went well, my interlocutor seemed to be very clear, however the price offered online was significantly different from that calculated on your site.</v>
      </c>
    </row>
    <row r="225" ht="15.75" customHeight="1">
      <c r="A225" s="2">
        <v>1.0</v>
      </c>
      <c r="B225" s="2" t="s">
        <v>744</v>
      </c>
      <c r="C225" s="2" t="s">
        <v>745</v>
      </c>
      <c r="D225" s="2" t="s">
        <v>193</v>
      </c>
      <c r="E225" s="2" t="s">
        <v>20</v>
      </c>
      <c r="F225" s="2" t="s">
        <v>15</v>
      </c>
      <c r="G225" s="2" t="s">
        <v>746</v>
      </c>
      <c r="H225" s="2" t="s">
        <v>40</v>
      </c>
      <c r="I225" s="2" t="str">
        <f>IFERROR(__xludf.DUMMYFUNCTION("GOOGLETRANSLATE(C225,""fr"",""en"")"),"I will lower their popularity rating. I had a breakdown of my vehicle (towing and car loan: TB). The quote fell with + € 3000 in costs (I have subscribed all the same to the breakdown warranty). Like maintenance, my husband does it, no care. The file mana"&amp;"ger told me by phone that the quote was high!
I have been paying for years without ever having had anything (breakdown or accident), nobody told me that I had to do the maintenance of the car at a mechanic and the car is well maintained, everything is ni"&amp;"ckel!
A real shame, and I am not talking to you about the tone they use! I'm going to get away from home and my family and beautiful family too!
")</f>
        <v>I will lower their popularity rating. I had a breakdown of my vehicle (towing and car loan: TB). The quote fell with + € 3000 in costs (I have subscribed all the same to the breakdown warranty). Like maintenance, my husband does it, no care. The file manager told me by phone that the quote was high!
I have been paying for years without ever having had anything (breakdown or accident), nobody told me that I had to do the maintenance of the car at a mechanic and the car is well maintained, everything is nickel!
A real shame, and I am not talking to you about the tone they use! I'm going to get away from home and my family and beautiful family too!
</v>
      </c>
    </row>
    <row r="226" ht="15.75" customHeight="1">
      <c r="A226" s="2">
        <v>2.0</v>
      </c>
      <c r="B226" s="2" t="s">
        <v>747</v>
      </c>
      <c r="C226" s="2" t="s">
        <v>748</v>
      </c>
      <c r="D226" s="2" t="s">
        <v>269</v>
      </c>
      <c r="E226" s="2" t="s">
        <v>61</v>
      </c>
      <c r="F226" s="2" t="s">
        <v>15</v>
      </c>
      <c r="G226" s="2" t="s">
        <v>646</v>
      </c>
      <c r="H226" s="2" t="s">
        <v>92</v>
      </c>
      <c r="I226" s="2" t="str">
        <f>IFERROR(__xludf.DUMMYFUNCTION("GOOGLETRANSLATE(C226,""fr"",""en"")"),"I have been waiting for a refund since March 19, it is impossible to have them on the phone, however, the levy of my mutual has taken place. I will oppose the next samples and change my mutual.")</f>
        <v>I have been waiting for a refund since March 19, it is impossible to have them on the phone, however, the levy of my mutual has taken place. I will oppose the next samples and change my mutual.</v>
      </c>
    </row>
    <row r="227" ht="15.75" customHeight="1">
      <c r="A227" s="2">
        <v>1.0</v>
      </c>
      <c r="B227" s="2" t="s">
        <v>749</v>
      </c>
      <c r="C227" s="2" t="s">
        <v>750</v>
      </c>
      <c r="D227" s="2" t="s">
        <v>19</v>
      </c>
      <c r="E227" s="2" t="s">
        <v>20</v>
      </c>
      <c r="F227" s="2" t="s">
        <v>15</v>
      </c>
      <c r="G227" s="2" t="s">
        <v>470</v>
      </c>
      <c r="H227" s="2" t="s">
        <v>21</v>
      </c>
      <c r="I227" s="2" t="str">
        <f>IFERROR(__xludf.DUMMYFUNCTION("GOOGLETRANSLATE(C227,""fr"",""en"")"),"I realize that the prices are not so interesting, especially since the deductibles are very important.
I bought a new car and on your site I was not accepted.")</f>
        <v>I realize that the prices are not so interesting, especially since the deductibles are very important.
I bought a new car and on your site I was not accepted.</v>
      </c>
    </row>
    <row r="228" ht="15.75" customHeight="1">
      <c r="A228" s="2">
        <v>1.0</v>
      </c>
      <c r="B228" s="2" t="s">
        <v>751</v>
      </c>
      <c r="C228" s="2" t="s">
        <v>752</v>
      </c>
      <c r="D228" s="2" t="s">
        <v>24</v>
      </c>
      <c r="E228" s="2" t="s">
        <v>122</v>
      </c>
      <c r="F228" s="2" t="s">
        <v>15</v>
      </c>
      <c r="G228" s="2" t="s">
        <v>753</v>
      </c>
      <c r="H228" s="2" t="s">
        <v>652</v>
      </c>
      <c r="I228" s="2" t="str">
        <f>IFERROR(__xludf.DUMMYFUNCTION("GOOGLETRANSLATE(C228,""fr"",""en"")"),"An increase on my home insurance of € 60 in 2 years, to more than € 670, at this rate I will reach very quickly the € 1000")</f>
        <v>An increase on my home insurance of € 60 in 2 years, to more than € 670, at this rate I will reach very quickly the € 1000</v>
      </c>
    </row>
    <row r="229" ht="15.75" customHeight="1">
      <c r="A229" s="2">
        <v>1.0</v>
      </c>
      <c r="B229" s="2" t="s">
        <v>754</v>
      </c>
      <c r="C229" s="2" t="s">
        <v>755</v>
      </c>
      <c r="D229" s="2" t="s">
        <v>111</v>
      </c>
      <c r="E229" s="2" t="s">
        <v>214</v>
      </c>
      <c r="F229" s="2" t="s">
        <v>15</v>
      </c>
      <c r="G229" s="2" t="s">
        <v>226</v>
      </c>
      <c r="H229" s="2" t="s">
        <v>21</v>
      </c>
      <c r="I229" s="2" t="str">
        <f>IFERROR(__xludf.DUMMYFUNCTION("GOOGLETRANSLATE(C229,""fr"",""en"")"),"Hello, since August 2020 I have sent a COVIVE help request file, whenever I call for long months I am told that my file is in commission, to date I have no new And I no longer even hope to be helping by this insurance, only pipo ...")</f>
        <v>Hello, since August 2020 I have sent a COVIVE help request file, whenever I call for long months I am told that my file is in commission, to date I have no new And I no longer even hope to be helping by this insurance, only pipo ...</v>
      </c>
    </row>
    <row r="230" ht="15.75" customHeight="1">
      <c r="A230" s="2">
        <v>1.0</v>
      </c>
      <c r="B230" s="2" t="s">
        <v>756</v>
      </c>
      <c r="C230" s="2" t="s">
        <v>757</v>
      </c>
      <c r="D230" s="2" t="s">
        <v>95</v>
      </c>
      <c r="E230" s="2" t="s">
        <v>122</v>
      </c>
      <c r="F230" s="2" t="s">
        <v>15</v>
      </c>
      <c r="G230" s="2" t="s">
        <v>758</v>
      </c>
      <c r="H230" s="2" t="s">
        <v>50</v>
      </c>
      <c r="I230" s="2" t="str">
        <f>IFERROR(__xludf.DUMMYFUNCTION("GOOGLETRANSLATE(C230,""fr"",""en"")"),"Huge disappointment! TO FLEE. No unbearable professionalism and staff. Service access length by phone. Treatment, openings of several files affected on the same problem those without it being known as he can then hear himself blamelessly blame the facts w"&amp;"ith the customer? Reimbursement of half of the water damage CE despite presentation of the invoice. Insurance in peremptory practice not to say totalitarian that threatens to radiation ... I will recommend it only ... to my worst enemy.")</f>
        <v>Huge disappointment! TO FLEE. No unbearable professionalism and staff. Service access length by phone. Treatment, openings of several files affected on the same problem those without it being known as he can then hear himself blamelessly blame the facts with the customer? Reimbursement of half of the water damage CE despite presentation of the invoice. Insurance in peremptory practice not to say totalitarian that threatens to radiation ... I will recommend it only ... to my worst enemy.</v>
      </c>
    </row>
    <row r="231" ht="15.75" customHeight="1">
      <c r="A231" s="2">
        <v>5.0</v>
      </c>
      <c r="B231" s="2" t="s">
        <v>759</v>
      </c>
      <c r="C231" s="2" t="s">
        <v>760</v>
      </c>
      <c r="D231" s="2" t="s">
        <v>35</v>
      </c>
      <c r="E231" s="2" t="s">
        <v>20</v>
      </c>
      <c r="F231" s="2" t="s">
        <v>15</v>
      </c>
      <c r="G231" s="2" t="s">
        <v>761</v>
      </c>
      <c r="H231" s="2" t="s">
        <v>74</v>
      </c>
      <c r="I231" s="2" t="str">
        <f>IFERROR(__xludf.DUMMYFUNCTION("GOOGLETRANSLATE(C231,""fr"",""en"")"),"Simple and quick, frankly good team and listening, I am delighted to have taken my car insurance at home, really not disappointed, I do not regret !!")</f>
        <v>Simple and quick, frankly good team and listening, I am delighted to have taken my car insurance at home, really not disappointed, I do not regret !!</v>
      </c>
    </row>
    <row r="232" ht="15.75" customHeight="1">
      <c r="A232" s="2">
        <v>3.0</v>
      </c>
      <c r="B232" s="2" t="s">
        <v>762</v>
      </c>
      <c r="C232" s="2" t="s">
        <v>763</v>
      </c>
      <c r="D232" s="2" t="s">
        <v>86</v>
      </c>
      <c r="E232" s="2" t="s">
        <v>61</v>
      </c>
      <c r="F232" s="2" t="s">
        <v>15</v>
      </c>
      <c r="G232" s="2" t="s">
        <v>764</v>
      </c>
      <c r="H232" s="2" t="s">
        <v>216</v>
      </c>
      <c r="I232" s="2" t="str">
        <f>IFERROR(__xludf.DUMMYFUNCTION("GOOGLETRANSLATE(C232,""fr"",""en"")"),"Clear telephone interview. Erika is effective and precise in her explanations.")</f>
        <v>Clear telephone interview. Erika is effective and precise in her explanations.</v>
      </c>
    </row>
    <row r="233" ht="15.75" customHeight="1">
      <c r="A233" s="2">
        <v>1.0</v>
      </c>
      <c r="B233" s="2" t="s">
        <v>765</v>
      </c>
      <c r="C233" s="2" t="s">
        <v>766</v>
      </c>
      <c r="D233" s="2" t="s">
        <v>374</v>
      </c>
      <c r="E233" s="2" t="s">
        <v>14</v>
      </c>
      <c r="F233" s="2" t="s">
        <v>15</v>
      </c>
      <c r="G233" s="2" t="s">
        <v>767</v>
      </c>
      <c r="H233" s="2" t="s">
        <v>116</v>
      </c>
      <c r="I233" s="2" t="str">
        <f>IFERROR(__xludf.DUMMYFUNCTION("GOOGLETRANSLATE(C233,""fr"",""en"")"),"I have just taken a scooter insurance (50 cm) set by CB, no certificate received, contacted an advisor, who was very badly friendly, I regret having taken this insurance. For me finished.")</f>
        <v>I have just taken a scooter insurance (50 cm) set by CB, no certificate received, contacted an advisor, who was very badly friendly, I regret having taken this insurance. For me finished.</v>
      </c>
    </row>
    <row r="234" ht="15.75" customHeight="1">
      <c r="A234" s="2">
        <v>5.0</v>
      </c>
      <c r="B234" s="2" t="s">
        <v>768</v>
      </c>
      <c r="C234" s="2" t="s">
        <v>769</v>
      </c>
      <c r="D234" s="2" t="s">
        <v>60</v>
      </c>
      <c r="E234" s="2" t="s">
        <v>61</v>
      </c>
      <c r="F234" s="2" t="s">
        <v>15</v>
      </c>
      <c r="G234" s="2" t="s">
        <v>770</v>
      </c>
      <c r="H234" s="2" t="s">
        <v>256</v>
      </c>
      <c r="I234" s="2" t="str">
        <f>IFERROR(__xludf.DUMMYFUNCTION("GOOGLETRANSLATE(C234,""fr"",""en"")"),"A top of the top of the top! 18 days to reimburse my dental implants :) I really do not regret being at Mercer (business mutual), I have always had very benevolent interlocutors on the phone.
I highly recommend it.")</f>
        <v>A top of the top of the top! 18 days to reimburse my dental implants :) I really do not regret being at Mercer (business mutual), I have always had very benevolent interlocutors on the phone.
I highly recommend it.</v>
      </c>
    </row>
    <row r="235" ht="15.75" customHeight="1">
      <c r="A235" s="2">
        <v>1.0</v>
      </c>
      <c r="B235" s="2" t="s">
        <v>771</v>
      </c>
      <c r="C235" s="2" t="s">
        <v>772</v>
      </c>
      <c r="D235" s="2" t="s">
        <v>19</v>
      </c>
      <c r="E235" s="2" t="s">
        <v>20</v>
      </c>
      <c r="F235" s="2" t="s">
        <v>15</v>
      </c>
      <c r="G235" s="2" t="s">
        <v>470</v>
      </c>
      <c r="H235" s="2" t="s">
        <v>21</v>
      </c>
      <c r="I235" s="2" t="str">
        <f>IFERROR(__xludf.DUMMYFUNCTION("GOOGLETRANSLATE(C235,""fr"",""en"")"),"I realize that my contract has been renewed and the price to increase without my being planned upstream. I was not left the opportunity to make a decision")</f>
        <v>I realize that my contract has been renewed and the price to increase without my being planned upstream. I was not left the opportunity to make a decision</v>
      </c>
    </row>
    <row r="236" ht="15.75" customHeight="1">
      <c r="A236" s="2">
        <v>2.0</v>
      </c>
      <c r="B236" s="2" t="s">
        <v>773</v>
      </c>
      <c r="C236" s="2" t="s">
        <v>774</v>
      </c>
      <c r="D236" s="2" t="s">
        <v>13</v>
      </c>
      <c r="E236" s="2" t="s">
        <v>14</v>
      </c>
      <c r="F236" s="2" t="s">
        <v>15</v>
      </c>
      <c r="G236" s="2" t="s">
        <v>775</v>
      </c>
      <c r="H236" s="2" t="s">
        <v>154</v>
      </c>
      <c r="I236" s="2" t="str">
        <f>IFERROR(__xludf.DUMMYFUNCTION("GOOGLETRANSLATE(C236,""fr"",""en"")"),"Insured at the Mutuelle des Motards for 25 years and with 50% bonuses, I can no longer find the service I have known. I tried since April to contact them several times, impossible. They have a computer system and can no longer even explain my very compila"&amp;"te 'prices to me according to a correspondent. In short, I change insurer and I regret it")</f>
        <v>Insured at the Mutuelle des Motards for 25 years and with 50% bonuses, I can no longer find the service I have known. I tried since April to contact them several times, impossible. They have a computer system and can no longer even explain my very compilate 'prices to me according to a correspondent. In short, I change insurer and I regret it</v>
      </c>
    </row>
    <row r="237" ht="15.75" customHeight="1">
      <c r="A237" s="2">
        <v>2.0</v>
      </c>
      <c r="B237" s="2" t="s">
        <v>776</v>
      </c>
      <c r="C237" s="2" t="s">
        <v>777</v>
      </c>
      <c r="D237" s="2" t="s">
        <v>193</v>
      </c>
      <c r="E237" s="2" t="s">
        <v>20</v>
      </c>
      <c r="F237" s="2" t="s">
        <v>15</v>
      </c>
      <c r="G237" s="2" t="s">
        <v>778</v>
      </c>
      <c r="H237" s="2" t="s">
        <v>256</v>
      </c>
      <c r="I237" s="2" t="str">
        <f>IFERROR(__xludf.DUMMYFUNCTION("GOOGLETRANSLATE(C237,""fr"",""en"")"),"Deplorable insurance in which I no longer have any confidence.
No ethics
Do not hesitate to terminate contracts without any qualms.
Customer for 8 years at the Matmut I have all my insurance at home (auto, housing, legal, civil liability).
After a dis"&amp;"pute with my former employer I call on legal protection which tells me to open several files in view of the situation.
6 months later I receive a termination letter that too many files are open to them. Basically I cost them too much!
Shame on them, n"&amp;"o scruples and ethics.
To flee !")</f>
        <v>Deplorable insurance in which I no longer have any confidence.
No ethics
Do not hesitate to terminate contracts without any qualms.
Customer for 8 years at the Matmut I have all my insurance at home (auto, housing, legal, civil liability).
After a dispute with my former employer I call on legal protection which tells me to open several files in view of the situation.
6 months later I receive a termination letter that too many files are open to them. Basically I cost them too much!
Shame on them, no scruples and ethics.
To flee !</v>
      </c>
    </row>
    <row r="238" ht="15.75" customHeight="1">
      <c r="A238" s="2">
        <v>3.0</v>
      </c>
      <c r="B238" s="2" t="s">
        <v>779</v>
      </c>
      <c r="C238" s="2" t="s">
        <v>780</v>
      </c>
      <c r="D238" s="2" t="s">
        <v>35</v>
      </c>
      <c r="E238" s="2" t="s">
        <v>20</v>
      </c>
      <c r="F238" s="2" t="s">
        <v>15</v>
      </c>
      <c r="G238" s="2" t="s">
        <v>781</v>
      </c>
      <c r="H238" s="2" t="s">
        <v>729</v>
      </c>
      <c r="I238" s="2" t="str">
        <f>IFERROR(__xludf.DUMMYFUNCTION("GOOGLETRANSLATE(C238,""fr"",""en"")"),"I do not recommend this insurance
Our vehicle was stolen and they made us drag for 3 months all this so as not to reimburse us
Very mismanagement
Never the same person on the phone")</f>
        <v>I do not recommend this insurance
Our vehicle was stolen and they made us drag for 3 months all this so as not to reimburse us
Very mismanagement
Never the same person on the phone</v>
      </c>
    </row>
    <row r="239" ht="15.75" customHeight="1">
      <c r="A239" s="2">
        <v>1.0</v>
      </c>
      <c r="B239" s="2" t="s">
        <v>782</v>
      </c>
      <c r="C239" s="2" t="s">
        <v>783</v>
      </c>
      <c r="D239" s="2" t="s">
        <v>13</v>
      </c>
      <c r="E239" s="2" t="s">
        <v>14</v>
      </c>
      <c r="F239" s="2" t="s">
        <v>15</v>
      </c>
      <c r="G239" s="2" t="s">
        <v>784</v>
      </c>
      <c r="H239" s="2" t="s">
        <v>481</v>
      </c>
      <c r="I239" s="2" t="str">
        <f>IFERROR(__xludf.DUMMYFUNCTION("GOOGLETRANSLATE(C239,""fr"",""en"")"),"I appeal to legal protection which seems to have absolutely nothing to do with my concern
Another service paid in the wind and their legal obligations ??????
I don't think I stay at the Mutuelle des Motards because of the Matmut and Jurimotard and I wou"&amp;"ld echo my mesanventure with all the bikers I would meet and there are many
")</f>
        <v>I appeal to legal protection which seems to have absolutely nothing to do with my concern
Another service paid in the wind and their legal obligations ??????
I don't think I stay at the Mutuelle des Motards because of the Matmut and Jurimotard and I would echo my mesanventure with all the bikers I would meet and there are many
</v>
      </c>
    </row>
    <row r="240" ht="15.75" customHeight="1">
      <c r="A240" s="2">
        <v>2.0</v>
      </c>
      <c r="B240" s="2" t="s">
        <v>785</v>
      </c>
      <c r="C240" s="2" t="s">
        <v>786</v>
      </c>
      <c r="D240" s="2" t="s">
        <v>48</v>
      </c>
      <c r="E240" s="2" t="s">
        <v>14</v>
      </c>
      <c r="F240" s="2" t="s">
        <v>15</v>
      </c>
      <c r="G240" s="2" t="s">
        <v>722</v>
      </c>
      <c r="H240" s="2" t="s">
        <v>26</v>
      </c>
      <c r="I240" s="2" t="str">
        <f>IFERROR(__xludf.DUMMYFUNCTION("GOOGLETRANSLATE(C240,""fr"",""en"")"),"I put a bad note, but they are all the same.
Why not reward payers not abstaining their services?
Insured for ..... years, 0 damage, 0 delay in payment, 0 on the entire line.
Except when one day I need their help following C ... who ripped me off my to"&amp;"p case of my BMW (1 top case + platinum + 1 U + 2 passenger handles torn off) Result of the damage (230 € Top + support 100 + U 100 + 2 handles BMW 200 = € 650 of damage) - I know optional option but a gesture of the insurer would have been good in respon"&amp;"se to fidelity and righteousness towards them !!
Pffffff
AMV answer = 0 You have not subscribed to the Accessories option ....
Tell them that the motorcycle is out and there it may be passing !!
Should we be a liar to hope to recover a little bit "&amp;"of damage that a tier has made you suffer?
I'm really angry ....
")</f>
        <v>I put a bad note, but they are all the same.
Why not reward payers not abstaining their services?
Insured for ..... years, 0 damage, 0 delay in payment, 0 on the entire line.
Except when one day I need their help following C ... who ripped me off my top case of my BMW (1 top case + platinum + 1 U + 2 passenger handles torn off) Result of the damage (230 € Top + support 100 + U 100 + 2 handles BMW 200 = € 650 of damage) - I know optional option but a gesture of the insurer would have been good in response to fidelity and righteousness towards them !!
Pffffff
AMV answer = 0 You have not subscribed to the Accessories option ....
Tell them that the motorcycle is out and there it may be passing !!
Should we be a liar to hope to recover a little bit of damage that a tier has made you suffer?
I'm really angry ....
</v>
      </c>
    </row>
    <row r="241" ht="15.75" customHeight="1">
      <c r="A241" s="2">
        <v>2.0</v>
      </c>
      <c r="B241" s="2" t="s">
        <v>787</v>
      </c>
      <c r="C241" s="2" t="s">
        <v>788</v>
      </c>
      <c r="D241" s="2" t="s">
        <v>35</v>
      </c>
      <c r="E241" s="2" t="s">
        <v>20</v>
      </c>
      <c r="F241" s="2" t="s">
        <v>15</v>
      </c>
      <c r="G241" s="2" t="s">
        <v>789</v>
      </c>
      <c r="H241" s="2" t="s">
        <v>83</v>
      </c>
      <c r="I241" s="2" t="str">
        <f>IFERROR(__xludf.DUMMYFUNCTION("GOOGLETRANSLATE(C241,""fr"",""en"")"),"Management of my disaster from 04/28/2020 catastrophic. It's been weeks since it lasts. The documents sent in time and times validated by the service disappear, it is necessary to redo everything to obtain a payment of increased value in a disaster where "&amp;"my vehicle is declared wreck and of which I am not responsible. It is an intolerable attitude ....")</f>
        <v>Management of my disaster from 04/28/2020 catastrophic. It's been weeks since it lasts. The documents sent in time and times validated by the service disappear, it is necessary to redo everything to obtain a payment of increased value in a disaster where my vehicle is declared wreck and of which I am not responsible. It is an intolerable attitude ....</v>
      </c>
    </row>
    <row r="242" ht="15.75" customHeight="1">
      <c r="A242" s="2">
        <v>5.0</v>
      </c>
      <c r="B242" s="2" t="s">
        <v>790</v>
      </c>
      <c r="C242" s="2" t="s">
        <v>791</v>
      </c>
      <c r="D242" s="2" t="s">
        <v>35</v>
      </c>
      <c r="E242" s="2" t="s">
        <v>20</v>
      </c>
      <c r="F242" s="2" t="s">
        <v>15</v>
      </c>
      <c r="G242" s="2" t="s">
        <v>711</v>
      </c>
      <c r="H242" s="2" t="s">
        <v>164</v>
      </c>
      <c r="I242" s="2" t="str">
        <f>IFERROR(__xludf.DUMMYFUNCTION("GOOGLETRANSLATE(C242,""fr"",""en"")"),"Very correct price quickly done and no worries to make the quote everything is available and clear sends fast papers and green card to recover directly")</f>
        <v>Very correct price quickly done and no worries to make the quote everything is available and clear sends fast papers and green card to recover directly</v>
      </c>
    </row>
    <row r="243" ht="15.75" customHeight="1">
      <c r="A243" s="2">
        <v>4.0</v>
      </c>
      <c r="B243" s="2" t="s">
        <v>792</v>
      </c>
      <c r="C243" s="2" t="s">
        <v>793</v>
      </c>
      <c r="D243" s="2" t="s">
        <v>43</v>
      </c>
      <c r="E243" s="2" t="s">
        <v>122</v>
      </c>
      <c r="F243" s="2" t="s">
        <v>15</v>
      </c>
      <c r="G243" s="2" t="s">
        <v>794</v>
      </c>
      <c r="H243" s="2" t="s">
        <v>395</v>
      </c>
      <c r="I243" s="2" t="str">
        <f>IFERROR(__xludf.DUMMYFUNCTION("GOOGLETRANSLATE(C243,""fr"",""en"")"),"I do not understand all these negative opinions because I have been ensured by GMF for decades.
Certainly you have to be patient to obtain the platform on the phone that manages claims because, with the files linked to the weather for a few months, the f"&amp;"iles to be processed are numerous.
So you may have to get closer to your agency to advance the processing of your file, if it is lying in length.
Personally I was contacted by the claim platform the day after my online claim declaration last July.
I wa"&amp;"s quickly compensated after the expert's passage.
")</f>
        <v>I do not understand all these negative opinions because I have been ensured by GMF for decades.
Certainly you have to be patient to obtain the platform on the phone that manages claims because, with the files linked to the weather for a few months, the files to be processed are numerous.
So you may have to get closer to your agency to advance the processing of your file, if it is lying in length.
Personally I was contacted by the claim platform the day after my online claim declaration last July.
I was quickly compensated after the expert's passage.
</v>
      </c>
    </row>
    <row r="244" ht="15.75" customHeight="1">
      <c r="A244" s="2">
        <v>3.0</v>
      </c>
      <c r="B244" s="2" t="s">
        <v>795</v>
      </c>
      <c r="C244" s="2" t="s">
        <v>796</v>
      </c>
      <c r="D244" s="2" t="s">
        <v>100</v>
      </c>
      <c r="E244" s="2" t="s">
        <v>20</v>
      </c>
      <c r="F244" s="2" t="s">
        <v>15</v>
      </c>
      <c r="G244" s="2" t="s">
        <v>797</v>
      </c>
      <c r="H244" s="2" t="s">
        <v>70</v>
      </c>
      <c r="I244" s="2" t="str">
        <f>IFERROR(__xludf.DUMMYFUNCTION("GOOGLETRANSLATE(C244,""fr"",""en"")"),"A catastrophe! They send you a quote that you accept ', you return the pieces and not receiving the green card I call them (nomero surcharge), they tell you that the quote is not a sign and that you have to go to space Staff to sign it gold on the space T"&amp;"he amount is greater because the file fees have increased! You are stuck because your account has been debited by phone! No response to emails")</f>
        <v>A catastrophe! They send you a quote that you accept ', you return the pieces and not receiving the green card I call them (nomero surcharge), they tell you that the quote is not a sign and that you have to go to space Staff to sign it gold on the space The amount is greater because the file fees have increased! You are stuck because your account has been debited by phone! No response to emails</v>
      </c>
    </row>
    <row r="245" ht="15.75" customHeight="1">
      <c r="A245" s="2">
        <v>1.0</v>
      </c>
      <c r="B245" s="2" t="s">
        <v>798</v>
      </c>
      <c r="C245" s="2" t="s">
        <v>799</v>
      </c>
      <c r="D245" s="2" t="s">
        <v>532</v>
      </c>
      <c r="E245" s="2" t="s">
        <v>214</v>
      </c>
      <c r="F245" s="2" t="s">
        <v>15</v>
      </c>
      <c r="G245" s="2" t="s">
        <v>800</v>
      </c>
      <c r="H245" s="2" t="s">
        <v>202</v>
      </c>
      <c r="I245" s="2" t="str">
        <f>IFERROR(__xludf.DUMMYFUNCTION("GOOGLETRANSLATE(C245,""fr"",""en"")"),"The CNP improperly retains the capital that is due to us following the death of a parent who had the bad idea of ​​taking out life insurance at home. However, the CNP has all the documents necessary for the payment of this capital but claims to have never"&amp;" received our recommended letters when we have the acknowledgment of receipt which is the irrefutable proof of the delivery of our mail and in addition sent by each of the beneficiaries (We are three so the CNP has received none of our three letters to be"&amp;"lieve them). It's strange. But above all, what bad faith. It is exasperating and it is to wonder how we can work for such a company and share the values ​​of the company. When we finally manage to reach them by phone, it is to be told that they have a pro"&amp;"blem with registered mail and that you have to send the whole file in simple mail and recall 10 days later to know if they received it. Well let's see, the answer we already know it, your mail has not reached Mrs. X, Mr. Y, we are sorry. And there, no rec"&amp;"overy of mail. Easy. It's dismay. The CNP has a problem, not with registered mail shipments but a short problem and a big one. This is why we have seized the prudential control authority so that they take over and open an investigation into the very large"&amp;" general ordering in CNP services. Such practices are unfortunately common but they are intolerable and we know very well that insurance companies put an eternity to unlock the funds which bring them much more interest than the delay penalties than the la"&amp;"w nevertheless enjoins them to pay. In the end, it is the beneficiaries who are taken hostage and who undergo a situation imposed on them by unscrupulous people who have absolutely nothing to do with the M ... in which they put us. We are still waiting fo"&amp;"r our due, it has been going on now since November ...")</f>
        <v>The CNP improperly retains the capital that is due to us following the death of a parent who had the bad idea of ​​taking out life insurance at home. However, the CNP has all the documents necessary for the payment of this capital but claims to have never received our recommended letters when we have the acknowledgment of receipt which is the irrefutable proof of the delivery of our mail and in addition sent by each of the beneficiaries (We are three so the CNP has received none of our three letters to believe them). It's strange. But above all, what bad faith. It is exasperating and it is to wonder how we can work for such a company and share the values ​​of the company. When we finally manage to reach them by phone, it is to be told that they have a problem with registered mail and that you have to send the whole file in simple mail and recall 10 days later to know if they received it. Well let's see, the answer we already know it, your mail has not reached Mrs. X, Mr. Y, we are sorry. And there, no recovery of mail. Easy. It's dismay. The CNP has a problem, not with registered mail shipments but a short problem and a big one. This is why we have seized the prudential control authority so that they take over and open an investigation into the very large general ordering in CNP services. Such practices are unfortunately common but they are intolerable and we know very well that insurance companies put an eternity to unlock the funds which bring them much more interest than the delay penalties than the law nevertheless enjoins them to pay. In the end, it is the beneficiaries who are taken hostage and who undergo a situation imposed on them by unscrupulous people who have absolutely nothing to do with the M ... in which they put us. We are still waiting for our due, it has been going on now since November ...</v>
      </c>
    </row>
    <row r="246" ht="15.75" customHeight="1">
      <c r="A246" s="2">
        <v>4.0</v>
      </c>
      <c r="B246" s="2" t="s">
        <v>801</v>
      </c>
      <c r="C246" s="2" t="s">
        <v>802</v>
      </c>
      <c r="D246" s="2" t="s">
        <v>19</v>
      </c>
      <c r="E246" s="2" t="s">
        <v>20</v>
      </c>
      <c r="F246" s="2" t="s">
        <v>15</v>
      </c>
      <c r="G246" s="2" t="s">
        <v>803</v>
      </c>
      <c r="H246" s="2" t="s">
        <v>108</v>
      </c>
      <c r="I246" s="2" t="str">
        <f>IFERROR(__xludf.DUMMYFUNCTION("GOOGLETRANSLATE(C246,""fr"",""en"")"),"I tried to pay for the year in advance but it was not possible, perhaps a problem with my bank, but fortunately I was able to do it with delayed monthly payments")</f>
        <v>I tried to pay for the year in advance but it was not possible, perhaps a problem with my bank, but fortunately I was able to do it with delayed monthly payments</v>
      </c>
    </row>
    <row r="247" ht="15.75" customHeight="1">
      <c r="A247" s="2">
        <v>1.0</v>
      </c>
      <c r="B247" s="2" t="s">
        <v>804</v>
      </c>
      <c r="C247" s="2" t="s">
        <v>805</v>
      </c>
      <c r="D247" s="2" t="s">
        <v>269</v>
      </c>
      <c r="E247" s="2" t="s">
        <v>61</v>
      </c>
      <c r="F247" s="2" t="s">
        <v>15</v>
      </c>
      <c r="G247" s="2" t="s">
        <v>806</v>
      </c>
      <c r="H247" s="2" t="s">
        <v>74</v>
      </c>
      <c r="I247" s="2" t="str">
        <f>IFERROR(__xludf.DUMMYFUNCTION("GOOGLETRANSLATE(C247,""fr"",""en"")"),"Bad reimbursements I confirm !!! They are not good
Pb with radios reimbursements still not made despite my multiple calls to the broker office
I do not understand
")</f>
        <v>Bad reimbursements I confirm !!! They are not good
Pb with radios reimbursements still not made despite my multiple calls to the broker office
I do not understand
</v>
      </c>
    </row>
    <row r="248" ht="15.75" customHeight="1">
      <c r="A248" s="2">
        <v>5.0</v>
      </c>
      <c r="B248" s="2" t="s">
        <v>807</v>
      </c>
      <c r="C248" s="2" t="s">
        <v>808</v>
      </c>
      <c r="D248" s="2" t="s">
        <v>19</v>
      </c>
      <c r="E248" s="2" t="s">
        <v>20</v>
      </c>
      <c r="F248" s="2" t="s">
        <v>15</v>
      </c>
      <c r="G248" s="2" t="s">
        <v>229</v>
      </c>
      <c r="H248" s="2" t="s">
        <v>108</v>
      </c>
      <c r="I248" s="2" t="str">
        <f>IFERROR(__xludf.DUMMYFUNCTION("GOOGLETRANSLATE(C248,""fr"",""en"")"),"I am satisfied with the reasonable price service and the ease of registration.
I am satisfied with the reasonable price service and the ease of registration.
")</f>
        <v>I am satisfied with the reasonable price service and the ease of registration.
I am satisfied with the reasonable price service and the ease of registration.
</v>
      </c>
    </row>
    <row r="249" ht="15.75" customHeight="1">
      <c r="A249" s="2">
        <v>3.0</v>
      </c>
      <c r="B249" s="2" t="s">
        <v>809</v>
      </c>
      <c r="C249" s="2" t="s">
        <v>810</v>
      </c>
      <c r="D249" s="2" t="s">
        <v>193</v>
      </c>
      <c r="E249" s="2" t="s">
        <v>20</v>
      </c>
      <c r="F249" s="2" t="s">
        <v>15</v>
      </c>
      <c r="G249" s="2" t="s">
        <v>811</v>
      </c>
      <c r="H249" s="2" t="s">
        <v>714</v>
      </c>
      <c r="I249" s="2" t="str">
        <f>IFERROR(__xludf.DUMMYFUNCTION("GOOGLETRANSLATE(C249,""fr"",""en"")"),"Insured for 10 years at the Matmut, and satisfied, despite some events 1 breakdown, 1 accident alone, 2 broken ice.")</f>
        <v>Insured for 10 years at the Matmut, and satisfied, despite some events 1 breakdown, 1 accident alone, 2 broken ice.</v>
      </c>
    </row>
    <row r="250" ht="15.75" customHeight="1">
      <c r="A250" s="2">
        <v>2.0</v>
      </c>
      <c r="B250" s="2" t="s">
        <v>812</v>
      </c>
      <c r="C250" s="2" t="s">
        <v>813</v>
      </c>
      <c r="D250" s="2" t="s">
        <v>171</v>
      </c>
      <c r="E250" s="2" t="s">
        <v>14</v>
      </c>
      <c r="F250" s="2" t="s">
        <v>15</v>
      </c>
      <c r="G250" s="2" t="s">
        <v>814</v>
      </c>
      <c r="H250" s="2" t="s">
        <v>45</v>
      </c>
      <c r="I250" s="2" t="str">
        <f>IFERROR(__xludf.DUMMYFUNCTION("GOOGLETRANSLATE(C250,""fr"",""en"")"),"Not bad but prices can be improved or more general covers, let's see the offers after one year, otherwise I would change insurer.")</f>
        <v>Not bad but prices can be improved or more general covers, let's see the offers after one year, otherwise I would change insurer.</v>
      </c>
    </row>
    <row r="251" ht="15.75" customHeight="1">
      <c r="A251" s="2">
        <v>1.0</v>
      </c>
      <c r="B251" s="2" t="s">
        <v>815</v>
      </c>
      <c r="C251" s="2" t="s">
        <v>816</v>
      </c>
      <c r="D251" s="2" t="s">
        <v>205</v>
      </c>
      <c r="E251" s="2" t="s">
        <v>206</v>
      </c>
      <c r="F251" s="2" t="s">
        <v>15</v>
      </c>
      <c r="G251" s="2" t="s">
        <v>621</v>
      </c>
      <c r="H251" s="2" t="s">
        <v>32</v>
      </c>
      <c r="I251" s="2" t="str">
        <f>IFERROR(__xludf.DUMMYFUNCTION("GOOGLETRANSLATE(C251,""fr"",""en"")"),"At the beginning, enticing contract .... and then my cat to declare a disease and there .... Big surprise .... in two years, my contract has taken almost 100%.. from 29 to 49 euros. And since the first year my subscription has increased from 12 to 49th. T"&amp;"hey desperately try to be terminated because I have an old contract reimbursing 100% which no longer exists .... My contract does not explain how the increases are calculated and they refuse to respond on how the famous increase is calculated . From now o"&amp;"n, I have more of a mutual insurance company than veterinary costs with its drugs.")</f>
        <v>At the beginning, enticing contract .... and then my cat to declare a disease and there .... Big surprise .... in two years, my contract has taken almost 100%.. from 29 to 49 euros. And since the first year my subscription has increased from 12 to 49th. They desperately try to be terminated because I have an old contract reimbursing 100% which no longer exists .... My contract does not explain how the increases are calculated and they refuse to respond on how the famous increase is calculated . From now on, I have more of a mutual insurance company than veterinary costs with its drugs.</v>
      </c>
    </row>
    <row r="252" ht="15.75" customHeight="1">
      <c r="A252" s="2">
        <v>5.0</v>
      </c>
      <c r="B252" s="2" t="s">
        <v>817</v>
      </c>
      <c r="C252" s="2" t="s">
        <v>818</v>
      </c>
      <c r="D252" s="2" t="s">
        <v>19</v>
      </c>
      <c r="E252" s="2" t="s">
        <v>20</v>
      </c>
      <c r="F252" s="2" t="s">
        <v>15</v>
      </c>
      <c r="G252" s="2" t="s">
        <v>819</v>
      </c>
      <c r="H252" s="2" t="s">
        <v>179</v>
      </c>
      <c r="I252" s="2" t="str">
        <f>IFERROR(__xludf.DUMMYFUNCTION("GOOGLETRANSLATE(C252,""fr"",""en"")"),"Interesting price good car insurance I recommend direct insurance I hope not to be on it afterwards if one day d is needed cordially")</f>
        <v>Interesting price good car insurance I recommend direct insurance I hope not to be on it afterwards if one day d is needed cordially</v>
      </c>
    </row>
    <row r="253" ht="15.75" customHeight="1">
      <c r="A253" s="2">
        <v>5.0</v>
      </c>
      <c r="B253" s="2" t="s">
        <v>820</v>
      </c>
      <c r="C253" s="2" t="s">
        <v>821</v>
      </c>
      <c r="D253" s="2" t="s">
        <v>337</v>
      </c>
      <c r="E253" s="2" t="s">
        <v>20</v>
      </c>
      <c r="F253" s="2" t="s">
        <v>15</v>
      </c>
      <c r="G253" s="2" t="s">
        <v>31</v>
      </c>
      <c r="H253" s="2" t="s">
        <v>32</v>
      </c>
      <c r="I253" s="2" t="str">
        <f>IFERROR(__xludf.DUMMYFUNCTION("GOOGLETRANSLATE(C253,""fr"",""en"")"),"I revise the unfavorable opinion that I had issued. The MAIF contacted and decided to settle in my favor the dispute which justified my opinion. Thank you for taking the time to examine my problem.")</f>
        <v>I revise the unfavorable opinion that I had issued. The MAIF contacted and decided to settle in my favor the dispute which justified my opinion. Thank you for taking the time to examine my problem.</v>
      </c>
    </row>
    <row r="254" ht="15.75" customHeight="1">
      <c r="A254" s="2">
        <v>1.0</v>
      </c>
      <c r="B254" s="2" t="s">
        <v>822</v>
      </c>
      <c r="C254" s="2" t="s">
        <v>823</v>
      </c>
      <c r="D254" s="2" t="s">
        <v>824</v>
      </c>
      <c r="E254" s="2" t="s">
        <v>30</v>
      </c>
      <c r="F254" s="2" t="s">
        <v>15</v>
      </c>
      <c r="G254" s="2" t="s">
        <v>394</v>
      </c>
      <c r="H254" s="2" t="s">
        <v>395</v>
      </c>
      <c r="I254" s="2" t="str">
        <f>IFERROR(__xludf.DUMMYFUNCTION("GOOGLETRANSLATE(C254,""fr"",""en"")"),"I put ""a star"" because I don't have the opportunity to put zero. Victim of an accident with work stoppage of more than 3 months, which boulvers my income, the services of Sogecap and Sogefinance are difficult to reach and do not answer the questions pos"&amp;"ed, give no visibility on the care due. Many lack of respect for the customer (including by remarks made orally) and lack of responsiveness for a very sensitive expected service.")</f>
        <v>I put "a star" because I don't have the opportunity to put zero. Victim of an accident with work stoppage of more than 3 months, which boulvers my income, the services of Sogecap and Sogefinance are difficult to reach and do not answer the questions posed, give no visibility on the care due. Many lack of respect for the customer (including by remarks made orally) and lack of responsiveness for a very sensitive expected service.</v>
      </c>
    </row>
    <row r="255" ht="15.75" customHeight="1">
      <c r="A255" s="2">
        <v>1.0</v>
      </c>
      <c r="B255" s="2" t="s">
        <v>825</v>
      </c>
      <c r="C255" s="2" t="s">
        <v>826</v>
      </c>
      <c r="D255" s="2" t="s">
        <v>19</v>
      </c>
      <c r="E255" s="2" t="s">
        <v>20</v>
      </c>
      <c r="F255" s="2" t="s">
        <v>15</v>
      </c>
      <c r="G255" s="2" t="s">
        <v>618</v>
      </c>
      <c r="H255" s="2" t="s">
        <v>92</v>
      </c>
      <c r="I255" s="2" t="str">
        <f>IFERROR(__xludf.DUMMYFUNCTION("GOOGLETRANSLATE(C255,""fr"",""en"")"),"I am very disappointed with your service. Your advisers are more incompetent and does not listen to their customers. I have never had such a bad contact with a company previously. In summary of lamentable services and advisers, you should be ashamed")</f>
        <v>I am very disappointed with your service. Your advisers are more incompetent and does not listen to their customers. I have never had such a bad contact with a company previously. In summary of lamentable services and advisers, you should be ashamed</v>
      </c>
    </row>
    <row r="256" ht="15.75" customHeight="1">
      <c r="A256" s="2">
        <v>1.0</v>
      </c>
      <c r="B256" s="2" t="s">
        <v>827</v>
      </c>
      <c r="C256" s="2" t="s">
        <v>828</v>
      </c>
      <c r="D256" s="2" t="s">
        <v>19</v>
      </c>
      <c r="E256" s="2" t="s">
        <v>20</v>
      </c>
      <c r="F256" s="2" t="s">
        <v>15</v>
      </c>
      <c r="G256" s="2" t="s">
        <v>781</v>
      </c>
      <c r="H256" s="2" t="s">
        <v>729</v>
      </c>
      <c r="I256" s="2" t="str">
        <f>IFERROR(__xludf.DUMMYFUNCTION("GOOGLETRANSLATE(C256,""fr"",""en"")"),"The most total incompetence. The last year my husband punctured but no spare wheel around 5.30 p.m. for the time of care by direct insurance more open garage to take care of the wheel and we announce to him at 8 p.m. We will not take care of his return ho"&amp;"me for a punctured wheel. (I point out that he has the tranquility pack so no respected commitment) and I am not talking about the prohibitive deductibles that are applied and the evil politeness of people that 'We have on the phone. In short for this rea"&amp;"sons for the renewal of his contract my husband has decided to change insurance, since July we are at 3 recommended letters and we no longer count the emails and telephone exchanges, they had the right to a Court of termination of our new insurance but no"&amp;"thing makes it a direct insurance makes the ear deaf, it is a crazy thing. On the phone last week there is an ""advised"" who said to my husband: ""We will do nothing as long as you do not pay the monthly payment that you have refused""")</f>
        <v>The most total incompetence. The last year my husband punctured but no spare wheel around 5.30 p.m. for the time of care by direct insurance more open garage to take care of the wheel and we announce to him at 8 p.m. We will not take care of his return home for a punctured wheel. (I point out that he has the tranquility pack so no respected commitment) and I am not talking about the prohibitive deductibles that are applied and the evil politeness of people that 'We have on the phone. In short for this reasons for the renewal of his contract my husband has decided to change insurance, since July we are at 3 recommended letters and we no longer count the emails and telephone exchanges, they had the right to a Court of termination of our new insurance but nothing makes it a direct insurance makes the ear deaf, it is a crazy thing. On the phone last week there is an "advised" who said to my husband: "We will do nothing as long as you do not pay the monthly payment that you have refused"</v>
      </c>
    </row>
    <row r="257" ht="15.75" customHeight="1">
      <c r="A257" s="2">
        <v>1.0</v>
      </c>
      <c r="B257" s="2" t="s">
        <v>829</v>
      </c>
      <c r="C257" s="2" t="s">
        <v>830</v>
      </c>
      <c r="D257" s="2" t="s">
        <v>111</v>
      </c>
      <c r="E257" s="2" t="s">
        <v>61</v>
      </c>
      <c r="F257" s="2" t="s">
        <v>15</v>
      </c>
      <c r="G257" s="2" t="s">
        <v>831</v>
      </c>
      <c r="H257" s="2" t="s">
        <v>108</v>
      </c>
      <c r="I257" s="2" t="str">
        <f>IFERROR(__xludf.DUMMYFUNCTION("GOOGLETRANSLATE(C257,""fr"",""en"")"),"Extremely expensive and ineffective. My mother 73 years old pays 192 e per month while she has been in 100 % social ALD for ten years. And hospitalized via Sante does not even offer TV at the CHU. Nothing as a help bonus for the deceased, barely supported"&amp;" in SSR. In short, a huge disillusionment to flee")</f>
        <v>Extremely expensive and ineffective. My mother 73 years old pays 192 e per month while she has been in 100 % social ALD for ten years. And hospitalized via Sante does not even offer TV at the CHU. Nothing as a help bonus for the deceased, barely supported in SSR. In short, a huge disillusionment to flee</v>
      </c>
    </row>
    <row r="258" ht="15.75" customHeight="1">
      <c r="A258" s="2">
        <v>4.0</v>
      </c>
      <c r="B258" s="2" t="s">
        <v>832</v>
      </c>
      <c r="C258" s="2" t="s">
        <v>833</v>
      </c>
      <c r="D258" s="2" t="s">
        <v>19</v>
      </c>
      <c r="E258" s="2" t="s">
        <v>20</v>
      </c>
      <c r="F258" s="2" t="s">
        <v>15</v>
      </c>
      <c r="G258" s="2" t="s">
        <v>431</v>
      </c>
      <c r="H258" s="2" t="s">
        <v>108</v>
      </c>
      <c r="I258" s="2" t="str">
        <f>IFERROR(__xludf.DUMMYFUNCTION("GOOGLETRANSLATE(C258,""fr"",""en"")"),"Competitive and attractive price
Speed ​​of subscription
Simplicity of information recording
This is my first insurance contract at Direct Insurance")</f>
        <v>Competitive and attractive price
Speed ​​of subscription
Simplicity of information recording
This is my first insurance contract at Direct Insurance</v>
      </c>
    </row>
    <row r="259" ht="15.75" customHeight="1">
      <c r="A259" s="2">
        <v>5.0</v>
      </c>
      <c r="B259" s="2" t="s">
        <v>834</v>
      </c>
      <c r="C259" s="2" t="s">
        <v>835</v>
      </c>
      <c r="D259" s="2" t="s">
        <v>56</v>
      </c>
      <c r="E259" s="2" t="s">
        <v>122</v>
      </c>
      <c r="F259" s="2" t="s">
        <v>15</v>
      </c>
      <c r="G259" s="2" t="s">
        <v>836</v>
      </c>
      <c r="H259" s="2" t="s">
        <v>190</v>
      </c>
      <c r="I259" s="2" t="str">
        <f>IFERROR(__xludf.DUMMYFUNCTION("GOOGLETRANSLATE(C259,""fr"",""en"")"),"Following our water leak problem, we are very satisfied with Pacifica Insurance. Rapid reaction of your advisor, to want to solve the problem quickly.")</f>
        <v>Following our water leak problem, we are very satisfied with Pacifica Insurance. Rapid reaction of your advisor, to want to solve the problem quickly.</v>
      </c>
    </row>
    <row r="260" ht="15.75" customHeight="1">
      <c r="A260" s="2">
        <v>1.0</v>
      </c>
      <c r="B260" s="2" t="s">
        <v>837</v>
      </c>
      <c r="C260" s="2" t="s">
        <v>838</v>
      </c>
      <c r="D260" s="2" t="s">
        <v>111</v>
      </c>
      <c r="E260" s="2" t="s">
        <v>61</v>
      </c>
      <c r="F260" s="2" t="s">
        <v>15</v>
      </c>
      <c r="G260" s="2" t="s">
        <v>368</v>
      </c>
      <c r="H260" s="2" t="s">
        <v>45</v>
      </c>
      <c r="I260" s="2" t="str">
        <f>IFERROR(__xludf.DUMMYFUNCTION("GOOGLETRANSLATE(C260,""fr"",""en"")"),"I am disappointed and angry that I am imposed on me wherever I have been working for almost 5 years always the same mutual, telephone advisers always contradict each other for the same questions, my problems are never resolved, and the pompom j 'Learn tha"&amp;"t my 15 year old boy is no longer covered by going to the pharmacy, and a call of bailiff to settle the sums at Lag2r, excluding for 3 put he has his card, the samples pass, I say bravo And long live the obligations and the monopolies, just I am outraged")</f>
        <v>I am disappointed and angry that I am imposed on me wherever I have been working for almost 5 years always the same mutual, telephone advisers always contradict each other for the same questions, my problems are never resolved, and the pompom j 'Learn that my 15 year old boy is no longer covered by going to the pharmacy, and a call of bailiff to settle the sums at Lag2r, excluding for 3 put he has his card, the samples pass, I say bravo And long live the obligations and the monopolies, just I am outraged</v>
      </c>
    </row>
    <row r="261" ht="15.75" customHeight="1">
      <c r="A261" s="2">
        <v>3.0</v>
      </c>
      <c r="B261" s="2" t="s">
        <v>839</v>
      </c>
      <c r="C261" s="2" t="s">
        <v>840</v>
      </c>
      <c r="D261" s="2" t="s">
        <v>19</v>
      </c>
      <c r="E261" s="2" t="s">
        <v>20</v>
      </c>
      <c r="F261" s="2" t="s">
        <v>15</v>
      </c>
      <c r="G261" s="2" t="s">
        <v>841</v>
      </c>
      <c r="H261" s="2" t="s">
        <v>21</v>
      </c>
      <c r="I261" s="2" t="str">
        <f>IFERROR(__xludf.DUMMYFUNCTION("GOOGLETRANSLATE(C261,""fr"",""en"")"),"We have three cars insured at home, prices are increasing every year, € 3 and € 5 per month for no reason. We are 50 % bonus and no offense. For my son I do not know, a single year of insurance for his new car but the previous one. Thank you for making a "&amp;"commercial gesture, I make quotes elsewhere.")</f>
        <v>We have three cars insured at home, prices are increasing every year, € 3 and € 5 per month for no reason. We are 50 % bonus and no offense. For my son I do not know, a single year of insurance for his new car but the previous one. Thank you for making a commercial gesture, I make quotes elsewhere.</v>
      </c>
    </row>
    <row r="262" ht="15.75" customHeight="1">
      <c r="A262" s="2">
        <v>2.0</v>
      </c>
      <c r="B262" s="2" t="s">
        <v>842</v>
      </c>
      <c r="C262" s="2" t="s">
        <v>843</v>
      </c>
      <c r="D262" s="2" t="s">
        <v>844</v>
      </c>
      <c r="E262" s="2" t="s">
        <v>20</v>
      </c>
      <c r="F262" s="2" t="s">
        <v>15</v>
      </c>
      <c r="G262" s="2" t="s">
        <v>202</v>
      </c>
      <c r="H262" s="2" t="s">
        <v>202</v>
      </c>
      <c r="I262" s="2" t="str">
        <f>IFERROR(__xludf.DUMMYFUNCTION("GOOGLETRANSLATE(C262,""fr"",""en"")"),"good price ,")</f>
        <v>good price ,</v>
      </c>
    </row>
    <row r="263" ht="15.75" customHeight="1">
      <c r="A263" s="2">
        <v>3.0</v>
      </c>
      <c r="B263" s="2" t="s">
        <v>845</v>
      </c>
      <c r="C263" s="2" t="s">
        <v>846</v>
      </c>
      <c r="D263" s="2" t="s">
        <v>86</v>
      </c>
      <c r="E263" s="2" t="s">
        <v>61</v>
      </c>
      <c r="F263" s="2" t="s">
        <v>15</v>
      </c>
      <c r="G263" s="2" t="s">
        <v>847</v>
      </c>
      <c r="H263" s="2" t="s">
        <v>53</v>
      </c>
      <c r="I263" s="2" t="str">
        <f>IFERROR(__xludf.DUMMYFUNCTION("GOOGLETRANSLATE(C263,""fr"",""en"")"),"Nadège was charming benevolent during our Nadège telephone exchange responded to all my
 Questions very clearly thank you very much for your understanding")</f>
        <v>Nadège was charming benevolent during our Nadège telephone exchange responded to all my
 Questions very clearly thank you very much for your understanding</v>
      </c>
    </row>
    <row r="264" ht="15.75" customHeight="1">
      <c r="A264" s="2">
        <v>4.0</v>
      </c>
      <c r="B264" s="2" t="s">
        <v>848</v>
      </c>
      <c r="C264" s="2" t="s">
        <v>849</v>
      </c>
      <c r="D264" s="2" t="s">
        <v>43</v>
      </c>
      <c r="E264" s="2" t="s">
        <v>20</v>
      </c>
      <c r="F264" s="2" t="s">
        <v>15</v>
      </c>
      <c r="G264" s="2" t="s">
        <v>850</v>
      </c>
      <c r="H264" s="2" t="s">
        <v>92</v>
      </c>
      <c r="I264" s="2" t="str">
        <f>IFERROR(__xludf.DUMMYFUNCTION("GOOGLETRANSLATE(C264,""fr"",""en"")"),"I am satisfied with the servies and the quality of listening and the kindness of the personal to whom I was dealing and the quality of advice when at the price I hoped better given the elderly and the loyalty in GMF verse")</f>
        <v>I am satisfied with the servies and the quality of listening and the kindness of the personal to whom I was dealing and the quality of advice when at the price I hoped better given the elderly and the loyalty in GMF verse</v>
      </c>
    </row>
    <row r="265" ht="15.75" customHeight="1">
      <c r="A265" s="2">
        <v>5.0</v>
      </c>
      <c r="B265" s="2" t="s">
        <v>851</v>
      </c>
      <c r="C265" s="2" t="s">
        <v>852</v>
      </c>
      <c r="D265" s="2" t="s">
        <v>48</v>
      </c>
      <c r="E265" s="2" t="s">
        <v>14</v>
      </c>
      <c r="F265" s="2" t="s">
        <v>15</v>
      </c>
      <c r="G265" s="2" t="s">
        <v>853</v>
      </c>
      <c r="H265" s="2" t="s">
        <v>239</v>
      </c>
      <c r="I265" s="2" t="str">
        <f>IFERROR(__xludf.DUMMYFUNCTION("GOOGLETRANSLATE(C265,""fr"",""en"")"),"For me the best insurance because very attentive in case of concerns or serious accident, I highly recommend because I have done insurance and separately paying that is all it matters;")</f>
        <v>For me the best insurance because very attentive in case of concerns or serious accident, I highly recommend because I have done insurance and separately paying that is all it matters;</v>
      </c>
    </row>
    <row r="266" ht="15.75" customHeight="1">
      <c r="A266" s="2">
        <v>2.0</v>
      </c>
      <c r="B266" s="2" t="s">
        <v>854</v>
      </c>
      <c r="C266" s="2" t="s">
        <v>855</v>
      </c>
      <c r="D266" s="2" t="s">
        <v>43</v>
      </c>
      <c r="E266" s="2" t="s">
        <v>20</v>
      </c>
      <c r="F266" s="2" t="s">
        <v>15</v>
      </c>
      <c r="G266" s="2" t="s">
        <v>856</v>
      </c>
      <c r="H266" s="2" t="s">
        <v>332</v>
      </c>
      <c r="I266" s="2" t="str">
        <f>IFERROR(__xludf.DUMMYFUNCTION("GOOGLETRANSLATE(C266,""fr"",""en"")"),"Hello, I really think that it is the assurance that must be avoided. In all areas whether it is home or car, legal assistance you have to manage alone. By the way you modify a contract in 48 hours you already know How much you will contribute.")</f>
        <v>Hello, I really think that it is the assurance that must be avoided. In all areas whether it is home or car, legal assistance you have to manage alone. By the way you modify a contract in 48 hours you already know How much you will contribute.</v>
      </c>
    </row>
    <row r="267" ht="15.75" customHeight="1">
      <c r="A267" s="2">
        <v>1.0</v>
      </c>
      <c r="B267" s="2" t="s">
        <v>857</v>
      </c>
      <c r="C267" s="2" t="s">
        <v>858</v>
      </c>
      <c r="D267" s="2" t="s">
        <v>35</v>
      </c>
      <c r="E267" s="2" t="s">
        <v>20</v>
      </c>
      <c r="F267" s="2" t="s">
        <v>15</v>
      </c>
      <c r="G267" s="2" t="s">
        <v>859</v>
      </c>
      <c r="H267" s="2" t="s">
        <v>860</v>
      </c>
      <c r="I267" s="2" t="str">
        <f>IFERROR(__xludf.DUMMYFUNCTION("GOOGLETRANSLATE(C267,""fr"",""en"")"),"To flee !
My insurance went from € 435 to € 54 then € 608 without having a disaster obviously. I recommend ... never go to the olive tree.
In fact you have the right to low cost quality insurance for the price of real insurance.
Surprising concept :)")</f>
        <v>To flee !
My insurance went from € 435 to € 54 then € 608 without having a disaster obviously. I recommend ... never go to the olive tree.
In fact you have the right to low cost quality insurance for the price of real insurance.
Surprising concept :)</v>
      </c>
    </row>
    <row r="268" ht="15.75" customHeight="1">
      <c r="A268" s="2">
        <v>1.0</v>
      </c>
      <c r="B268" s="2" t="s">
        <v>861</v>
      </c>
      <c r="C268" s="2" t="s">
        <v>862</v>
      </c>
      <c r="D268" s="2" t="s">
        <v>337</v>
      </c>
      <c r="E268" s="2" t="s">
        <v>122</v>
      </c>
      <c r="F268" s="2" t="s">
        <v>15</v>
      </c>
      <c r="G268" s="2" t="s">
        <v>863</v>
      </c>
      <c r="H268" s="2" t="s">
        <v>70</v>
      </c>
      <c r="I268" s="2" t="str">
        <f>IFERROR(__xludf.DUMMYFUNCTION("GOOGLETRANSLATE(C268,""fr"",""en"")"),"When you boast in its advertisements that confidence is a rule (see youtube) as well as on your site to be the number one of customer relations, I immediately tell myself that it is lie. The only goal is to make money. Maif explains to me that it is the h"&amp;"ighway code that takes precedence but when I have the priority (right), is it not the highway code?
4 interlocutors, 4 different speeches: what a deposit!
run away !")</f>
        <v>When you boast in its advertisements that confidence is a rule (see youtube) as well as on your site to be the number one of customer relations, I immediately tell myself that it is lie. The only goal is to make money. Maif explains to me that it is the highway code that takes precedence but when I have the priority (right), is it not the highway code?
4 interlocutors, 4 different speeches: what a deposit!
run away !</v>
      </c>
    </row>
    <row r="269" ht="15.75" customHeight="1">
      <c r="A269" s="2">
        <v>5.0</v>
      </c>
      <c r="B269" s="2" t="s">
        <v>864</v>
      </c>
      <c r="C269" s="2" t="s">
        <v>865</v>
      </c>
      <c r="D269" s="2" t="s">
        <v>35</v>
      </c>
      <c r="E269" s="2" t="s">
        <v>20</v>
      </c>
      <c r="F269" s="2" t="s">
        <v>15</v>
      </c>
      <c r="G269" s="2" t="s">
        <v>866</v>
      </c>
      <c r="H269" s="2" t="s">
        <v>164</v>
      </c>
      <c r="I269" s="2" t="str">
        <f>IFERROR(__xludf.DUMMYFUNCTION("GOOGLETRANSLATE(C269,""fr"",""en"")"),"I am completely satisfied, the seller was very pleasant and attentive to my requests. The prices as well as the guarantees offered are in perfect adequacy with my needs.")</f>
        <v>I am completely satisfied, the seller was very pleasant and attentive to my requests. The prices as well as the guarantees offered are in perfect adequacy with my needs.</v>
      </c>
    </row>
    <row r="270" ht="15.75" customHeight="1">
      <c r="A270" s="2">
        <v>5.0</v>
      </c>
      <c r="B270" s="2" t="s">
        <v>867</v>
      </c>
      <c r="C270" s="2" t="s">
        <v>868</v>
      </c>
      <c r="D270" s="2" t="s">
        <v>43</v>
      </c>
      <c r="E270" s="2" t="s">
        <v>20</v>
      </c>
      <c r="F270" s="2" t="s">
        <v>15</v>
      </c>
      <c r="G270" s="2" t="s">
        <v>869</v>
      </c>
      <c r="H270" s="2" t="s">
        <v>108</v>
      </c>
      <c r="I270" s="2" t="str">
        <f>IFERROR(__xludf.DUMMYFUNCTION("GOOGLETRANSLATE(C270,""fr"",""en"")"),"Fully satisfied for more than 30 years services, reception and prices. Congratulations on your website, its content, accessibility and conviviality.")</f>
        <v>Fully satisfied for more than 30 years services, reception and prices. Congratulations on your website, its content, accessibility and conviviality.</v>
      </c>
    </row>
    <row r="271" ht="15.75" customHeight="1">
      <c r="A271" s="2">
        <v>1.0</v>
      </c>
      <c r="B271" s="2" t="s">
        <v>870</v>
      </c>
      <c r="C271" s="2" t="s">
        <v>871</v>
      </c>
      <c r="D271" s="2" t="s">
        <v>111</v>
      </c>
      <c r="E271" s="2" t="s">
        <v>61</v>
      </c>
      <c r="F271" s="2" t="s">
        <v>15</v>
      </c>
      <c r="G271" s="2" t="s">
        <v>872</v>
      </c>
      <c r="H271" s="2" t="s">
        <v>32</v>
      </c>
      <c r="I271" s="2" t="str">
        <f>IFERROR(__xludf.DUMMYFUNCTION("GOOGLETRANSLATE(C271,""fr"",""en"")"),"I just called this mutual insurance company looking for a mutual health insurance. Not too kind advisor debit her text. I asked her to send me by email and by mail the 2 quotes she had offered me. It was a categorical no. She could only send me a quote an"&amp;"d in addition, either by email or by mail, not both! So I hung up. To believe that AG2R has too many customers! Since by my work, I have a PER with this insurance company, my fears are great given the other unflattering opinions!
All the other mutuals I "&amp;"called were super friendly and kind. We felt that these people considered the customer which is not at all the case of AG2R. So I will make sure to another mutual that will have consideration for me.")</f>
        <v>I just called this mutual insurance company looking for a mutual health insurance. Not too kind advisor debit her text. I asked her to send me by email and by mail the 2 quotes she had offered me. It was a categorical no. She could only send me a quote and in addition, either by email or by mail, not both! So I hung up. To believe that AG2R has too many customers! Since by my work, I have a PER with this insurance company, my fears are great given the other unflattering opinions!
All the other mutuals I called were super friendly and kind. We felt that these people considered the customer which is not at all the case of AG2R. So I will make sure to another mutual that will have consideration for me.</v>
      </c>
    </row>
    <row r="272" ht="15.75" customHeight="1">
      <c r="A272" s="2">
        <v>2.0</v>
      </c>
      <c r="B272" s="2" t="s">
        <v>873</v>
      </c>
      <c r="C272" s="2" t="s">
        <v>874</v>
      </c>
      <c r="D272" s="2" t="s">
        <v>494</v>
      </c>
      <c r="E272" s="2" t="s">
        <v>122</v>
      </c>
      <c r="F272" s="2" t="s">
        <v>15</v>
      </c>
      <c r="G272" s="2" t="s">
        <v>875</v>
      </c>
      <c r="H272" s="2" t="s">
        <v>53</v>
      </c>
      <c r="I272" s="2" t="str">
        <f>IFERROR(__xludf.DUMMYFUNCTION("GOOGLETRANSLATE(C272,""fr"",""en"")"),"Following a sinister water damage with compulsory destructive leak search (proof and plumber certificate provided), chaotic and calamitous management of the file. Oral information communicated by the fluctuating claims platform and varying depending on th"&amp;"e operator in charge of the call.
Extremely long waiting time to reach the platform (count the morning in the best of cases)
A telephone expertise carried out at a distance with ""an aggressive, peremptory, brittle"" expert, making so many spelling mist"&amp;"akes in his emails that the message and the meaning are blurred and incomprehensible.
What a seriousness!
In the end: 11 months after the opening of the sinister file and 4 RAR letters, a refusal of care and a dry loss of € 2,000.
Termination of 4 SOGE"&amp;"SSUR contracts of course.
To flee!")</f>
        <v>Following a sinister water damage with compulsory destructive leak search (proof and plumber certificate provided), chaotic and calamitous management of the file. Oral information communicated by the fluctuating claims platform and varying depending on the operator in charge of the call.
Extremely long waiting time to reach the platform (count the morning in the best of cases)
A telephone expertise carried out at a distance with "an aggressive, peremptory, brittle" expert, making so many spelling mistakes in his emails that the message and the meaning are blurred and incomprehensible.
What a seriousness!
In the end: 11 months after the opening of the sinister file and 4 RAR letters, a refusal of care and a dry loss of € 2,000.
Termination of 4 SOGESSUR contracts of course.
To flee!</v>
      </c>
    </row>
    <row r="273" ht="15.75" customHeight="1">
      <c r="A273" s="2">
        <v>4.0</v>
      </c>
      <c r="B273" s="2" t="s">
        <v>876</v>
      </c>
      <c r="C273" s="2" t="s">
        <v>877</v>
      </c>
      <c r="D273" s="2" t="s">
        <v>35</v>
      </c>
      <c r="E273" s="2" t="s">
        <v>20</v>
      </c>
      <c r="F273" s="2" t="s">
        <v>15</v>
      </c>
      <c r="G273" s="2" t="s">
        <v>878</v>
      </c>
      <c r="H273" s="2" t="s">
        <v>74</v>
      </c>
      <c r="I273" s="2" t="str">
        <f>IFERROR(__xludf.DUMMYFUNCTION("GOOGLETRANSLATE(C273,""fr"",""en"")"),"Good relation with the sales assistant good customer recovery.
Clear contract with easily accessible and efficient accessible sites.
and price very good for the young driver")</f>
        <v>Good relation with the sales assistant good customer recovery.
Clear contract with easily accessible and efficient accessible sites.
and price very good for the young driver</v>
      </c>
    </row>
    <row r="274" ht="15.75" customHeight="1">
      <c r="A274" s="2">
        <v>3.0</v>
      </c>
      <c r="B274" s="2" t="s">
        <v>879</v>
      </c>
      <c r="C274" s="2" t="s">
        <v>880</v>
      </c>
      <c r="D274" s="2" t="s">
        <v>24</v>
      </c>
      <c r="E274" s="2" t="s">
        <v>20</v>
      </c>
      <c r="F274" s="2" t="s">
        <v>15</v>
      </c>
      <c r="G274" s="2" t="s">
        <v>881</v>
      </c>
      <c r="H274" s="2" t="s">
        <v>239</v>
      </c>
      <c r="I274" s="2" t="str">
        <f>IFERROR(__xludf.DUMMYFUNCTION("GOOGLETRANSLATE(C274,""fr"",""en"")"),"No refund made while I was well ensured for shrubs and plantations app’es theft of my 2 olive trees in my property
The person of the victims allows himself to hang up on me! More")</f>
        <v>No refund made while I was well ensured for shrubs and plantations app’es theft of my 2 olive trees in my property
The person of the victims allows himself to hang up on me! More</v>
      </c>
    </row>
    <row r="275" ht="15.75" customHeight="1">
      <c r="A275" s="2">
        <v>2.0</v>
      </c>
      <c r="B275" s="2" t="s">
        <v>882</v>
      </c>
      <c r="C275" s="2" t="s">
        <v>883</v>
      </c>
      <c r="D275" s="2" t="s">
        <v>884</v>
      </c>
      <c r="E275" s="2" t="s">
        <v>206</v>
      </c>
      <c r="F275" s="2" t="s">
        <v>15</v>
      </c>
      <c r="G275" s="2" t="s">
        <v>885</v>
      </c>
      <c r="H275" s="2" t="s">
        <v>332</v>
      </c>
      <c r="I275" s="2" t="str">
        <f>IFERROR(__xludf.DUMMYFUNCTION("GOOGLETRANSLATE(C275,""fr"",""en"")"),"Hello,
I just read all the comments on Assuropoil's services and they don't reassure me at all.
First catastrophic reimbursement requests.
 It is true that I sent mail + mail, remained unanswered.
I once again sent a refund request but strangely, th"&amp;"ey did not receive it.
By cons sympathetic telephone reception but it is not enough. I really hope that they will process my file as soon as possible.")</f>
        <v>Hello,
I just read all the comments on Assuropoil's services and they don't reassure me at all.
First catastrophic reimbursement requests.
 It is true that I sent mail + mail, remained unanswered.
I once again sent a refund request but strangely, they did not receive it.
By cons sympathetic telephone reception but it is not enough. I really hope that they will process my file as soon as possible.</v>
      </c>
    </row>
    <row r="276" ht="15.75" customHeight="1">
      <c r="A276" s="2">
        <v>2.0</v>
      </c>
      <c r="B276" s="2" t="s">
        <v>886</v>
      </c>
      <c r="C276" s="2" t="s">
        <v>887</v>
      </c>
      <c r="D276" s="2" t="s">
        <v>134</v>
      </c>
      <c r="E276" s="2" t="s">
        <v>135</v>
      </c>
      <c r="F276" s="2" t="s">
        <v>15</v>
      </c>
      <c r="G276" s="2" t="s">
        <v>888</v>
      </c>
      <c r="H276" s="2" t="s">
        <v>16</v>
      </c>
      <c r="I276" s="2" t="str">
        <f>IFERROR(__xludf.DUMMYFUNCTION("GOOGLETRANSLATE(C276,""fr"",""en"")"),"A member for 20 years, certainly the rate is correct, but the casual and incompetent customer service.
To wonder who the queens keeps in this shop.
Most operations are manual (partial reimbursement) and takes weeks and weeks. You write to them, they nev"&amp;"er answer you.
You make a complaint, they do not answer you more.
You write to the President and the Managing Director - they don't care.
")</f>
        <v>A member for 20 years, certainly the rate is correct, but the casual and incompetent customer service.
To wonder who the queens keeps in this shop.
Most operations are manual (partial reimbursement) and takes weeks and weeks. You write to them, they never answer you.
You make a complaint, they do not answer you more.
You write to the President and the Managing Director - they don't care.
</v>
      </c>
    </row>
    <row r="277" ht="15.75" customHeight="1">
      <c r="A277" s="2">
        <v>5.0</v>
      </c>
      <c r="B277" s="2" t="s">
        <v>889</v>
      </c>
      <c r="C277" s="2" t="s">
        <v>890</v>
      </c>
      <c r="D277" s="2" t="s">
        <v>77</v>
      </c>
      <c r="E277" s="2" t="s">
        <v>61</v>
      </c>
      <c r="F277" s="2" t="s">
        <v>15</v>
      </c>
      <c r="G277" s="2" t="s">
        <v>891</v>
      </c>
      <c r="H277" s="2" t="s">
        <v>239</v>
      </c>
      <c r="I277" s="2" t="str">
        <f>IFERROR(__xludf.DUMMYFUNCTION("GOOGLETRANSLATE(C277,""fr"",""en"")"),"Hello,
The information was given clearly.
The interlocutor also advised us well on the information to be checked with the health organization (CPAM).
")</f>
        <v>Hello,
The information was given clearly.
The interlocutor also advised us well on the information to be checked with the health organization (CPAM).
</v>
      </c>
    </row>
    <row r="278" ht="15.75" customHeight="1">
      <c r="A278" s="2">
        <v>4.0</v>
      </c>
      <c r="B278" s="2" t="s">
        <v>892</v>
      </c>
      <c r="C278" s="2" t="s">
        <v>893</v>
      </c>
      <c r="D278" s="2" t="s">
        <v>35</v>
      </c>
      <c r="E278" s="2" t="s">
        <v>20</v>
      </c>
      <c r="F278" s="2" t="s">
        <v>15</v>
      </c>
      <c r="G278" s="2" t="s">
        <v>368</v>
      </c>
      <c r="H278" s="2" t="s">
        <v>45</v>
      </c>
      <c r="I278" s="2" t="str">
        <f>IFERROR(__xludf.DUMMYFUNCTION("GOOGLETRANSLATE(C278,""fr"",""en"")"),"No particular opinion except that the last interlocutor that I had missed cruelly professionalism which was not the case of the other interlocutors with whom I previously exchanged")</f>
        <v>No particular opinion except that the last interlocutor that I had missed cruelly professionalism which was not the case of the other interlocutors with whom I previously exchanged</v>
      </c>
    </row>
    <row r="279" ht="15.75" customHeight="1">
      <c r="A279" s="2">
        <v>2.0</v>
      </c>
      <c r="B279" s="2" t="s">
        <v>894</v>
      </c>
      <c r="C279" s="2" t="s">
        <v>895</v>
      </c>
      <c r="D279" s="2" t="s">
        <v>95</v>
      </c>
      <c r="E279" s="2" t="s">
        <v>122</v>
      </c>
      <c r="F279" s="2" t="s">
        <v>15</v>
      </c>
      <c r="G279" s="2" t="s">
        <v>896</v>
      </c>
      <c r="H279" s="2" t="s">
        <v>714</v>
      </c>
      <c r="I279" s="2" t="str">
        <f>IFERROR(__xludf.DUMMYFUNCTION("GOOGLETRANSLATE(C279,""fr"",""en"")"),"Perhaps, but effective? Not really.
Failure to comply with processing deadlines in the event of a claim, no return to complaints, multiplies procedures so as not to have to reimburse, telephone advisers who do not want to do not pay questions concerning "&amp;"the application of commitments announced in the general conditions ....
In my case it was a ""little claim"" with little damage, when I see all the complications made by the MAAF for care, I wonder what this gives in the event of a greater loss. Yet ever"&amp;"ything is beautiful on paper, but when it comes to asserting your rights, everything becomes very complicated.")</f>
        <v>Perhaps, but effective? Not really.
Failure to comply with processing deadlines in the event of a claim, no return to complaints, multiplies procedures so as not to have to reimburse, telephone advisers who do not want to do not pay questions concerning the application of commitments announced in the general conditions ....
In my case it was a "little claim" with little damage, when I see all the complications made by the MAAF for care, I wonder what this gives in the event of a greater loss. Yet everything is beautiful on paper, but when it comes to asserting your rights, everything becomes very complicated.</v>
      </c>
    </row>
    <row r="280" ht="15.75" customHeight="1">
      <c r="A280" s="2">
        <v>4.0</v>
      </c>
      <c r="B280" s="2" t="s">
        <v>897</v>
      </c>
      <c r="C280" s="2" t="s">
        <v>898</v>
      </c>
      <c r="D280" s="2" t="s">
        <v>245</v>
      </c>
      <c r="E280" s="2" t="s">
        <v>61</v>
      </c>
      <c r="F280" s="2" t="s">
        <v>15</v>
      </c>
      <c r="G280" s="2" t="s">
        <v>899</v>
      </c>
      <c r="H280" s="2" t="s">
        <v>534</v>
      </c>
      <c r="I280" s="2" t="str">
        <f>IFERROR(__xludf.DUMMYFUNCTION("GOOGLETRANSLATE(C280,""fr"",""en"")"),"The lady who answered me, Erika, was very competent and very kind. She gave me very good advice. Thank you")</f>
        <v>The lady who answered me, Erika, was very competent and very kind. She gave me very good advice. Thank you</v>
      </c>
    </row>
    <row r="281" ht="15.75" customHeight="1">
      <c r="A281" s="2">
        <v>4.0</v>
      </c>
      <c r="B281" s="2" t="s">
        <v>900</v>
      </c>
      <c r="C281" s="2" t="s">
        <v>901</v>
      </c>
      <c r="D281" s="2" t="s">
        <v>171</v>
      </c>
      <c r="E281" s="2" t="s">
        <v>14</v>
      </c>
      <c r="F281" s="2" t="s">
        <v>15</v>
      </c>
      <c r="G281" s="2" t="s">
        <v>902</v>
      </c>
      <c r="H281" s="2" t="s">
        <v>164</v>
      </c>
      <c r="I281" s="2" t="str">
        <f>IFERROR(__xludf.DUMMYFUNCTION("GOOGLETRANSLATE(C281,""fr"",""en"")"),"This insurance for its price seems correct to me. The information sheet is ventilated easy to fill. The person who called me a
 given good indication to see later")</f>
        <v>This insurance for its price seems correct to me. The information sheet is ventilated easy to fill. The person who called me a
 given good indication to see later</v>
      </c>
    </row>
    <row r="282" ht="15.75" customHeight="1">
      <c r="A282" s="2">
        <v>4.0</v>
      </c>
      <c r="B282" s="2" t="s">
        <v>903</v>
      </c>
      <c r="C282" s="2" t="s">
        <v>904</v>
      </c>
      <c r="D282" s="2" t="s">
        <v>442</v>
      </c>
      <c r="E282" s="2" t="s">
        <v>30</v>
      </c>
      <c r="F282" s="2" t="s">
        <v>15</v>
      </c>
      <c r="G282" s="2" t="s">
        <v>905</v>
      </c>
      <c r="H282" s="2" t="s">
        <v>32</v>
      </c>
      <c r="I282" s="2" t="str">
        <f>IFERROR(__xludf.DUMMYFUNCTION("GOOGLETRANSLATE(C282,""fr"",""en"")"),"Available interlocutor and professional controlling his subject having taken the time to answer my questions.
Overall fluid user experience.")</f>
        <v>Available interlocutor and professional controlling his subject having taken the time to answer my questions.
Overall fluid user experience.</v>
      </c>
    </row>
    <row r="283" ht="15.75" customHeight="1">
      <c r="A283" s="2">
        <v>4.0</v>
      </c>
      <c r="B283" s="2" t="s">
        <v>906</v>
      </c>
      <c r="C283" s="2" t="s">
        <v>907</v>
      </c>
      <c r="D283" s="2" t="s">
        <v>35</v>
      </c>
      <c r="E283" s="2" t="s">
        <v>20</v>
      </c>
      <c r="F283" s="2" t="s">
        <v>15</v>
      </c>
      <c r="G283" s="2" t="s">
        <v>908</v>
      </c>
      <c r="H283" s="2" t="s">
        <v>108</v>
      </c>
      <c r="I283" s="2" t="str">
        <f>IFERROR(__xludf.DUMMYFUNCTION("GOOGLETRANSLATE(C283,""fr"",""en"")"),"I am satisfied with this insurance and I hope what will still be for the coming years to come so that I am still satisfied with this insurance")</f>
        <v>I am satisfied with this insurance and I hope what will still be for the coming years to come so that I am still satisfied with this insurance</v>
      </c>
    </row>
    <row r="284" ht="15.75" customHeight="1">
      <c r="A284" s="2">
        <v>4.0</v>
      </c>
      <c r="B284" s="2" t="s">
        <v>909</v>
      </c>
      <c r="C284" s="2" t="s">
        <v>910</v>
      </c>
      <c r="D284" s="2" t="s">
        <v>48</v>
      </c>
      <c r="E284" s="2" t="s">
        <v>14</v>
      </c>
      <c r="F284" s="2" t="s">
        <v>15</v>
      </c>
      <c r="G284" s="2" t="s">
        <v>911</v>
      </c>
      <c r="H284" s="2" t="s">
        <v>97</v>
      </c>
      <c r="I284" s="2" t="str">
        <f>IFERROR(__xludf.DUMMYFUNCTION("GOOGLETRANSLATE(C284,""fr"",""en"")"),"Hello, I have chosen Amv since 2010 site to many research and comparison on the price, the services, the ease of adding, deleting options or modification of contract.")</f>
        <v>Hello, I have chosen Amv since 2010 site to many research and comparison on the price, the services, the ease of adding, deleting options or modification of contract.</v>
      </c>
    </row>
    <row r="285" ht="15.75" customHeight="1">
      <c r="A285" s="2">
        <v>4.0</v>
      </c>
      <c r="B285" s="2" t="s">
        <v>912</v>
      </c>
      <c r="C285" s="2" t="s">
        <v>913</v>
      </c>
      <c r="D285" s="2" t="s">
        <v>35</v>
      </c>
      <c r="E285" s="2" t="s">
        <v>20</v>
      </c>
      <c r="F285" s="2" t="s">
        <v>15</v>
      </c>
      <c r="G285" s="2" t="s">
        <v>914</v>
      </c>
      <c r="H285" s="2" t="s">
        <v>32</v>
      </c>
      <c r="I285" s="2" t="str">
        <f>IFERROR(__xludf.DUMMYFUNCTION("GOOGLETRANSLATE(C285,""fr"",""en"")"),"I am satisfied with the fast and efficient insurance olive tree and the price level is correct.
Very good telephone reception also very competent person.")</f>
        <v>I am satisfied with the fast and efficient insurance olive tree and the price level is correct.
Very good telephone reception also very competent person.</v>
      </c>
    </row>
    <row r="286" ht="15.75" customHeight="1">
      <c r="A286" s="2">
        <v>1.0</v>
      </c>
      <c r="B286" s="2" t="s">
        <v>915</v>
      </c>
      <c r="C286" s="2" t="s">
        <v>916</v>
      </c>
      <c r="D286" s="2" t="s">
        <v>844</v>
      </c>
      <c r="E286" s="2" t="s">
        <v>20</v>
      </c>
      <c r="F286" s="2" t="s">
        <v>15</v>
      </c>
      <c r="G286" s="2" t="s">
        <v>917</v>
      </c>
      <c r="H286" s="2" t="s">
        <v>260</v>
      </c>
      <c r="I286" s="2" t="str">
        <f>IFERROR(__xludf.DUMMYFUNCTION("GOOGLETRANSLATE(C286,""fr"",""en"")"),"Hello,
Flee, to avoid, pay a little more elsewhere, never register with them. For registration it is nice people it looks like angels. To ask for example an information statement is catastrophic, they speak badly and if you are not happy they invite you "&amp;"to look for another insurance and terminate.
I am assured as a main driver with 0.60 of coefficient and my wife as a secondary driver with a new license. I bought a second car for my wife but unfortunately the car had mechanical problems suddenly I retur"&amp;"ned it to the garage. Eurofil my termination the contract of the 2 nd car by what I did not provide the gray card which is normal because I made it the car. Now they have insured my current car with the coefficient of the new license that of my wife that "&amp;"means 0.95 instead of 0.60. So I leave again as a new driver. Do you find that normal? If you have a solution and do they have the right to get the bonuses to me? I do not understand anything I will pay in the 80 euros per month instead of 26 euros.
Pers"&amp;"onally I do not recommend this low cost company.
thank you")</f>
        <v>Hello,
Flee, to avoid, pay a little more elsewhere, never register with them. For registration it is nice people it looks like angels. To ask for example an information statement is catastrophic, they speak badly and if you are not happy they invite you to look for another insurance and terminate.
I am assured as a main driver with 0.60 of coefficient and my wife as a secondary driver with a new license. I bought a second car for my wife but unfortunately the car had mechanical problems suddenly I returned it to the garage. Eurofil my termination the contract of the 2 nd car by what I did not provide the gray card which is normal because I made it the car. Now they have insured my current car with the coefficient of the new license that of my wife that means 0.95 instead of 0.60. So I leave again as a new driver. Do you find that normal? If you have a solution and do they have the right to get the bonuses to me? I do not understand anything I will pay in the 80 euros per month instead of 26 euros.
Personally I do not recommend this low cost company.
thank you</v>
      </c>
    </row>
    <row r="287" ht="15.75" customHeight="1">
      <c r="A287" s="2">
        <v>3.0</v>
      </c>
      <c r="B287" s="2" t="s">
        <v>918</v>
      </c>
      <c r="C287" s="2" t="s">
        <v>919</v>
      </c>
      <c r="D287" s="2" t="s">
        <v>254</v>
      </c>
      <c r="E287" s="2" t="s">
        <v>61</v>
      </c>
      <c r="F287" s="2" t="s">
        <v>15</v>
      </c>
      <c r="G287" s="2" t="s">
        <v>920</v>
      </c>
      <c r="H287" s="2" t="s">
        <v>116</v>
      </c>
      <c r="I287" s="2" t="str">
        <f>IFERROR(__xludf.DUMMYFUNCTION("GOOGLETRANSLATE(C287,""fr"",""en"")"),"Insured for no less than 42 years for this mutual. I find the high prices is the reimbursements below the average. (This is why 3 stars).
On the other hand, the personnel, any categories combined, is always at your listening is ready to be useful to you "&amp;"is pleasant.
It is not at the dawn of my end of retirement that I will go to see elsewhere if the grass is cooler. In view of the current situation, is after 42 years of common life with my mutual. I would remain faithful!")</f>
        <v>Insured for no less than 42 years for this mutual. I find the high prices is the reimbursements below the average. (This is why 3 stars).
On the other hand, the personnel, any categories combined, is always at your listening is ready to be useful to you is pleasant.
It is not at the dawn of my end of retirement that I will go to see elsewhere if the grass is cooler. In view of the current situation, is after 42 years of common life with my mutual. I would remain faithful!</v>
      </c>
    </row>
    <row r="288" ht="15.75" customHeight="1">
      <c r="A288" s="2">
        <v>3.0</v>
      </c>
      <c r="B288" s="2" t="s">
        <v>921</v>
      </c>
      <c r="C288" s="2" t="s">
        <v>922</v>
      </c>
      <c r="D288" s="2" t="s">
        <v>476</v>
      </c>
      <c r="E288" s="2" t="s">
        <v>122</v>
      </c>
      <c r="F288" s="2" t="s">
        <v>15</v>
      </c>
      <c r="G288" s="2" t="s">
        <v>319</v>
      </c>
      <c r="H288" s="2" t="s">
        <v>21</v>
      </c>
      <c r="I288" s="2" t="str">
        <f>IFERROR(__xludf.DUMMYFUNCTION("GOOGLETRANSLATE(C288,""fr"",""en"")"),"Following a loss of the start of the year 2020, I declared it to my Groupama insurance. I had to restart them to find out where the file was because I had no news. It is clear that they leave the situation dragged and I do not even know if I will be compe"&amp;"nsated")</f>
        <v>Following a loss of the start of the year 2020, I declared it to my Groupama insurance. I had to restart them to find out where the file was because I had no news. It is clear that they leave the situation dragged and I do not even know if I will be compensated</v>
      </c>
    </row>
    <row r="289" ht="15.75" customHeight="1">
      <c r="A289" s="2">
        <v>1.0</v>
      </c>
      <c r="B289" s="2" t="s">
        <v>923</v>
      </c>
      <c r="C289" s="2" t="s">
        <v>924</v>
      </c>
      <c r="D289" s="2" t="s">
        <v>19</v>
      </c>
      <c r="E289" s="2" t="s">
        <v>20</v>
      </c>
      <c r="F289" s="2" t="s">
        <v>15</v>
      </c>
      <c r="G289" s="2" t="s">
        <v>925</v>
      </c>
      <c r="H289" s="2" t="s">
        <v>347</v>
      </c>
      <c r="I289" s="2" t="str">
        <f>IFERROR(__xludf.DUMMYFUNCTION("GOOGLETRANSLATE(C289,""fr"",""en"")"),"Auto sinister on December 1, we were found a super far convenience store, we had to pay 475th of towing costs. Insured any risk
The car is wreck and they recover 1000th of franchise.")</f>
        <v>Auto sinister on December 1, we were found a super far convenience store, we had to pay 475th of towing costs. Insured any risk
The car is wreck and they recover 1000th of franchise.</v>
      </c>
    </row>
    <row r="290" ht="15.75" customHeight="1">
      <c r="A290" s="2">
        <v>2.0</v>
      </c>
      <c r="B290" s="2" t="s">
        <v>926</v>
      </c>
      <c r="C290" s="2" t="s">
        <v>927</v>
      </c>
      <c r="D290" s="2" t="s">
        <v>476</v>
      </c>
      <c r="E290" s="2" t="s">
        <v>122</v>
      </c>
      <c r="F290" s="2" t="s">
        <v>15</v>
      </c>
      <c r="G290" s="2" t="s">
        <v>150</v>
      </c>
      <c r="H290" s="2" t="s">
        <v>45</v>
      </c>
      <c r="I290" s="2" t="str">
        <f>IFERROR(__xludf.DUMMYFUNCTION("GOOGLETRANSLATE(C290,""fr"",""en"")"),"I do not recommend student home insurance, 2 months to be reimbursed despite a recommended termination within 10 days. Advisers who argue each time it is an internet offer so no service ... In this case, specify during the subscription ""This offer is not"&amp;" expensive at 59 euros so we will not answer you"". A shame ... As the banks attract juniors, Groupama makes them flee.")</f>
        <v>I do not recommend student home insurance, 2 months to be reimbursed despite a recommended termination within 10 days. Advisers who argue each time it is an internet offer so no service ... In this case, specify during the subscription "This offer is not expensive at 59 euros so we will not answer you". A shame ... As the banks attract juniors, Groupama makes them flee.</v>
      </c>
    </row>
    <row r="291" ht="15.75" customHeight="1">
      <c r="A291" s="2">
        <v>4.0</v>
      </c>
      <c r="B291" s="2" t="s">
        <v>928</v>
      </c>
      <c r="C291" s="2" t="s">
        <v>929</v>
      </c>
      <c r="D291" s="2" t="s">
        <v>35</v>
      </c>
      <c r="E291" s="2" t="s">
        <v>20</v>
      </c>
      <c r="F291" s="2" t="s">
        <v>15</v>
      </c>
      <c r="G291" s="2" t="s">
        <v>930</v>
      </c>
      <c r="H291" s="2" t="s">
        <v>45</v>
      </c>
      <c r="I291" s="2" t="str">
        <f>IFERROR(__xludf.DUMMYFUNCTION("GOOGLETRANSLATE(C291,""fr"",""en"")"),"I am currently satisfied with the service offered by the Olivier Insurance, a very easy to use site. Communication is effective and the prices are very affordable.")</f>
        <v>I am currently satisfied with the service offered by the Olivier Insurance, a very easy to use site. Communication is effective and the prices are very affordable.</v>
      </c>
    </row>
    <row r="292" ht="15.75" customHeight="1">
      <c r="A292" s="2">
        <v>5.0</v>
      </c>
      <c r="B292" s="2" t="s">
        <v>931</v>
      </c>
      <c r="C292" s="2" t="s">
        <v>932</v>
      </c>
      <c r="D292" s="2" t="s">
        <v>35</v>
      </c>
      <c r="E292" s="2" t="s">
        <v>20</v>
      </c>
      <c r="F292" s="2" t="s">
        <v>15</v>
      </c>
      <c r="G292" s="2" t="s">
        <v>101</v>
      </c>
      <c r="H292" s="2" t="s">
        <v>92</v>
      </c>
      <c r="I292" s="2" t="str">
        <f>IFERROR(__xludf.DUMMYFUNCTION("GOOGLETRANSLATE(C292,""fr"",""en"")"),"Perfect telephone contact, very clear, very kind, courteous. I could not note the exchange with my phone, it did not take into account my note. Please take into account my full satisfaction with this gentleman")</f>
        <v>Perfect telephone contact, very clear, very kind, courteous. I could not note the exchange with my phone, it did not take into account my note. Please take into account my full satisfaction with this gentleman</v>
      </c>
    </row>
    <row r="293" ht="15.75" customHeight="1">
      <c r="A293" s="2">
        <v>1.0</v>
      </c>
      <c r="B293" s="2" t="s">
        <v>933</v>
      </c>
      <c r="C293" s="2" t="s">
        <v>934</v>
      </c>
      <c r="D293" s="2" t="s">
        <v>285</v>
      </c>
      <c r="E293" s="2" t="s">
        <v>122</v>
      </c>
      <c r="F293" s="2" t="s">
        <v>15</v>
      </c>
      <c r="G293" s="2" t="s">
        <v>935</v>
      </c>
      <c r="H293" s="2" t="s">
        <v>164</v>
      </c>
      <c r="I293" s="2" t="str">
        <f>IFERROR(__xludf.DUMMYFUNCTION("GOOGLETRANSLATE(C293,""fr"",""en"")"),"A School is built by my home, the vibrations have damaged my house and created a water leak in addition to the fissures of Facade Est de Placo. In 15 months I had to have the Macif staff on the phone on the phone they play the ride and have not ever answe"&amp;"red it for more than 30 years that I have been at home and have never been in the solicities I no longer know what to do his people m Ecoeure !!")</f>
        <v>A School is built by my home, the vibrations have damaged my house and created a water leak in addition to the fissures of Facade Est de Placo. In 15 months I had to have the Macif staff on the phone on the phone they play the ride and have not ever answered it for more than 30 years that I have been at home and have never been in the solicities I no longer know what to do his people m Ecoeure !!</v>
      </c>
    </row>
    <row r="294" ht="15.75" customHeight="1">
      <c r="A294" s="2">
        <v>2.0</v>
      </c>
      <c r="B294" s="2" t="s">
        <v>936</v>
      </c>
      <c r="C294" s="2" t="s">
        <v>937</v>
      </c>
      <c r="D294" s="2" t="s">
        <v>19</v>
      </c>
      <c r="E294" s="2" t="s">
        <v>20</v>
      </c>
      <c r="F294" s="2" t="s">
        <v>15</v>
      </c>
      <c r="G294" s="2" t="s">
        <v>938</v>
      </c>
      <c r="H294" s="2" t="s">
        <v>127</v>
      </c>
      <c r="I294" s="2" t="str">
        <f>IFERROR(__xludf.DUMMYFUNCTION("GOOGLETRANSLATE(C294,""fr"",""en"")"),"Following a non -responsible accident, a car sent to the scrap, reimbursement based on the offers of the right corner, offers of individuals only, lower than the offers of professionals, without any guarantee, I came across erroneous mileage, no invoices,"&amp;" Technical complacency control, etc ... I do not understand that a professional takes as reference the announcements of individuals of the right corner. Disgusted!")</f>
        <v>Following a non -responsible accident, a car sent to the scrap, reimbursement based on the offers of the right corner, offers of individuals only, lower than the offers of professionals, without any guarantee, I came across erroneous mileage, no invoices, Technical complacency control, etc ... I do not understand that a professional takes as reference the announcements of individuals of the right corner. Disgusted!</v>
      </c>
    </row>
    <row r="295" ht="15.75" customHeight="1">
      <c r="A295" s="2">
        <v>3.0</v>
      </c>
      <c r="B295" s="2" t="s">
        <v>939</v>
      </c>
      <c r="C295" s="2" t="s">
        <v>940</v>
      </c>
      <c r="D295" s="2" t="s">
        <v>19</v>
      </c>
      <c r="E295" s="2" t="s">
        <v>20</v>
      </c>
      <c r="F295" s="2" t="s">
        <v>15</v>
      </c>
      <c r="G295" s="2" t="s">
        <v>941</v>
      </c>
      <c r="H295" s="2" t="s">
        <v>92</v>
      </c>
      <c r="I295" s="2" t="str">
        <f>IFERROR(__xludf.DUMMYFUNCTION("GOOGLETRANSLATE(C295,""fr"",""en"")"),"Advisor Jean-Michel on the phone very professional, patient and precise;
Ease of subscription, but very great difficulties in connection to the personal space and a customer service which seemed indifferent or helpless, damage.
I hope I don't have to re"&amp;"gret my choice of insurance (Housing + Auto)!")</f>
        <v>Advisor Jean-Michel on the phone very professional, patient and precise;
Ease of subscription, but very great difficulties in connection to the personal space and a customer service which seemed indifferent or helpless, damage.
I hope I don't have to regret my choice of insurance (Housing + Auto)!</v>
      </c>
    </row>
    <row r="296" ht="15.75" customHeight="1">
      <c r="A296" s="2">
        <v>4.0</v>
      </c>
      <c r="B296" s="2" t="s">
        <v>942</v>
      </c>
      <c r="C296" s="2" t="s">
        <v>943</v>
      </c>
      <c r="D296" s="2" t="s">
        <v>86</v>
      </c>
      <c r="E296" s="2" t="s">
        <v>61</v>
      </c>
      <c r="F296" s="2" t="s">
        <v>15</v>
      </c>
      <c r="G296" s="2" t="s">
        <v>944</v>
      </c>
      <c r="H296" s="2" t="s">
        <v>154</v>
      </c>
      <c r="I296" s="2" t="str">
        <f>IFERROR(__xludf.DUMMYFUNCTION("GOOGLETRANSLATE(C296,""fr"",""en"")"),"Salima just perfectly qualifying I ask a simple question and agree to guide me very professional thank you!")</f>
        <v>Salima just perfectly qualifying I ask a simple question and agree to guide me very professional thank you!</v>
      </c>
    </row>
    <row r="297" ht="15.75" customHeight="1">
      <c r="A297" s="2">
        <v>5.0</v>
      </c>
      <c r="B297" s="2" t="s">
        <v>945</v>
      </c>
      <c r="C297" s="2" t="s">
        <v>946</v>
      </c>
      <c r="D297" s="2" t="s">
        <v>35</v>
      </c>
      <c r="E297" s="2" t="s">
        <v>20</v>
      </c>
      <c r="F297" s="2" t="s">
        <v>15</v>
      </c>
      <c r="G297" s="2" t="s">
        <v>222</v>
      </c>
      <c r="H297" s="2" t="s">
        <v>108</v>
      </c>
      <c r="I297" s="2" t="str">
        <f>IFERROR(__xludf.DUMMYFUNCTION("GOOGLETRANSLATE(C297,""fr"",""en"")"),"I am very satisfied with the service.
Correct price.
Insurance that I recommend to all.
In case of very responsive concern and listening to customers.
Not disappointed.")</f>
        <v>I am very satisfied with the service.
Correct price.
Insurance that I recommend to all.
In case of very responsive concern and listening to customers.
Not disappointed.</v>
      </c>
    </row>
    <row r="298" ht="15.75" customHeight="1">
      <c r="A298" s="2">
        <v>2.0</v>
      </c>
      <c r="B298" s="2" t="s">
        <v>947</v>
      </c>
      <c r="C298" s="2" t="s">
        <v>948</v>
      </c>
      <c r="D298" s="2" t="s">
        <v>19</v>
      </c>
      <c r="E298" s="2" t="s">
        <v>20</v>
      </c>
      <c r="F298" s="2" t="s">
        <v>15</v>
      </c>
      <c r="G298" s="2" t="s">
        <v>226</v>
      </c>
      <c r="H298" s="2" t="s">
        <v>21</v>
      </c>
      <c r="I298" s="2" t="str">
        <f>IFERROR(__xludf.DUMMYFUNCTION("GOOGLETRANSLATE(C298,""fr"",""en"")"),"Hello
I find that the ten percent deductibles in addition to the 350 euros are a little expensive. Certainly I am responsible but at the prices of my monthly payments it is still quite expensive")</f>
        <v>Hello
I find that the ten percent deductibles in addition to the 350 euros are a little expensive. Certainly I am responsible but at the prices of my monthly payments it is still quite expensive</v>
      </c>
    </row>
    <row r="299" ht="15.75" customHeight="1">
      <c r="A299" s="2">
        <v>5.0</v>
      </c>
      <c r="B299" s="2" t="s">
        <v>949</v>
      </c>
      <c r="C299" s="2" t="s">
        <v>950</v>
      </c>
      <c r="D299" s="2" t="s">
        <v>19</v>
      </c>
      <c r="E299" s="2" t="s">
        <v>20</v>
      </c>
      <c r="F299" s="2" t="s">
        <v>15</v>
      </c>
      <c r="G299" s="2" t="s">
        <v>157</v>
      </c>
      <c r="H299" s="2" t="s">
        <v>108</v>
      </c>
      <c r="I299" s="2" t="str">
        <f>IFERROR(__xludf.DUMMYFUNCTION("GOOGLETRANSLATE(C299,""fr"",""en"")"),"Simple Site Simple Detail Registration Registration without headache and great price I highly recommend Insurance Director it is not faster go go ahead ??.")</f>
        <v>Simple Site Simple Detail Registration Registration without headache and great price I highly recommend Insurance Director it is not faster go go ahead ??.</v>
      </c>
    </row>
    <row r="300" ht="15.75" customHeight="1">
      <c r="A300" s="2">
        <v>1.0</v>
      </c>
      <c r="B300" s="2" t="s">
        <v>951</v>
      </c>
      <c r="C300" s="2" t="s">
        <v>952</v>
      </c>
      <c r="D300" s="2" t="s">
        <v>193</v>
      </c>
      <c r="E300" s="2" t="s">
        <v>20</v>
      </c>
      <c r="F300" s="2" t="s">
        <v>15</v>
      </c>
      <c r="G300" s="2" t="s">
        <v>953</v>
      </c>
      <c r="H300" s="2" t="s">
        <v>954</v>
      </c>
      <c r="I300" s="2" t="str">
        <f>IFERROR(__xludf.DUMMYFUNCTION("GOOGLETRANSLATE(C300,""fr"",""en"")"),"Everything is false in the Matmut charter:
Here is the quality commitment:
The Matmut goes further than a simple speech and undertakes to:
Inform you within 5 days of receipt of your declaration of claim of the state of investigation of your file,
k"&amp;"eep you informed of its evolution,
Give you all the information you need,
help you in all your efforts,
have at his expense, at all the necessary surveys and expertise,
compensate you within 8 days of your agreement for your vehicle and within 30 days"&amp;" for your home")</f>
        <v>Everything is false in the Matmut charter:
Here is the quality commitment:
The Matmut goes further than a simple speech and undertakes to:
Inform you within 5 days of receipt of your declaration of claim of the state of investigation of your file,
keep you informed of its evolution,
Give you all the information you need,
help you in all your efforts,
have at his expense, at all the necessary surveys and expertise,
compensate you within 8 days of your agreement for your vehicle and within 30 days for your home</v>
      </c>
    </row>
    <row r="301" ht="15.75" customHeight="1">
      <c r="A301" s="2">
        <v>1.0</v>
      </c>
      <c r="B301" s="2" t="s">
        <v>955</v>
      </c>
      <c r="C301" s="2" t="s">
        <v>956</v>
      </c>
      <c r="D301" s="2" t="s">
        <v>525</v>
      </c>
      <c r="E301" s="2" t="s">
        <v>206</v>
      </c>
      <c r="F301" s="2" t="s">
        <v>15</v>
      </c>
      <c r="G301" s="2" t="s">
        <v>957</v>
      </c>
      <c r="H301" s="2" t="s">
        <v>860</v>
      </c>
      <c r="I301" s="2" t="str">
        <f>IFERROR(__xludf.DUMMYFUNCTION("GOOGLETRANSLATE(C301,""fr"",""en"")"),"Liars, False and Company. It is the first time in my life that I have been making a negative comment, but it is so big that I have to warn the possible future insured. RUN AWAY! Where you will be forced to pay for nothing for 1 year. I join the previous c"&amp;"omment, everything is absolutely done to make you believe things and the person on the phone assures you that the conversation is recorded, and that therefore everything is certainly true. But everything is false absolutely everything, beware and read the"&amp;" contracts well and do not trust telephone conversations. We even offer you a percentage of reimbursement on veterinary kibble with premium insurance, but the kibbles they consider them as a medication so deficiency of 60 days, etc etc everything is absol"&amp;"utely done so as not to reimburse you, after 14 days (14 days where you are not even covered) you can no longer terminate your contract for a period of one year. So the first refund request you have already trapped. I would have preferred to put this side"&amp;" money every month in case of problem, because clearly I have no confidence for the future and I look forward to my termination in a year. I will never take up insurance, I didn't even think that possible.")</f>
        <v>Liars, False and Company. It is the first time in my life that I have been making a negative comment, but it is so big that I have to warn the possible future insured. RUN AWAY! Where you will be forced to pay for nothing for 1 year. I join the previous comment, everything is absolutely done to make you believe things and the person on the phone assures you that the conversation is recorded, and that therefore everything is certainly true. But everything is false absolutely everything, beware and read the contracts well and do not trust telephone conversations. We even offer you a percentage of reimbursement on veterinary kibble with premium insurance, but the kibbles they consider them as a medication so deficiency of 60 days, etc etc everything is absolutely done so as not to reimburse you, after 14 days (14 days where you are not even covered) you can no longer terminate your contract for a period of one year. So the first refund request you have already trapped. I would have preferred to put this side money every month in case of problem, because clearly I have no confidence for the future and I look forward to my termination in a year. I will never take up insurance, I didn't even think that possible.</v>
      </c>
    </row>
    <row r="302" ht="15.75" customHeight="1">
      <c r="A302" s="2">
        <v>1.0</v>
      </c>
      <c r="B302" s="2" t="s">
        <v>958</v>
      </c>
      <c r="C302" s="2" t="s">
        <v>959</v>
      </c>
      <c r="D302" s="2" t="s">
        <v>225</v>
      </c>
      <c r="E302" s="2" t="s">
        <v>61</v>
      </c>
      <c r="F302" s="2" t="s">
        <v>15</v>
      </c>
      <c r="G302" s="2" t="s">
        <v>676</v>
      </c>
      <c r="H302" s="2" t="s">
        <v>32</v>
      </c>
      <c r="I302" s="2" t="str">
        <f>IFERROR(__xludf.DUMMYFUNCTION("GOOGLETRANSLATE(C302,""fr"",""en"")"),"Being at MGEN since I have always seen this mutual insurance company only deteriorating over time. My only desire is to leave. All the advantages of this mutual insurance company have evaporated over time and the drawbacks continue to progress: samples fr"&amp;"om wages that have become random, I am therefore asked for crazy sums, regularly; If we do not enter their boxes impossible to be heard and no effort from them to get out of the situation: you have to fend for yourself; Unattractive and complicated reimbu"&amp;"rsements when you have adult children because the information is only with difficulty .... Mutuals have a hard time today to do fair work, keeping moral values. The MGEN sells these values ​​but did not know at all the 21st century turn and is not up to i"&amp;"ts ambitions. Too bad, really ....")</f>
        <v>Being at MGEN since I have always seen this mutual insurance company only deteriorating over time. My only desire is to leave. All the advantages of this mutual insurance company have evaporated over time and the drawbacks continue to progress: samples from wages that have become random, I am therefore asked for crazy sums, regularly; If we do not enter their boxes impossible to be heard and no effort from them to get out of the situation: you have to fend for yourself; Unattractive and complicated reimbursements when you have adult children because the information is only with difficulty .... Mutuals have a hard time today to do fair work, keeping moral values. The MGEN sells these values ​​but did not know at all the 21st century turn and is not up to its ambitions. Too bad, really ....</v>
      </c>
    </row>
    <row r="303" ht="15.75" customHeight="1">
      <c r="A303" s="2">
        <v>5.0</v>
      </c>
      <c r="B303" s="2" t="s">
        <v>960</v>
      </c>
      <c r="C303" s="2" t="s">
        <v>961</v>
      </c>
      <c r="D303" s="2" t="s">
        <v>19</v>
      </c>
      <c r="E303" s="2" t="s">
        <v>20</v>
      </c>
      <c r="F303" s="2" t="s">
        <v>15</v>
      </c>
      <c r="G303" s="2" t="s">
        <v>962</v>
      </c>
      <c r="H303" s="2" t="s">
        <v>108</v>
      </c>
      <c r="I303" s="2" t="str">
        <f>IFERROR(__xludf.DUMMYFUNCTION("GOOGLETRANSLATE(C303,""fr"",""en"")"),"I am satisfied with the very fast and very effective service thank you for this new insurance more she is very advantageous thank you thank you thank you thank you")</f>
        <v>I am satisfied with the very fast and very effective service thank you for this new insurance more she is very advantageous thank you thank you thank you thank you</v>
      </c>
    </row>
    <row r="304" ht="15.75" customHeight="1">
      <c r="A304" s="2">
        <v>2.0</v>
      </c>
      <c r="B304" s="2" t="s">
        <v>963</v>
      </c>
      <c r="C304" s="2" t="s">
        <v>964</v>
      </c>
      <c r="D304" s="2" t="s">
        <v>254</v>
      </c>
      <c r="E304" s="2" t="s">
        <v>61</v>
      </c>
      <c r="F304" s="2" t="s">
        <v>15</v>
      </c>
      <c r="G304" s="2" t="s">
        <v>965</v>
      </c>
      <c r="H304" s="2" t="s">
        <v>63</v>
      </c>
      <c r="I304" s="2" t="str">
        <f>IFERROR(__xludf.DUMMYFUNCTION("GOOGLETRANSLATE(C304,""fr"",""en"")"),"Incompetent communication service,
For a simple certificate, counted minimum 15 days to receive it and in addition it is missing the essentials above the date of the contributed period, when I specified it in my request.
No sending of this kind of docum"&amp;"ent by email, 30 years late in IT practices!")</f>
        <v>Incompetent communication service,
For a simple certificate, counted minimum 15 days to receive it and in addition it is missing the essentials above the date of the contributed period, when I specified it in my request.
No sending of this kind of document by email, 30 years late in IT practices!</v>
      </c>
    </row>
    <row r="305" ht="15.75" customHeight="1">
      <c r="A305" s="2">
        <v>3.0</v>
      </c>
      <c r="B305" s="2" t="s">
        <v>966</v>
      </c>
      <c r="C305" s="2" t="s">
        <v>967</v>
      </c>
      <c r="D305" s="2" t="s">
        <v>43</v>
      </c>
      <c r="E305" s="2" t="s">
        <v>20</v>
      </c>
      <c r="F305" s="2" t="s">
        <v>15</v>
      </c>
      <c r="G305" s="2" t="s">
        <v>968</v>
      </c>
      <c r="H305" s="2" t="s">
        <v>45</v>
      </c>
      <c r="I305" s="2" t="str">
        <f>IFERROR(__xludf.DUMMYFUNCTION("GOOGLETRANSLATE(C305,""fr"",""en"")"),"I do not understand why I do not receive the certificates I asked by email?
School certificate and civil liability certificate
I need them tomorrow
Cordially")</f>
        <v>I do not understand why I do not receive the certificates I asked by email?
School certificate and civil liability certificate
I need them tomorrow
Cordially</v>
      </c>
    </row>
    <row r="306" ht="15.75" customHeight="1">
      <c r="A306" s="2">
        <v>4.0</v>
      </c>
      <c r="B306" s="2" t="s">
        <v>969</v>
      </c>
      <c r="C306" s="2" t="s">
        <v>970</v>
      </c>
      <c r="D306" s="2" t="s">
        <v>19</v>
      </c>
      <c r="E306" s="2" t="s">
        <v>20</v>
      </c>
      <c r="F306" s="2" t="s">
        <v>15</v>
      </c>
      <c r="G306" s="2" t="s">
        <v>971</v>
      </c>
      <c r="H306" s="2" t="s">
        <v>21</v>
      </c>
      <c r="I306" s="2" t="str">
        <f>IFERROR(__xludf.DUMMYFUNCTION("GOOGLETRANSLATE(C306,""fr"",""en"")"),"New to your insurance company, I must say that your attractive prices have convinced me. That said, I still haven't received the insurance sticker to affix on my windshield ....")</f>
        <v>New to your insurance company, I must say that your attractive prices have convinced me. That said, I still haven't received the insurance sticker to affix on my windshield ....</v>
      </c>
    </row>
    <row r="307" ht="15.75" customHeight="1">
      <c r="A307" s="2">
        <v>4.0</v>
      </c>
      <c r="B307" s="2" t="s">
        <v>972</v>
      </c>
      <c r="C307" s="2" t="s">
        <v>973</v>
      </c>
      <c r="D307" s="2" t="s">
        <v>35</v>
      </c>
      <c r="E307" s="2" t="s">
        <v>20</v>
      </c>
      <c r="F307" s="2" t="s">
        <v>15</v>
      </c>
      <c r="G307" s="2" t="s">
        <v>74</v>
      </c>
      <c r="H307" s="2" t="s">
        <v>74</v>
      </c>
      <c r="I307" s="2" t="str">
        <f>IFERROR(__xludf.DUMMYFUNCTION("GOOGLETRANSLATE(C307,""fr"",""en"")"),"Simple and practical
The subscription was done firstly with a quote where I received all the necessary information. The advisor has referred me")</f>
        <v>Simple and practical
The subscription was done firstly with a quote where I received all the necessary information. The advisor has referred me</v>
      </c>
    </row>
    <row r="308" ht="15.75" customHeight="1">
      <c r="A308" s="2">
        <v>5.0</v>
      </c>
      <c r="B308" s="2" t="s">
        <v>974</v>
      </c>
      <c r="C308" s="2" t="s">
        <v>975</v>
      </c>
      <c r="D308" s="2" t="s">
        <v>19</v>
      </c>
      <c r="E308" s="2" t="s">
        <v>20</v>
      </c>
      <c r="F308" s="2" t="s">
        <v>15</v>
      </c>
      <c r="G308" s="2" t="s">
        <v>529</v>
      </c>
      <c r="H308" s="2" t="s">
        <v>108</v>
      </c>
      <c r="I308" s="2" t="str">
        <f>IFERROR(__xludf.DUMMYFUNCTION("GOOGLETRANSLATE(C308,""fr"",""en"")"),"It is still too early to give a very objective opinion, however the prices are very interesting and the intuitive Ke Future application will allow me to judge services")</f>
        <v>It is still too early to give a very objective opinion, however the prices are very interesting and the intuitive Ke Future application will allow me to judge services</v>
      </c>
    </row>
    <row r="309" ht="15.75" customHeight="1">
      <c r="A309" s="2">
        <v>4.0</v>
      </c>
      <c r="B309" s="2" t="s">
        <v>976</v>
      </c>
      <c r="C309" s="2" t="s">
        <v>977</v>
      </c>
      <c r="D309" s="2" t="s">
        <v>19</v>
      </c>
      <c r="E309" s="2" t="s">
        <v>20</v>
      </c>
      <c r="F309" s="2" t="s">
        <v>15</v>
      </c>
      <c r="G309" s="2" t="s">
        <v>263</v>
      </c>
      <c r="H309" s="2" t="s">
        <v>32</v>
      </c>
      <c r="I309" s="2" t="str">
        <f>IFERROR(__xludf.DUMMYFUNCTION("GOOGLETRANSLATE(C309,""fr"",""en"")"),"I am satisfied with the service
Prices suit me
I don't have a code to access my personal space
How to get one?
Thank you for answering my mailbox")</f>
        <v>I am satisfied with the service
Prices suit me
I don't have a code to access my personal space
How to get one?
Thank you for answering my mailbox</v>
      </c>
    </row>
    <row r="310" ht="15.75" customHeight="1">
      <c r="A310" s="2">
        <v>5.0</v>
      </c>
      <c r="B310" s="2" t="s">
        <v>978</v>
      </c>
      <c r="C310" s="2" t="s">
        <v>979</v>
      </c>
      <c r="D310" s="2" t="s">
        <v>19</v>
      </c>
      <c r="E310" s="2" t="s">
        <v>20</v>
      </c>
      <c r="F310" s="2" t="s">
        <v>15</v>
      </c>
      <c r="G310" s="2" t="s">
        <v>980</v>
      </c>
      <c r="H310" s="2" t="s">
        <v>164</v>
      </c>
      <c r="I310" s="2" t="str">
        <f>IFERROR(__xludf.DUMMYFUNCTION("GOOGLETRANSLATE(C310,""fr"",""en"")"),"Uninteresting price, to see later if the promises follow the announcements.
Ease of implementation, normally Direct Assurance takes care of termination.")</f>
        <v>Uninteresting price, to see later if the promises follow the announcements.
Ease of implementation, normally Direct Assurance takes care of termination.</v>
      </c>
    </row>
    <row r="311" ht="15.75" customHeight="1">
      <c r="A311" s="2">
        <v>3.0</v>
      </c>
      <c r="B311" s="2" t="s">
        <v>981</v>
      </c>
      <c r="C311" s="2" t="s">
        <v>982</v>
      </c>
      <c r="D311" s="2" t="s">
        <v>19</v>
      </c>
      <c r="E311" s="2" t="s">
        <v>122</v>
      </c>
      <c r="F311" s="2" t="s">
        <v>15</v>
      </c>
      <c r="G311" s="2" t="s">
        <v>983</v>
      </c>
      <c r="H311" s="2" t="s">
        <v>116</v>
      </c>
      <c r="I311" s="2" t="str">
        <f>IFERROR(__xludf.DUMMYFUNCTION("GOOGLETRANSLATE(C311,""fr"",""en"")"),"Simple and quick, efficient. Management via the appreciable net
It remains to have the management of claims, I have not yet had any concern and that's good ...
To be continued")</f>
        <v>Simple and quick, efficient. Management via the appreciable net
It remains to have the management of claims, I have not yet had any concern and that's good ...
To be continued</v>
      </c>
    </row>
    <row r="312" ht="15.75" customHeight="1">
      <c r="A312" s="2">
        <v>1.0</v>
      </c>
      <c r="B312" s="2" t="s">
        <v>984</v>
      </c>
      <c r="C312" s="2" t="s">
        <v>985</v>
      </c>
      <c r="D312" s="2" t="s">
        <v>193</v>
      </c>
      <c r="E312" s="2" t="s">
        <v>20</v>
      </c>
      <c r="F312" s="2" t="s">
        <v>15</v>
      </c>
      <c r="G312" s="2" t="s">
        <v>986</v>
      </c>
      <c r="H312" s="2" t="s">
        <v>79</v>
      </c>
      <c r="I312" s="2" t="str">
        <f>IFERROR(__xludf.DUMMYFUNCTION("GOOGLETRANSLATE(C312,""fr"",""en"")"),"Insured Matmut with all my family (5 people) for over 30 years, I have played my legal insurance for an obvious medical error. My interlocutor, who was more a simple assistant than a legal expert (as my contract required) was completely ""absent"". I made"&amp;" up my whole file myself in front of his obvious incompetence. I held her hand so that it moves forward. Despite a complaint (I discovered that complaints ended up on the person's office object of your complaint, who answers it .... or not !!!) after 3 an"&amp;"d a half years, she finally sent my file to the opposing part. Who did not respond. She relaunched them once as required by the procedure (Ha good, there is therefore one !!!). Then to close the file against my opinion. More than € 20,000 in damage. So I'"&amp;"m going to take a lawyer and start all over again with a real expert. Conclusion: Ladies gentlemen, take your legal insurance elsewhere than at the Matmut.")</f>
        <v>Insured Matmut with all my family (5 people) for over 30 years, I have played my legal insurance for an obvious medical error. My interlocutor, who was more a simple assistant than a legal expert (as my contract required) was completely "absent". I made up my whole file myself in front of his obvious incompetence. I held her hand so that it moves forward. Despite a complaint (I discovered that complaints ended up on the person's office object of your complaint, who answers it .... or not !!!) after 3 and a half years, she finally sent my file to the opposing part. Who did not respond. She relaunched them once as required by the procedure (Ha good, there is therefore one !!!). Then to close the file against my opinion. More than € 20,000 in damage. So I'm going to take a lawyer and start all over again with a real expert. Conclusion: Ladies gentlemen, take your legal insurance elsewhere than at the Matmut.</v>
      </c>
    </row>
    <row r="313" ht="15.75" customHeight="1">
      <c r="A313" s="2">
        <v>1.0</v>
      </c>
      <c r="B313" s="2" t="s">
        <v>987</v>
      </c>
      <c r="C313" s="2" t="s">
        <v>988</v>
      </c>
      <c r="D313" s="2" t="s">
        <v>111</v>
      </c>
      <c r="E313" s="2" t="s">
        <v>214</v>
      </c>
      <c r="F313" s="2" t="s">
        <v>15</v>
      </c>
      <c r="G313" s="2" t="s">
        <v>989</v>
      </c>
      <c r="H313" s="2" t="s">
        <v>954</v>
      </c>
      <c r="I313" s="2" t="str">
        <f>IFERROR(__xludf.DUMMYFUNCTION("GOOGLETRANSLATE(C313,""fr"",""en"")"),"I have been contributing (€ 40,000) for employees for 9 years there has been no refund to date and now they refuse to pay for the Codi virus child care. So my contributions have served nothing in 9 years except to enrich AG2R.")</f>
        <v>I have been contributing (€ 40,000) for employees for 9 years there has been no refund to date and now they refuse to pay for the Codi virus child care. So my contributions have served nothing in 9 years except to enrich AG2R.</v>
      </c>
    </row>
    <row r="314" ht="15.75" customHeight="1">
      <c r="A314" s="2">
        <v>2.0</v>
      </c>
      <c r="B314" s="2" t="s">
        <v>990</v>
      </c>
      <c r="C314" s="2" t="s">
        <v>991</v>
      </c>
      <c r="D314" s="2" t="s">
        <v>285</v>
      </c>
      <c r="E314" s="2" t="s">
        <v>122</v>
      </c>
      <c r="F314" s="2" t="s">
        <v>15</v>
      </c>
      <c r="G314" s="2" t="s">
        <v>992</v>
      </c>
      <c r="H314" s="2" t="s">
        <v>216</v>
      </c>
      <c r="I314" s="2" t="str">
        <f>IFERROR(__xludf.DUMMYFUNCTION("GOOGLETRANSLATE(C314,""fr"",""en"")"),"Macif
Hello
Insurance to avoid absolutely
Water damage December 2017 and January 2018
1st water damage estimated at 2500 euro and my quote is 4,400 euros reimbursement 1200 in September after multiple email and call
2nd water damage December 2017 unt"&amp;"il today not adjusted
They take you for a liar with their ELEX expertise firm
I have been insured at home since 1999
The day I need them they are no longer there
Even if you pay more elsewhere it would be a better investment")</f>
        <v>Macif
Hello
Insurance to avoid absolutely
Water damage December 2017 and January 2018
1st water damage estimated at 2500 euro and my quote is 4,400 euros reimbursement 1200 in September after multiple email and call
2nd water damage December 2017 until today not adjusted
They take you for a liar with their ELEX expertise firm
I have been insured at home since 1999
The day I need them they are no longer there
Even if you pay more elsewhere it would be a better investment</v>
      </c>
    </row>
    <row r="315" ht="15.75" customHeight="1">
      <c r="A315" s="2">
        <v>1.0</v>
      </c>
      <c r="B315" s="2" t="s">
        <v>993</v>
      </c>
      <c r="C315" s="2" t="s">
        <v>994</v>
      </c>
      <c r="D315" s="2" t="s">
        <v>111</v>
      </c>
      <c r="E315" s="2" t="s">
        <v>61</v>
      </c>
      <c r="F315" s="2" t="s">
        <v>15</v>
      </c>
      <c r="G315" s="2" t="s">
        <v>995</v>
      </c>
      <c r="H315" s="2" t="s">
        <v>347</v>
      </c>
      <c r="I315" s="2" t="str">
        <f>IFERROR(__xludf.DUMMYFUNCTION("GOOGLETRANSLATE(C315,""fr"",""en"")"),"""Mutual"" to flee")</f>
        <v>"Mutual" to flee</v>
      </c>
    </row>
    <row r="316" ht="15.75" customHeight="1">
      <c r="A316" s="2">
        <v>3.0</v>
      </c>
      <c r="B316" s="2" t="s">
        <v>996</v>
      </c>
      <c r="C316" s="2" t="s">
        <v>997</v>
      </c>
      <c r="D316" s="2" t="s">
        <v>559</v>
      </c>
      <c r="E316" s="2" t="s">
        <v>214</v>
      </c>
      <c r="F316" s="2" t="s">
        <v>15</v>
      </c>
      <c r="G316" s="2" t="s">
        <v>729</v>
      </c>
      <c r="H316" s="2" t="s">
        <v>729</v>
      </c>
      <c r="I316" s="2" t="str">
        <f>IFERROR(__xludf.DUMMYFUNCTION("GOOGLETRANSLATE(C316,""fr"",""en"")"),"My husband M Clavelin Maxime is deducted on 27,07 of this year. He had taken out an obsech insurance. Impossible to recover the funds I find it scandalous all the more since I expect this money to pay the obsequers for 19 years that we pay because I also "&amp;"have the same contract if it is not unlocked as soon as possible I think I will withdraw my money
PS I must make you inform you that the medical certificate was asked for me after 2 months
All this to tell you that I am very disappointed")</f>
        <v>My husband M Clavelin Maxime is deducted on 27,07 of this year. He had taken out an obsech insurance. Impossible to recover the funds I find it scandalous all the more since I expect this money to pay the obsequers for 19 years that we pay because I also have the same contract if it is not unlocked as soon as possible I think I will withdraw my money
PS I must make you inform you that the medical certificate was asked for me after 2 months
All this to tell you that I am very disappointed</v>
      </c>
    </row>
    <row r="317" ht="15.75" customHeight="1">
      <c r="A317" s="2">
        <v>5.0</v>
      </c>
      <c r="B317" s="2" t="s">
        <v>998</v>
      </c>
      <c r="C317" s="2" t="s">
        <v>999</v>
      </c>
      <c r="D317" s="2" t="s">
        <v>245</v>
      </c>
      <c r="E317" s="2" t="s">
        <v>61</v>
      </c>
      <c r="F317" s="2" t="s">
        <v>15</v>
      </c>
      <c r="G317" s="2" t="s">
        <v>197</v>
      </c>
      <c r="H317" s="2" t="s">
        <v>74</v>
      </c>
      <c r="I317" s="2" t="str">
        <f>IFERROR(__xludf.DUMMYFUNCTION("GOOGLETRANSLATE(C317,""fr"",""en"")"),"Hello, I am very satisfied with my Santiane Widad advisor who did the necessary to unlock the management of my glasses. I just had confirmation of the optician.
Widad was attentive and very professional.")</f>
        <v>Hello, I am very satisfied with my Santiane Widad advisor who did the necessary to unlock the management of my glasses. I just had confirmation of the optician.
Widad was attentive and very professional.</v>
      </c>
    </row>
    <row r="318" ht="15.75" customHeight="1">
      <c r="A318" s="2">
        <v>1.0</v>
      </c>
      <c r="B318" s="2" t="s">
        <v>1000</v>
      </c>
      <c r="C318" s="2" t="s">
        <v>1001</v>
      </c>
      <c r="D318" s="2" t="s">
        <v>366</v>
      </c>
      <c r="E318" s="2" t="s">
        <v>135</v>
      </c>
      <c r="F318" s="2" t="s">
        <v>15</v>
      </c>
      <c r="G318" s="2" t="s">
        <v>1002</v>
      </c>
      <c r="H318" s="2" t="s">
        <v>116</v>
      </c>
      <c r="I318" s="2" t="str">
        <f>IFERROR(__xludf.DUMMYFUNCTION("GOOGLETRANSLATE(C318,""fr"",""en"")"),"Do you need information, you do not agree with their estimation of the sums to be paid? I confirm the other opinions, we are walked. Even a recommended still has no response more than a month later! If you make a complaint, we promise you an answer within"&amp;" two months ...")</f>
        <v>Do you need information, you do not agree with their estimation of the sums to be paid? I confirm the other opinions, we are walked. Even a recommended still has no response more than a month later! If you make a complaint, we promise you an answer within two months ...</v>
      </c>
    </row>
    <row r="319" ht="15.75" customHeight="1">
      <c r="A319" s="2">
        <v>1.0</v>
      </c>
      <c r="B319" s="2" t="s">
        <v>1003</v>
      </c>
      <c r="C319" s="2" t="s">
        <v>1004</v>
      </c>
      <c r="D319" s="2" t="s">
        <v>100</v>
      </c>
      <c r="E319" s="2" t="s">
        <v>20</v>
      </c>
      <c r="F319" s="2" t="s">
        <v>15</v>
      </c>
      <c r="G319" s="2" t="s">
        <v>1005</v>
      </c>
      <c r="H319" s="2" t="s">
        <v>416</v>
      </c>
      <c r="I319" s="2" t="str">
        <f>IFERROR(__xludf.DUMMYFUNCTION("GOOGLETRANSLATE(C319,""fr"",""en"")"),"unjustified samples")</f>
        <v>unjustified samples</v>
      </c>
    </row>
    <row r="320" ht="15.75" customHeight="1">
      <c r="A320" s="2">
        <v>5.0</v>
      </c>
      <c r="B320" s="2" t="s">
        <v>1006</v>
      </c>
      <c r="C320" s="2" t="s">
        <v>1007</v>
      </c>
      <c r="D320" s="2" t="s">
        <v>35</v>
      </c>
      <c r="E320" s="2" t="s">
        <v>20</v>
      </c>
      <c r="F320" s="2" t="s">
        <v>15</v>
      </c>
      <c r="G320" s="2" t="s">
        <v>1008</v>
      </c>
      <c r="H320" s="2" t="s">
        <v>164</v>
      </c>
      <c r="I320" s="2" t="str">
        <f>IFERROR(__xludf.DUMMYFUNCTION("GOOGLETRANSLATE(C320,""fr"",""en"")"),"I am perfectly satisfied with proof I assure you a 2nd vehicle however the starting price is very attractive but the renewal of each year made attention to the increases which could direct me to the competition.")</f>
        <v>I am perfectly satisfied with proof I assure you a 2nd vehicle however the starting price is very attractive but the renewal of each year made attention to the increases which could direct me to the competition.</v>
      </c>
    </row>
    <row r="321" ht="15.75" customHeight="1">
      <c r="A321" s="2">
        <v>2.0</v>
      </c>
      <c r="B321" s="2" t="s">
        <v>1009</v>
      </c>
      <c r="C321" s="2" t="s">
        <v>1010</v>
      </c>
      <c r="D321" s="2" t="s">
        <v>225</v>
      </c>
      <c r="E321" s="2" t="s">
        <v>61</v>
      </c>
      <c r="F321" s="2" t="s">
        <v>15</v>
      </c>
      <c r="G321" s="2" t="s">
        <v>1011</v>
      </c>
      <c r="H321" s="2" t="s">
        <v>216</v>
      </c>
      <c r="I321" s="2" t="str">
        <f>IFERROR(__xludf.DUMMYFUNCTION("GOOGLETRANSLATE(C321,""fr"",""en"")"),"We have made ear tips for my deaf son located with a 100% for ALD at this level. Invoice and care sheet provided. The invoice clearly appears 2 quantities of tips. Only one is reimbursed. It is indicated on the care sheet (there is only one tip and not tw"&amp;"o) and (it is not in ALD). Even when I ask to check the quantity of the invoice there would only be a tip clearly indicated on it. In addition, it would have taken 2 identical bar codes on the treatment sheet and they refuse to see the link between hearin"&amp;"g tips and its ALD linked to its deafness (even with supporting documents). In short, at their request I have a corrective care sheet that I put in hand specific to the MGEN point of my section. Then more news. Normal they lost the document refusing to ad"&amp;"mit clearly since they just indicating that they do not have it and that I must provide the original that I no longer since they have lost it (the proof could be brought by the note of my passage to The section where the same day I deposited another care "&amp;"sheet which was well treated). I may provide them with a copy of the original (made by the fairly cautious hearing aidist) I still have to recover their error by redoing all the steps since this is not enough (2 hours of my time the last time chaining hea"&amp;"ring aidioprotheistic movements many times). Contradictory mels of uninformed people. In short, that problems that are repeated and that find it difficult to find solutions.")</f>
        <v>We have made ear tips for my deaf son located with a 100% for ALD at this level. Invoice and care sheet provided. The invoice clearly appears 2 quantities of tips. Only one is reimbursed. It is indicated on the care sheet (there is only one tip and not two) and (it is not in ALD). Even when I ask to check the quantity of the invoice there would only be a tip clearly indicated on it. In addition, it would have taken 2 identical bar codes on the treatment sheet and they refuse to see the link between hearing tips and its ALD linked to its deafness (even with supporting documents). In short, at their request I have a corrective care sheet that I put in hand specific to the MGEN point of my section. Then more news. Normal they lost the document refusing to admit clearly since they just indicating that they do not have it and that I must provide the original that I no longer since they have lost it (the proof could be brought by the note of my passage to The section where the same day I deposited another care sheet which was well treated). I may provide them with a copy of the original (made by the fairly cautious hearing aidist) I still have to recover their error by redoing all the steps since this is not enough (2 hours of my time the last time chaining hearing aidioprotheistic movements many times). Contradictory mels of uninformed people. In short, that problems that are repeated and that find it difficult to find solutions.</v>
      </c>
    </row>
    <row r="322" ht="15.75" customHeight="1">
      <c r="A322" s="2">
        <v>2.0</v>
      </c>
      <c r="B322" s="2" t="s">
        <v>1012</v>
      </c>
      <c r="C322" s="2" t="s">
        <v>1013</v>
      </c>
      <c r="D322" s="2" t="s">
        <v>1014</v>
      </c>
      <c r="E322" s="2" t="s">
        <v>122</v>
      </c>
      <c r="F322" s="2" t="s">
        <v>15</v>
      </c>
      <c r="G322" s="2" t="s">
        <v>860</v>
      </c>
      <c r="H322" s="2" t="s">
        <v>860</v>
      </c>
      <c r="I322" s="2" t="str">
        <f>IFERROR(__xludf.DUMMYFUNCTION("GOOGLETRANSLATE(C322,""fr"",""en"")"),"Hello I am very unhappy my television is broken down following a thunderstorm I phone so obteller who asks me to bring my TV at repairer so that he diagnoses the breakdown and that he provides a repair quote if the television is repairable. I therefore br"&amp;"ing TV to repairer who reconstructs me after inspection and announces me a repair quote of 648 euros plus an invoice of 110 euros for the search for breakdown. Insurance takes into account the repair less a franchise of 150 euros which seems to me so far "&amp;"completely normal but does not take care of the search for failure when it is a consequence of the disaster. In addition, all the diagnostic and repair costs must be advanced before you can be reimbursed while it is a multi -risk home with the identical r"&amp;"eimbursement or nine of the devices under 7 years old. So to resume I have to go out 110 euros + 150 euros franchise or 260 euros to be able to repair my so -called television taken into account.
Thank you obteller
")</f>
        <v>Hello I am very unhappy my television is broken down following a thunderstorm I phone so obteller who asks me to bring my TV at repairer so that he diagnoses the breakdown and that he provides a repair quote if the television is repairable. I therefore bring TV to repairer who reconstructs me after inspection and announces me a repair quote of 648 euros plus an invoice of 110 euros for the search for breakdown. Insurance takes into account the repair less a franchise of 150 euros which seems to me so far completely normal but does not take care of the search for failure when it is a consequence of the disaster. In addition, all the diagnostic and repair costs must be advanced before you can be reimbursed while it is a multi -risk home with the identical reimbursement or nine of the devices under 7 years old. So to resume I have to go out 110 euros + 150 euros franchise or 260 euros to be able to repair my so -called television taken into account.
Thank you obteller
</v>
      </c>
    </row>
    <row r="323" ht="15.75" customHeight="1">
      <c r="A323" s="2">
        <v>1.0</v>
      </c>
      <c r="B323" s="2" t="s">
        <v>1015</v>
      </c>
      <c r="C323" s="2" t="s">
        <v>1016</v>
      </c>
      <c r="D323" s="2" t="s">
        <v>200</v>
      </c>
      <c r="E323" s="2" t="s">
        <v>30</v>
      </c>
      <c r="F323" s="2" t="s">
        <v>15</v>
      </c>
      <c r="G323" s="2" t="s">
        <v>1017</v>
      </c>
      <c r="H323" s="2" t="s">
        <v>179</v>
      </c>
      <c r="I323" s="2" t="str">
        <f>IFERROR(__xludf.DUMMYFUNCTION("GOOGLETRANSLATE(C323,""fr"",""en"")"),"I have subscribed to ITT insurance and loss of job. On a work stoppage for more than 6 months I was declared unfit for the resumption of work during my takeover visit in January, no possibility of reclassification I was therefore dismissed. I was taken ca"&amp;"re of as ITT but cardif despite many letters, telephone calls do not answer me on the care over the transitional period of dismissal for incapacity, (opinion of the occupational doctor transmitted as well as the file Complete) To date support for loss of "&amp;"jobs from registration for Pôle Emploi. Never the same contact, never the same answer. I am asked for this period documents that I cannot provide ...")</f>
        <v>I have subscribed to ITT insurance and loss of job. On a work stoppage for more than 6 months I was declared unfit for the resumption of work during my takeover visit in January, no possibility of reclassification I was therefore dismissed. I was taken care of as ITT but cardif despite many letters, telephone calls do not answer me on the care over the transitional period of dismissal for incapacity, (opinion of the occupational doctor transmitted as well as the file Complete) To date support for loss of jobs from registration for Pôle Emploi. Never the same contact, never the same answer. I am asked for this period documents that I cannot provide ...</v>
      </c>
    </row>
    <row r="324" ht="15.75" customHeight="1">
      <c r="A324" s="2">
        <v>1.0</v>
      </c>
      <c r="B324" s="2" t="s">
        <v>1018</v>
      </c>
      <c r="C324" s="2" t="s">
        <v>1019</v>
      </c>
      <c r="D324" s="2" t="s">
        <v>19</v>
      </c>
      <c r="E324" s="2" t="s">
        <v>20</v>
      </c>
      <c r="F324" s="2" t="s">
        <v>15</v>
      </c>
      <c r="G324" s="2" t="s">
        <v>1020</v>
      </c>
      <c r="H324" s="2" t="s">
        <v>567</v>
      </c>
      <c r="I324" s="2" t="str">
        <f>IFERROR(__xludf.DUMMYFUNCTION("GOOGLETRANSLATE(C324,""fr"",""en"")"),"too expensive price compared to competition for practically mm guaranteed")</f>
        <v>too expensive price compared to competition for practically mm guaranteed</v>
      </c>
    </row>
    <row r="325" ht="15.75" customHeight="1">
      <c r="A325" s="2">
        <v>2.0</v>
      </c>
      <c r="B325" s="2" t="s">
        <v>1021</v>
      </c>
      <c r="C325" s="2" t="s">
        <v>1022</v>
      </c>
      <c r="D325" s="2" t="s">
        <v>19</v>
      </c>
      <c r="E325" s="2" t="s">
        <v>20</v>
      </c>
      <c r="F325" s="2" t="s">
        <v>15</v>
      </c>
      <c r="G325" s="2" t="s">
        <v>1023</v>
      </c>
      <c r="H325" s="2" t="s">
        <v>21</v>
      </c>
      <c r="I325" s="2" t="str">
        <f>IFERROR(__xludf.DUMMYFUNCTION("GOOGLETRANSLATE(C325,""fr"",""en"")"),"I am satisfied with the service rendered, but your prices are exorbitant! I've been with you for almost 6 years! should be thinking of making offers. I don't buy super rare cars either. Without reaction from you and reasonable prices for the type of car, "&amp;"I would look elsewhere.")</f>
        <v>I am satisfied with the service rendered, but your prices are exorbitant! I've been with you for almost 6 years! should be thinking of making offers. I don't buy super rare cars either. Without reaction from you and reasonable prices for the type of car, I would look elsewhere.</v>
      </c>
    </row>
    <row r="326" ht="15.75" customHeight="1">
      <c r="A326" s="2">
        <v>1.0</v>
      </c>
      <c r="B326" s="2" t="s">
        <v>1024</v>
      </c>
      <c r="C326" s="2" t="s">
        <v>1025</v>
      </c>
      <c r="D326" s="2" t="s">
        <v>884</v>
      </c>
      <c r="E326" s="2" t="s">
        <v>206</v>
      </c>
      <c r="F326" s="2" t="s">
        <v>15</v>
      </c>
      <c r="G326" s="2" t="s">
        <v>1026</v>
      </c>
      <c r="H326" s="2" t="s">
        <v>131</v>
      </c>
      <c r="I326" s="2" t="str">
        <f>IFERROR(__xludf.DUMMYFUNCTION("GOOGLETRANSLATE(C326,""fr"",""en"")"),"Attention! To flee. As soon as your animal is sick insurance increases your monthly contributions years after year until you send you a letter of termination. Reason invoked ""an important and recurring imbalance of its technical results"". We are talking"&amp;" about a dog ....")</f>
        <v>Attention! To flee. As soon as your animal is sick insurance increases your monthly contributions years after year until you send you a letter of termination. Reason invoked "an important and recurring imbalance of its technical results". We are talking about a dog ....</v>
      </c>
    </row>
    <row r="327" ht="15.75" customHeight="1">
      <c r="A327" s="2">
        <v>1.0</v>
      </c>
      <c r="B327" s="2" t="s">
        <v>1027</v>
      </c>
      <c r="C327" s="2" t="s">
        <v>1028</v>
      </c>
      <c r="D327" s="2" t="s">
        <v>378</v>
      </c>
      <c r="E327" s="2" t="s">
        <v>61</v>
      </c>
      <c r="F327" s="2" t="s">
        <v>15</v>
      </c>
      <c r="G327" s="2" t="s">
        <v>239</v>
      </c>
      <c r="H327" s="2" t="s">
        <v>239</v>
      </c>
      <c r="I327" s="2" t="str">
        <f>IFERROR(__xludf.DUMMYFUNCTION("GOOGLETRANSLATE(C327,""fr"",""en"")"),"No one ... Padon me but I pay a armor and zero level service ... he asks you about the counts when they are connected to secu ?? I do not know what it is playing but the pompom ... usually he always reimburses me with the same way and there he asks you so"&amp;"me things like invoices already put back in scan. What do trainees employ them? OMG JPP?")</f>
        <v>No one ... Padon me but I pay a armor and zero level service ... he asks you about the counts when they are connected to secu ?? I do not know what it is playing but the pompom ... usually he always reimburses me with the same way and there he asks you some things like invoices already put back in scan. What do trainees employ them? OMG JPP?</v>
      </c>
    </row>
    <row r="328" ht="15.75" customHeight="1">
      <c r="A328" s="2">
        <v>4.0</v>
      </c>
      <c r="B328" s="2" t="s">
        <v>1029</v>
      </c>
      <c r="C328" s="2" t="s">
        <v>1030</v>
      </c>
      <c r="D328" s="2" t="s">
        <v>19</v>
      </c>
      <c r="E328" s="2" t="s">
        <v>20</v>
      </c>
      <c r="F328" s="2" t="s">
        <v>15</v>
      </c>
      <c r="G328" s="2" t="s">
        <v>274</v>
      </c>
      <c r="H328" s="2" t="s">
        <v>32</v>
      </c>
      <c r="I328" s="2" t="str">
        <f>IFERROR(__xludf.DUMMYFUNCTION("GOOGLETRANSLATE(C328,""fr"",""en"")"),"I am satisfied with this very kind personal service, responding to the questions, I recommend it, especially to young drivers.
I plan to make sure at home
Thank you")</f>
        <v>I am satisfied with this very kind personal service, responding to the questions, I recommend it, especially to young drivers.
I plan to make sure at home
Thank you</v>
      </c>
    </row>
    <row r="329" ht="15.75" customHeight="1">
      <c r="A329" s="2">
        <v>4.0</v>
      </c>
      <c r="B329" s="2" t="s">
        <v>1031</v>
      </c>
      <c r="C329" s="2" t="s">
        <v>1032</v>
      </c>
      <c r="D329" s="2" t="s">
        <v>35</v>
      </c>
      <c r="E329" s="2" t="s">
        <v>20</v>
      </c>
      <c r="F329" s="2" t="s">
        <v>15</v>
      </c>
      <c r="G329" s="2" t="s">
        <v>962</v>
      </c>
      <c r="H329" s="2" t="s">
        <v>108</v>
      </c>
      <c r="I329" s="2" t="str">
        <f>IFERROR(__xludf.DUMMYFUNCTION("GOOGLETRANSLATE(C329,""fr"",""en"")"),"The prices are low, the franchises high! But there is a possibility of choosing weaker deductibles by validating paid options from 3 packs")</f>
        <v>The prices are low, the franchises high! But there is a possibility of choosing weaker deductibles by validating paid options from 3 packs</v>
      </c>
    </row>
    <row r="330" ht="15.75" customHeight="1">
      <c r="A330" s="2">
        <v>5.0</v>
      </c>
      <c r="B330" s="2" t="s">
        <v>1033</v>
      </c>
      <c r="C330" s="2" t="s">
        <v>1034</v>
      </c>
      <c r="D330" s="2" t="s">
        <v>48</v>
      </c>
      <c r="E330" s="2" t="s">
        <v>14</v>
      </c>
      <c r="F330" s="2" t="s">
        <v>15</v>
      </c>
      <c r="G330" s="2" t="s">
        <v>627</v>
      </c>
      <c r="H330" s="2" t="s">
        <v>164</v>
      </c>
      <c r="I330" s="2" t="str">
        <f>IFERROR(__xludf.DUMMYFUNCTION("GOOGLETRANSLATE(C330,""fr"",""en"")"),"I am satisfied with the DA my mp3 insurance contract and think that the replacement by the spyder will be at the same time
I have never had a claim for the moment so I can't say more.
")</f>
        <v>I am satisfied with the DA my mp3 insurance contract and think that the replacement by the spyder will be at the same time
I have never had a claim for the moment so I can't say more.
</v>
      </c>
    </row>
    <row r="331" ht="15.75" customHeight="1">
      <c r="A331" s="2">
        <v>5.0</v>
      </c>
      <c r="B331" s="2" t="s">
        <v>1035</v>
      </c>
      <c r="C331" s="2" t="s">
        <v>1036</v>
      </c>
      <c r="D331" s="2" t="s">
        <v>35</v>
      </c>
      <c r="E331" s="2" t="s">
        <v>20</v>
      </c>
      <c r="F331" s="2" t="s">
        <v>15</v>
      </c>
      <c r="G331" s="2" t="s">
        <v>646</v>
      </c>
      <c r="H331" s="2" t="s">
        <v>92</v>
      </c>
      <c r="I331" s="2" t="str">
        <f>IFERROR(__xludf.DUMMYFUNCTION("GOOGLETRANSLATE(C331,""fr"",""en"")"),"I am very satisfied with the service and the prices are very attractive. The contact by phone is very engaging. The process is simple and effective.")</f>
        <v>I am very satisfied with the service and the prices are very attractive. The contact by phone is very engaging. The process is simple and effective.</v>
      </c>
    </row>
    <row r="332" ht="15.75" customHeight="1">
      <c r="A332" s="2">
        <v>1.0</v>
      </c>
      <c r="B332" s="2" t="s">
        <v>1037</v>
      </c>
      <c r="C332" s="2" t="s">
        <v>1038</v>
      </c>
      <c r="D332" s="2" t="s">
        <v>35</v>
      </c>
      <c r="E332" s="2" t="s">
        <v>20</v>
      </c>
      <c r="F332" s="2" t="s">
        <v>15</v>
      </c>
      <c r="G332" s="2" t="s">
        <v>477</v>
      </c>
      <c r="H332" s="2" t="s">
        <v>53</v>
      </c>
      <c r="I332" s="2" t="str">
        <f>IFERROR(__xludf.DUMMYFUNCTION("GOOGLETRANSLATE(C332,""fr"",""en"")"),"Very disappointed at first glance the take are correct the first year the following year 50% increase on the premium of my two vehicles. A single non -responsible disaster in the year does not justify an increase of 50 for my two vehicles. So assurance to"&amp;" avoid because in the event of a non -responsible disaster it is you who take the super penalty")</f>
        <v>Very disappointed at first glance the take are correct the first year the following year 50% increase on the premium of my two vehicles. A single non -responsible disaster in the year does not justify an increase of 50 for my two vehicles. So assurance to avoid because in the event of a non -responsible disaster it is you who take the super penalty</v>
      </c>
    </row>
    <row r="333" ht="15.75" customHeight="1">
      <c r="A333" s="2">
        <v>3.0</v>
      </c>
      <c r="B333" s="2" t="s">
        <v>1039</v>
      </c>
      <c r="C333" s="2" t="s">
        <v>1040</v>
      </c>
      <c r="D333" s="2" t="s">
        <v>532</v>
      </c>
      <c r="E333" s="2" t="s">
        <v>214</v>
      </c>
      <c r="F333" s="2" t="s">
        <v>15</v>
      </c>
      <c r="G333" s="2" t="s">
        <v>1041</v>
      </c>
      <c r="H333" s="2" t="s">
        <v>561</v>
      </c>
      <c r="I333" s="2" t="str">
        <f>IFERROR(__xludf.DUMMYFUNCTION("GOOGLETRANSLATE(C333,""fr"",""en"")"),"3 deaths in 5 years with 3 times to manage life insurance left by the deceased and each time the same galley. Slow, delay in the treatment, requests of papers several times the same, staggered requests just to have the regulations dragged ... especially n"&amp;"ot to place money at home is a galley for the beneficiaries !!! No follow -up, to flee !!!")</f>
        <v>3 deaths in 5 years with 3 times to manage life insurance left by the deceased and each time the same galley. Slow, delay in the treatment, requests of papers several times the same, staggered requests just to have the regulations dragged ... especially not to place money at home is a galley for the beneficiaries !!! No follow -up, to flee !!!</v>
      </c>
    </row>
    <row r="334" ht="15.75" customHeight="1">
      <c r="A334" s="2">
        <v>5.0</v>
      </c>
      <c r="B334" s="2" t="s">
        <v>1042</v>
      </c>
      <c r="C334" s="2" t="s">
        <v>1043</v>
      </c>
      <c r="D334" s="2" t="s">
        <v>35</v>
      </c>
      <c r="E334" s="2" t="s">
        <v>20</v>
      </c>
      <c r="F334" s="2" t="s">
        <v>15</v>
      </c>
      <c r="G334" s="2" t="s">
        <v>1044</v>
      </c>
      <c r="H334" s="2" t="s">
        <v>131</v>
      </c>
      <c r="I334" s="2" t="str">
        <f>IFERROR(__xludf.DUMMYFUNCTION("GOOGLETRANSLATE(C334,""fr"",""en"")"),"Very warm telephone, clear explanations. It's perfect, very attractive rates, quick reception of the provisional green card. Signature of the online contract. In the top")</f>
        <v>Very warm telephone, clear explanations. It's perfect, very attractive rates, quick reception of the provisional green card. Signature of the online contract. In the top</v>
      </c>
    </row>
    <row r="335" ht="15.75" customHeight="1">
      <c r="A335" s="2">
        <v>5.0</v>
      </c>
      <c r="B335" s="2" t="s">
        <v>1045</v>
      </c>
      <c r="C335" s="2" t="s">
        <v>1046</v>
      </c>
      <c r="D335" s="2" t="s">
        <v>35</v>
      </c>
      <c r="E335" s="2" t="s">
        <v>20</v>
      </c>
      <c r="F335" s="2" t="s">
        <v>15</v>
      </c>
      <c r="G335" s="2" t="s">
        <v>872</v>
      </c>
      <c r="H335" s="2" t="s">
        <v>32</v>
      </c>
      <c r="I335" s="2" t="str">
        <f>IFERROR(__xludf.DUMMYFUNCTION("GOOGLETRANSLATE(C335,""fr"",""en"")"),"Everything is perfect to say. I will add that the advisor I had on the phone perfectly answered my questions and is very nice.")</f>
        <v>Everything is perfect to say. I will add that the advisor I had on the phone perfectly answered my questions and is very nice.</v>
      </c>
    </row>
    <row r="336" ht="15.75" customHeight="1">
      <c r="A336" s="2">
        <v>3.0</v>
      </c>
      <c r="B336" s="2" t="s">
        <v>1047</v>
      </c>
      <c r="C336" s="2" t="s">
        <v>1048</v>
      </c>
      <c r="D336" s="2" t="s">
        <v>35</v>
      </c>
      <c r="E336" s="2" t="s">
        <v>20</v>
      </c>
      <c r="F336" s="2" t="s">
        <v>15</v>
      </c>
      <c r="G336" s="2" t="s">
        <v>385</v>
      </c>
      <c r="H336" s="2" t="s">
        <v>92</v>
      </c>
      <c r="I336" s="2" t="str">
        <f>IFERROR(__xludf.DUMMYFUNCTION("GOOGLETRANSLATE(C336,""fr"",""en"")"),"The prices suit me and I am satisfied with the service. Simple and fast for an online subscription. The validation of the documents is made of quick way on the personal space.")</f>
        <v>The prices suit me and I am satisfied with the service. Simple and fast for an online subscription. The validation of the documents is made of quick way on the personal space.</v>
      </c>
    </row>
    <row r="337" ht="15.75" customHeight="1">
      <c r="A337" s="2">
        <v>2.0</v>
      </c>
      <c r="B337" s="2" t="s">
        <v>1049</v>
      </c>
      <c r="C337" s="2" t="s">
        <v>1050</v>
      </c>
      <c r="D337" s="2" t="s">
        <v>43</v>
      </c>
      <c r="E337" s="2" t="s">
        <v>122</v>
      </c>
      <c r="F337" s="2" t="s">
        <v>15</v>
      </c>
      <c r="G337" s="2" t="s">
        <v>1051</v>
      </c>
      <c r="H337" s="2" t="s">
        <v>168</v>
      </c>
      <c r="I337" s="2" t="str">
        <f>IFERROR(__xludf.DUMMYFUNCTION("GOOGLETRANSLATE(C337,""fr"",""en"")"),"Member for 50 years, I was generally satisfied with the GMF ... as long as it was a question of collecting the contributions. Following water damage, no one. Six months to send an expert. Compensation which does not cover all the work less the franchise. "&amp;"No customer service, no response to the phone, or mail letters. In short, this is the debacle! It is time to prospect to gradually migrate life insurance, homes and vehicles.")</f>
        <v>Member for 50 years, I was generally satisfied with the GMF ... as long as it was a question of collecting the contributions. Following water damage, no one. Six months to send an expert. Compensation which does not cover all the work less the franchise. No customer service, no response to the phone, or mail letters. In short, this is the debacle! It is time to prospect to gradually migrate life insurance, homes and vehicles.</v>
      </c>
    </row>
    <row r="338" ht="15.75" customHeight="1">
      <c r="A338" s="2">
        <v>1.0</v>
      </c>
      <c r="B338" s="2" t="s">
        <v>1052</v>
      </c>
      <c r="C338" s="2" t="s">
        <v>1053</v>
      </c>
      <c r="D338" s="2" t="s">
        <v>824</v>
      </c>
      <c r="E338" s="2" t="s">
        <v>30</v>
      </c>
      <c r="F338" s="2" t="s">
        <v>15</v>
      </c>
      <c r="G338" s="2" t="s">
        <v>1054</v>
      </c>
      <c r="H338" s="2" t="s">
        <v>97</v>
      </c>
      <c r="I338" s="2" t="str">
        <f>IFERROR(__xludf.DUMMYFUNCTION("GOOGLETRANSLATE(C338,""fr"",""en"")"),"A shame of the worst existing insurance in the world has really avoided 200 % percent has been for 6 months since January that we have reported the disease I made a terrible stroke at 36 years old and from the SOGECAP take pleasure To do just ask for miss"&amp;"ing parts every three weeks it asks for the bout-s-s-à-bout papers make you go in a watery we still arrive in mid-July that makes more than 6 months you are out of time !!!! you are Widely more than 3 months of deficiency you should know that a stroke doe"&amp;"s not plan they are on time for the samples I am also waiting for the GenePro insurance which does not know how to start before having the Real estate credit This insurance and his exorbitant surprises the head of my husband but I can assure you that neve"&amp;"r fell ill with it because it has become the real obstacle course I spend my life looking for papers call the security and Also at A L'Eller to the doctor because you have to stop looking for the needle in the hay boot you will not find it I am exasperate"&amp;"d by the way of doing things !! With this insurance that does everything to save time and not set up the insurance that we pay every month inadmissible !!!! I am revolter using all this circus !! 12 December 2017 BC 5 months of hopitale and not Gueri with"&amp;" irreversible sequelae we are July 9, 2018 Affairs !!!")</f>
        <v>A shame of the worst existing insurance in the world has really avoided 200 % percent has been for 6 months since January that we have reported the disease I made a terrible stroke at 36 years old and from the SOGECAP take pleasure To do just ask for missing parts every three weeks it asks for the bout-s-s-à-bout papers make you go in a watery we still arrive in mid-July that makes more than 6 months you are out of time !!!! you are Widely more than 3 months of deficiency you should know that a stroke does not plan they are on time for the samples I am also waiting for the GenePro insurance which does not know how to start before having the Real estate credit This insurance and his exorbitant surprises the head of my husband but I can assure you that never fell ill with it because it has become the real obstacle course I spend my life looking for papers call the security and Also at A L'Eller to the doctor because you have to stop looking for the needle in the hay boot you will not find it I am exasperated by the way of doing things !! With this insurance that does everything to save time and not set up the insurance that we pay every month inadmissible !!!! I am revolter using all this circus !! 12 December 2017 BC 5 months of hopitale and not Gueri with irreversible sequelae we are July 9, 2018 Affairs !!!</v>
      </c>
    </row>
    <row r="339" ht="15.75" customHeight="1">
      <c r="A339" s="2">
        <v>5.0</v>
      </c>
      <c r="B339" s="2" t="s">
        <v>1055</v>
      </c>
      <c r="C339" s="2" t="s">
        <v>1056</v>
      </c>
      <c r="D339" s="2" t="s">
        <v>19</v>
      </c>
      <c r="E339" s="2" t="s">
        <v>20</v>
      </c>
      <c r="F339" s="2" t="s">
        <v>15</v>
      </c>
      <c r="G339" s="2" t="s">
        <v>1057</v>
      </c>
      <c r="H339" s="2" t="s">
        <v>108</v>
      </c>
      <c r="I339" s="2" t="str">
        <f>IFERROR(__xludf.DUMMYFUNCTION("GOOGLETRANSLATE(C339,""fr"",""en"")"),"I am very satisfied
The tool is really simple intuitive and fast
The prices are more reasonable compared to my previous insurer.
I recommend.")</f>
        <v>I am very satisfied
The tool is really simple intuitive and fast
The prices are more reasonable compared to my previous insurer.
I recommend.</v>
      </c>
    </row>
    <row r="340" ht="15.75" customHeight="1">
      <c r="A340" s="2">
        <v>3.0</v>
      </c>
      <c r="B340" s="2" t="s">
        <v>1058</v>
      </c>
      <c r="C340" s="2" t="s">
        <v>1059</v>
      </c>
      <c r="D340" s="2" t="s">
        <v>19</v>
      </c>
      <c r="E340" s="2" t="s">
        <v>20</v>
      </c>
      <c r="F340" s="2" t="s">
        <v>15</v>
      </c>
      <c r="G340" s="2" t="s">
        <v>1060</v>
      </c>
      <c r="H340" s="2" t="s">
        <v>74</v>
      </c>
      <c r="I340" s="2" t="str">
        <f>IFERROR(__xludf.DUMMYFUNCTION("GOOGLETRANSLATE(C340,""fr"",""en"")"),"Your services suit me but I am not sure that the price still satisfies me by what you do not update the price of already members of customers! In addition, you did not give me any commercial gesture for the containment period or my vehicle was no longer r"&amp;"olling out so no risk. !")</f>
        <v>Your services suit me but I am not sure that the price still satisfies me by what you do not update the price of already members of customers! In addition, you did not give me any commercial gesture for the containment period or my vehicle was no longer rolling out so no risk. !</v>
      </c>
    </row>
    <row r="341" ht="15.75" customHeight="1">
      <c r="A341" s="2">
        <v>5.0</v>
      </c>
      <c r="B341" s="2" t="s">
        <v>1061</v>
      </c>
      <c r="C341" s="2" t="s">
        <v>1062</v>
      </c>
      <c r="D341" s="2" t="s">
        <v>35</v>
      </c>
      <c r="E341" s="2" t="s">
        <v>20</v>
      </c>
      <c r="F341" s="2" t="s">
        <v>15</v>
      </c>
      <c r="G341" s="2" t="s">
        <v>1063</v>
      </c>
      <c r="H341" s="2" t="s">
        <v>164</v>
      </c>
      <c r="I341" s="2" t="str">
        <f>IFERROR(__xludf.DUMMYFUNCTION("GOOGLETRANSLATE(C341,""fr"",""en"")"),"Satisfied with the subscription telephone service, excellent contact. Interesting prices, cheaper than in many companies that have no additional service.")</f>
        <v>Satisfied with the subscription telephone service, excellent contact. Interesting prices, cheaper than in many companies that have no additional service.</v>
      </c>
    </row>
    <row r="342" ht="15.75" customHeight="1">
      <c r="A342" s="2">
        <v>2.0</v>
      </c>
      <c r="B342" s="2" t="s">
        <v>1064</v>
      </c>
      <c r="C342" s="2" t="s">
        <v>1065</v>
      </c>
      <c r="D342" s="2" t="s">
        <v>24</v>
      </c>
      <c r="E342" s="2" t="s">
        <v>20</v>
      </c>
      <c r="F342" s="2" t="s">
        <v>15</v>
      </c>
      <c r="G342" s="2" t="s">
        <v>1066</v>
      </c>
      <c r="H342" s="2" t="s">
        <v>714</v>
      </c>
      <c r="I342" s="2" t="str">
        <f>IFERROR(__xludf.DUMMYFUNCTION("GOOGLETRANSLATE(C342,""fr"",""en"")"),"Very hard to receive the information statement after several phone calls not yet arrived at 8 days nothing it is your feet to send you to make sure it is quick but the opposite is not serious")</f>
        <v>Very hard to receive the information statement after several phone calls not yet arrived at 8 days nothing it is your feet to send you to make sure it is quick but the opposite is not serious</v>
      </c>
    </row>
    <row r="343" ht="15.75" customHeight="1">
      <c r="A343" s="2">
        <v>3.0</v>
      </c>
      <c r="B343" s="2" t="s">
        <v>1067</v>
      </c>
      <c r="C343" s="2" t="s">
        <v>1068</v>
      </c>
      <c r="D343" s="2" t="s">
        <v>19</v>
      </c>
      <c r="E343" s="2" t="s">
        <v>20</v>
      </c>
      <c r="F343" s="2" t="s">
        <v>15</v>
      </c>
      <c r="G343" s="2" t="s">
        <v>1069</v>
      </c>
      <c r="H343" s="2" t="s">
        <v>83</v>
      </c>
      <c r="I343" s="2" t="str">
        <f>IFERROR(__xludf.DUMMYFUNCTION("GOOGLETRANSLATE(C343,""fr"",""en"")"),"I am quite satisfied ... Quite affordable price, I can't wait to know how it will happen with this insurance concerning my first car")</f>
        <v>I am quite satisfied ... Quite affordable price, I can't wait to know how it will happen with this insurance concerning my first car</v>
      </c>
    </row>
    <row r="344" ht="15.75" customHeight="1">
      <c r="A344" s="2">
        <v>4.0</v>
      </c>
      <c r="B344" s="2" t="s">
        <v>1070</v>
      </c>
      <c r="C344" s="2" t="s">
        <v>1071</v>
      </c>
      <c r="D344" s="2" t="s">
        <v>19</v>
      </c>
      <c r="E344" s="2" t="s">
        <v>20</v>
      </c>
      <c r="F344" s="2" t="s">
        <v>15</v>
      </c>
      <c r="G344" s="2" t="s">
        <v>232</v>
      </c>
      <c r="H344" s="2" t="s">
        <v>21</v>
      </c>
      <c r="I344" s="2" t="str">
        <f>IFERROR(__xludf.DUMMYFUNCTION("GOOGLETRANSLATE(C344,""fr"",""en"")"),"Hello,
I do not recommend taking out at home, the 1st year the price is correct, the second I received (04/02/2021) a very strong increase,
So compared to that I decide to terminate the contract immediately from 01/03/2021 (date of maturity of the contr"&amp;"act) by registered mail,
On 02/17/2021 I receive a confirmation of termination by email, I tell myself that it is good what is done,
To my unpleasant surprise, today 05/03/2021 I am taken from the annual subscription for the year 03/01/21 to 02/28/2022 "&amp;"despite the termination of the contract (if I had known I would have blocked any sample)
Basically I am no longer insured with them but I have to pay the year!? For the moment I am deadlocked, I have tried to contact them by phone but they do not answe"&amp;"r (an error occurred please try again)
Cordially.
")</f>
        <v>Hello,
I do not recommend taking out at home, the 1st year the price is correct, the second I received (04/02/2021) a very strong increase,
So compared to that I decide to terminate the contract immediately from 01/03/2021 (date of maturity of the contract) by registered mail,
On 02/17/2021 I receive a confirmation of termination by email, I tell myself that it is good what is done,
To my unpleasant surprise, today 05/03/2021 I am taken from the annual subscription for the year 03/01/21 to 02/28/2022 despite the termination of the contract (if I had known I would have blocked any sample)
Basically I am no longer insured with them but I have to pay the year!? For the moment I am deadlocked, I have tried to contact them by phone but they do not answer (an error occurred please try again)
Cordially.
</v>
      </c>
    </row>
    <row r="345" ht="15.75" customHeight="1">
      <c r="A345" s="2">
        <v>2.0</v>
      </c>
      <c r="B345" s="2" t="s">
        <v>1072</v>
      </c>
      <c r="C345" s="2" t="s">
        <v>1073</v>
      </c>
      <c r="D345" s="2" t="s">
        <v>1014</v>
      </c>
      <c r="E345" s="2" t="s">
        <v>122</v>
      </c>
      <c r="F345" s="2" t="s">
        <v>15</v>
      </c>
      <c r="G345" s="2" t="s">
        <v>1074</v>
      </c>
      <c r="H345" s="2" t="s">
        <v>26</v>
      </c>
      <c r="I345" s="2" t="str">
        <f>IFERROR(__xludf.DUMMYFUNCTION("GOOGLETRANSLATE(C345,""fr"",""en"")"),"Please note in the event of a disaster for non -responsible civil liability, they pay a franchisee which is reimbursed only to us if they are reimbursed by opposing insurance. A real joke This ""insurer"", being an insurer is a job.")</f>
        <v>Please note in the event of a disaster for non -responsible civil liability, they pay a franchisee which is reimbursed only to us if they are reimbursed by opposing insurance. A real joke This "insurer", being an insurer is a job.</v>
      </c>
    </row>
    <row r="346" ht="15.75" customHeight="1">
      <c r="A346" s="2">
        <v>2.0</v>
      </c>
      <c r="B346" s="2" t="s">
        <v>1075</v>
      </c>
      <c r="C346" s="2" t="s">
        <v>1076</v>
      </c>
      <c r="D346" s="2" t="s">
        <v>366</v>
      </c>
      <c r="E346" s="2" t="s">
        <v>20</v>
      </c>
      <c r="F346" s="2" t="s">
        <v>15</v>
      </c>
      <c r="G346" s="2" t="s">
        <v>986</v>
      </c>
      <c r="H346" s="2" t="s">
        <v>79</v>
      </c>
      <c r="I346" s="2" t="str">
        <f>IFERROR(__xludf.DUMMYFUNCTION("GOOGLETRANSLATE(C346,""fr"",""en"")"),"Unhappy with customer service.
Impossible to join you most of the time and I am told that C because of the new alliance, a task force which has no competent ... It is not my problem.
I send an email + message via my customer account, no answer for 3 wee"&amp;"ks and c me who must call?
I plan to change insurer.
Cordially
Michel Hardy (36358428)")</f>
        <v>Unhappy with customer service.
Impossible to join you most of the time and I am told that C because of the new alliance, a task force which has no competent ... It is not my problem.
I send an email + message via my customer account, no answer for 3 weeks and c me who must call?
I plan to change insurer.
Cordially
Michel Hardy (36358428)</v>
      </c>
    </row>
    <row r="347" ht="15.75" customHeight="1">
      <c r="A347" s="2">
        <v>1.0</v>
      </c>
      <c r="B347" s="2" t="s">
        <v>1077</v>
      </c>
      <c r="C347" s="2" t="s">
        <v>1078</v>
      </c>
      <c r="D347" s="2" t="s">
        <v>56</v>
      </c>
      <c r="E347" s="2" t="s">
        <v>122</v>
      </c>
      <c r="F347" s="2" t="s">
        <v>15</v>
      </c>
      <c r="G347" s="2" t="s">
        <v>421</v>
      </c>
      <c r="H347" s="2" t="s">
        <v>422</v>
      </c>
      <c r="I347" s="2" t="str">
        <f>IFERROR(__xludf.DUMMYFUNCTION("GOOGLETRANSLATE(C347,""fr"",""en"")"),"Despite the letter of insurance termination following the delivery of the keys to the rented property made on July 20 Pacifica always withdraws me the monthly payment and we are in November")</f>
        <v>Despite the letter of insurance termination following the delivery of the keys to the rented property made on July 20 Pacifica always withdraws me the monthly payment and we are in November</v>
      </c>
    </row>
    <row r="348" ht="15.75" customHeight="1">
      <c r="A348" s="2">
        <v>4.0</v>
      </c>
      <c r="B348" s="2" t="s">
        <v>1079</v>
      </c>
      <c r="C348" s="2" t="s">
        <v>1080</v>
      </c>
      <c r="D348" s="2" t="s">
        <v>193</v>
      </c>
      <c r="E348" s="2" t="s">
        <v>20</v>
      </c>
      <c r="F348" s="2" t="s">
        <v>15</v>
      </c>
      <c r="G348" s="2" t="s">
        <v>1081</v>
      </c>
      <c r="H348" s="2" t="s">
        <v>45</v>
      </c>
      <c r="I348" s="2" t="str">
        <f>IFERROR(__xludf.DUMMYFUNCTION("GOOGLETRANSLATE(C348,""fr"",""en"")"),"Matmut very good insurance. I have 4 contracts and no problem. I do not change. I would of course recommend Matmut to all those who are interested.")</f>
        <v>Matmut very good insurance. I have 4 contracts and no problem. I do not change. I would of course recommend Matmut to all those who are interested.</v>
      </c>
    </row>
    <row r="349" ht="15.75" customHeight="1">
      <c r="A349" s="2">
        <v>4.0</v>
      </c>
      <c r="B349" s="2" t="s">
        <v>1082</v>
      </c>
      <c r="C349" s="2" t="s">
        <v>1083</v>
      </c>
      <c r="D349" s="2" t="s">
        <v>43</v>
      </c>
      <c r="E349" s="2" t="s">
        <v>20</v>
      </c>
      <c r="F349" s="2" t="s">
        <v>15</v>
      </c>
      <c r="G349" s="2" t="s">
        <v>1084</v>
      </c>
      <c r="H349" s="2" t="s">
        <v>108</v>
      </c>
      <c r="I349" s="2" t="str">
        <f>IFERROR(__xludf.DUMMYFUNCTION("GOOGLETRANSLATE(C349,""fr"",""en"")"),"I am satisfied that it is for prices or services.
When I call for information or membership I always have a very competent person online")</f>
        <v>I am satisfied that it is for prices or services.
When I call for information or membership I always have a very competent person online</v>
      </c>
    </row>
    <row r="350" ht="15.75" customHeight="1">
      <c r="A350" s="2">
        <v>1.0</v>
      </c>
      <c r="B350" s="2" t="s">
        <v>1085</v>
      </c>
      <c r="C350" s="2" t="s">
        <v>1086</v>
      </c>
      <c r="D350" s="2" t="s">
        <v>378</v>
      </c>
      <c r="E350" s="2" t="s">
        <v>61</v>
      </c>
      <c r="F350" s="2" t="s">
        <v>15</v>
      </c>
      <c r="G350" s="2" t="s">
        <v>1087</v>
      </c>
      <c r="H350" s="2" t="s">
        <v>260</v>
      </c>
      <c r="I350" s="2" t="str">
        <f>IFERROR(__xludf.DUMMYFUNCTION("GOOGLETRANSLATE(C350,""fr"",""en"")"),"9 months to walk me from services in services, from phone calls to phone calls, tons of mail sent to reimburse me several hundred euros ...
I had to go to make bad advertising on Facebook to make them react.
To flee !")</f>
        <v>9 months to walk me from services in services, from phone calls to phone calls, tons of mail sent to reimburse me several hundred euros ...
I had to go to make bad advertising on Facebook to make them react.
To flee !</v>
      </c>
    </row>
    <row r="351" ht="15.75" customHeight="1">
      <c r="A351" s="2">
        <v>1.0</v>
      </c>
      <c r="B351" s="2" t="s">
        <v>1088</v>
      </c>
      <c r="C351" s="2" t="s">
        <v>1089</v>
      </c>
      <c r="D351" s="2" t="s">
        <v>100</v>
      </c>
      <c r="E351" s="2" t="s">
        <v>20</v>
      </c>
      <c r="F351" s="2" t="s">
        <v>15</v>
      </c>
      <c r="G351" s="2" t="s">
        <v>246</v>
      </c>
      <c r="H351" s="2" t="s">
        <v>247</v>
      </c>
      <c r="I351" s="2" t="str">
        <f>IFERROR(__xludf.DUMMYFUNCTION("GOOGLETRANSLATE(C351,""fr"",""en"")"),"For 15 days Subscription of an automotive contract
In my internet approach I make an error on the registration of the vehicle the next day I Call customer service for rectification but no way to correct 2 days after I send an email with the exact registr"&amp;"ation I then receive a certificate with the right registration but no DATEE therefore not valid 3 days ago I scan my new gray card and I receive this day an insurance certificate with the old registration not valid is to tell you the level of incompetence"&amp;" of the company this day I send in the gray card Definitive in my opinion avoid this personal company I will see the appeals before so much negligence this day control gendarmerie and no insurance paper to nearby that be in rules I keep hope I have until "&amp;"Monday to present the police Datee certificate with the right registration
In Rèsumè 6 mails 3 Telephonic calls and nothing which proves that I am assured to Fuy before it is too late by prudence I gave all my èchange with this societè on my advice if we"&amp;" have papers oligations to provide the company insurance must provide certificates incorporating the characteristics of the vehicle")</f>
        <v>For 15 days Subscription of an automotive contract
In my internet approach I make an error on the registration of the vehicle the next day I Call customer service for rectification but no way to correct 2 days after I send an email with the exact registration I then receive a certificate with the right registration but no DATEE therefore not valid 3 days ago I scan my new gray card and I receive this day an insurance certificate with the old registration not valid is to tell you the level of incompetence of the company this day I send in the gray card Definitive in my opinion avoid this personal company I will see the appeals before so much negligence this day control gendarmerie and no insurance paper to nearby that be in rules I keep hope I have until Monday to present the police Datee certificate with the right registration
In Rèsumè 6 mails 3 Telephonic calls and nothing which proves that I am assured to Fuy before it is too late by prudence I gave all my èchange with this societè on my advice if we have papers oligations to provide the company insurance must provide certificates incorporating the characteristics of the vehicle</v>
      </c>
    </row>
    <row r="352" ht="15.75" customHeight="1">
      <c r="A352" s="2">
        <v>5.0</v>
      </c>
      <c r="B352" s="2" t="s">
        <v>1090</v>
      </c>
      <c r="C352" s="2" t="s">
        <v>1091</v>
      </c>
      <c r="D352" s="2" t="s">
        <v>245</v>
      </c>
      <c r="E352" s="2" t="s">
        <v>61</v>
      </c>
      <c r="F352" s="2" t="s">
        <v>15</v>
      </c>
      <c r="G352" s="2" t="s">
        <v>593</v>
      </c>
      <c r="H352" s="2" t="s">
        <v>108</v>
      </c>
      <c r="I352" s="2" t="str">
        <f>IFERROR(__xludf.DUMMYFUNCTION("GOOGLETRANSLATE(C352,""fr"",""en"")"),"Very happy with the welcome I had with Rawane a good advisor he helped me to send you the missing documents to my file ?? In 2 movement its summer is very good for the company thank you again
")</f>
        <v>Very happy with the welcome I had with Rawane a good advisor he helped me to send you the missing documents to my file ?? In 2 movement its summer is very good for the company thank you again
</v>
      </c>
    </row>
    <row r="353" ht="15.75" customHeight="1">
      <c r="A353" s="2">
        <v>4.0</v>
      </c>
      <c r="B353" s="2" t="s">
        <v>1092</v>
      </c>
      <c r="C353" s="2" t="s">
        <v>1093</v>
      </c>
      <c r="D353" s="2" t="s">
        <v>19</v>
      </c>
      <c r="E353" s="2" t="s">
        <v>20</v>
      </c>
      <c r="F353" s="2" t="s">
        <v>15</v>
      </c>
      <c r="G353" s="2" t="s">
        <v>91</v>
      </c>
      <c r="H353" s="2" t="s">
        <v>92</v>
      </c>
      <c r="I353" s="2" t="str">
        <f>IFERROR(__xludf.DUMMYFUNCTION("GOOGLETRANSLATE(C353,""fr"",""en"")"),"I am satisfied with prices, customer service. I haven't been in contact with you much but I have nothing to blame. I recommend direct insurance")</f>
        <v>I am satisfied with prices, customer service. I haven't been in contact with you much but I have nothing to blame. I recommend direct insurance</v>
      </c>
    </row>
    <row r="354" ht="15.75" customHeight="1">
      <c r="A354" s="2">
        <v>4.0</v>
      </c>
      <c r="B354" s="2" t="s">
        <v>1094</v>
      </c>
      <c r="C354" s="2" t="s">
        <v>1095</v>
      </c>
      <c r="D354" s="2" t="s">
        <v>254</v>
      </c>
      <c r="E354" s="2" t="s">
        <v>61</v>
      </c>
      <c r="F354" s="2" t="s">
        <v>15</v>
      </c>
      <c r="G354" s="2" t="s">
        <v>341</v>
      </c>
      <c r="H354" s="2" t="s">
        <v>45</v>
      </c>
      <c r="I354" s="2" t="str">
        <f>IFERROR(__xludf.DUMMYFUNCTION("GOOGLETRANSLATE(C354,""fr"",""en"")"),"members since I entered the police (53 years) I have to undergo (for the moment) a knee equipment, the person I had on the phone (Isabelle) informed me very well, about the various administrative problems , I am very satisfied with it and that in calm and"&amp;" kindness please thank her
                                                                                  Daniel Villardry")</f>
        <v>members since I entered the police (53 years) I have to undergo (for the moment) a knee equipment, the person I had on the phone (Isabelle) informed me very well, about the various administrative problems , I am very satisfied with it and that in calm and kindness please thank her
                                                                                  Daniel Villardry</v>
      </c>
    </row>
    <row r="355" ht="15.75" customHeight="1">
      <c r="A355" s="2">
        <v>4.0</v>
      </c>
      <c r="B355" s="2" t="s">
        <v>1096</v>
      </c>
      <c r="C355" s="2" t="s">
        <v>1097</v>
      </c>
      <c r="D355" s="2" t="s">
        <v>35</v>
      </c>
      <c r="E355" s="2" t="s">
        <v>20</v>
      </c>
      <c r="F355" s="2" t="s">
        <v>15</v>
      </c>
      <c r="G355" s="2" t="s">
        <v>1098</v>
      </c>
      <c r="H355" s="2" t="s">
        <v>860</v>
      </c>
      <c r="I355" s="2" t="str">
        <f>IFERROR(__xludf.DUMMYFUNCTION("GOOGLETRANSLATE(C355,""fr"",""en"")"),"Super insurance always super reactive never a problem and people at the top and always very good advice and listening no longer hesitates it is there better assurance all confused")</f>
        <v>Super insurance always super reactive never a problem and people at the top and always very good advice and listening no longer hesitates it is there better assurance all confused</v>
      </c>
    </row>
    <row r="356" ht="15.75" customHeight="1">
      <c r="A356" s="2">
        <v>4.0</v>
      </c>
      <c r="B356" s="2" t="s">
        <v>1099</v>
      </c>
      <c r="C356" s="2" t="s">
        <v>1100</v>
      </c>
      <c r="D356" s="2" t="s">
        <v>254</v>
      </c>
      <c r="E356" s="2" t="s">
        <v>61</v>
      </c>
      <c r="F356" s="2" t="s">
        <v>15</v>
      </c>
      <c r="G356" s="2" t="s">
        <v>1101</v>
      </c>
      <c r="H356" s="2" t="s">
        <v>79</v>
      </c>
      <c r="I356" s="2" t="str">
        <f>IFERROR(__xludf.DUMMYFUNCTION("GOOGLETRANSLATE(C356,""fr"",""en"")"),"The Mutual General of the Police is a very very good mutual insurance for listening and near its members thanks to its delegates and its proximity offices. In addition, provident, loss of salary, Contracts Dependence contract, Death and Aid, etc. allow yo"&amp;"u to have coverage according to your needs and maximum. Quick reimbursements have made an excellent mutual in despite its price.")</f>
        <v>The Mutual General of the Police is a very very good mutual insurance for listening and near its members thanks to its delegates and its proximity offices. In addition, provident, loss of salary, Contracts Dependence contract, Death and Aid, etc. allow you to have coverage according to your needs and maximum. Quick reimbursements have made an excellent mutual in despite its price.</v>
      </c>
    </row>
    <row r="357" ht="15.75" customHeight="1">
      <c r="A357" s="2">
        <v>5.0</v>
      </c>
      <c r="B357" s="2" t="s">
        <v>1102</v>
      </c>
      <c r="C357" s="2" t="s">
        <v>1103</v>
      </c>
      <c r="D357" s="2" t="s">
        <v>19</v>
      </c>
      <c r="E357" s="2" t="s">
        <v>20</v>
      </c>
      <c r="F357" s="2" t="s">
        <v>15</v>
      </c>
      <c r="G357" s="2" t="s">
        <v>962</v>
      </c>
      <c r="H357" s="2" t="s">
        <v>108</v>
      </c>
      <c r="I357" s="2" t="str">
        <f>IFERROR(__xludf.DUMMYFUNCTION("GOOGLETRANSLATE(C357,""fr"",""en"")"),"Half price compared to my old insurance. Perfect! This is the first time at Direct Insurance, we'll see what it looks like. Simple and quick inscription.")</f>
        <v>Half price compared to my old insurance. Perfect! This is the first time at Direct Insurance, we'll see what it looks like. Simple and quick inscription.</v>
      </c>
    </row>
    <row r="358" ht="15.75" customHeight="1">
      <c r="A358" s="2">
        <v>4.0</v>
      </c>
      <c r="B358" s="2" t="s">
        <v>1104</v>
      </c>
      <c r="C358" s="2" t="s">
        <v>1105</v>
      </c>
      <c r="D358" s="2" t="s">
        <v>19</v>
      </c>
      <c r="E358" s="2" t="s">
        <v>20</v>
      </c>
      <c r="F358" s="2" t="s">
        <v>15</v>
      </c>
      <c r="G358" s="2" t="s">
        <v>1106</v>
      </c>
      <c r="H358" s="2" t="s">
        <v>108</v>
      </c>
      <c r="I358" s="2" t="str">
        <f>IFERROR(__xludf.DUMMYFUNCTION("GOOGLETRANSLATE(C358,""fr"",""en"")"),"My opinion on Direct Insurance is as follows:
The prices suit me, they are affordable.
Satisfied with your online services.
Thanks to Direct Assurance.
     ")</f>
        <v>My opinion on Direct Insurance is as follows:
The prices suit me, they are affordable.
Satisfied with your online services.
Thanks to Direct Assurance.
     </v>
      </c>
    </row>
    <row r="359" ht="15.75" customHeight="1">
      <c r="A359" s="2">
        <v>3.0</v>
      </c>
      <c r="B359" s="2" t="s">
        <v>1107</v>
      </c>
      <c r="C359" s="2" t="s">
        <v>1108</v>
      </c>
      <c r="D359" s="2" t="s">
        <v>56</v>
      </c>
      <c r="E359" s="2" t="s">
        <v>20</v>
      </c>
      <c r="F359" s="2" t="s">
        <v>15</v>
      </c>
      <c r="G359" s="2" t="s">
        <v>1109</v>
      </c>
      <c r="H359" s="2" t="s">
        <v>239</v>
      </c>
      <c r="I359" s="2" t="str">
        <f>IFERROR(__xludf.DUMMYFUNCTION("GOOGLETRANSLATE(C359,""fr"",""en"")"),"I have 14 contracts and I am not at all happy it is my bank which made me subscribe everything it is contract because I am obsolete in loss of rent insurance he abuses their position in the landoners")</f>
        <v>I have 14 contracts and I am not at all happy it is my bank which made me subscribe everything it is contract because I am obsolete in loss of rent insurance he abuses their position in the landoners</v>
      </c>
    </row>
    <row r="360" ht="15.75" customHeight="1">
      <c r="A360" s="2">
        <v>1.0</v>
      </c>
      <c r="B360" s="2" t="s">
        <v>1110</v>
      </c>
      <c r="C360" s="2" t="s">
        <v>1111</v>
      </c>
      <c r="D360" s="2" t="s">
        <v>285</v>
      </c>
      <c r="E360" s="2" t="s">
        <v>122</v>
      </c>
      <c r="F360" s="2" t="s">
        <v>15</v>
      </c>
      <c r="G360" s="2" t="s">
        <v>1112</v>
      </c>
      <c r="H360" s="2" t="s">
        <v>1113</v>
      </c>
      <c r="I360" s="2" t="str">
        <f>IFERROR(__xludf.DUMMYFUNCTION("GOOGLETRANSLATE(C360,""fr"",""en"")"),"At the legal level it is zero, before taking the home insurance I took an appointment at an agency to find out if it would help me if the bank which owes me interests does not pay me, the answer was yes if You have not initiated a procedure, so I assure m"&amp;"y house with them and a few weeks later I ask them for help because the bank does not pay me. And stupor legal insurance does not work because supposedly I knew there was a dispute, so bad faith on their part so as not to intervene and just cash the contr"&amp;"ibutions!")</f>
        <v>At the legal level it is zero, before taking the home insurance I took an appointment at an agency to find out if it would help me if the bank which owes me interests does not pay me, the answer was yes if You have not initiated a procedure, so I assure my house with them and a few weeks later I ask them for help because the bank does not pay me. And stupor legal insurance does not work because supposedly I knew there was a dispute, so bad faith on their part so as not to intervene and just cash the contributions!</v>
      </c>
    </row>
    <row r="361" ht="15.75" customHeight="1">
      <c r="A361" s="2">
        <v>3.0</v>
      </c>
      <c r="B361" s="2" t="s">
        <v>1114</v>
      </c>
      <c r="C361" s="2" t="s">
        <v>1115</v>
      </c>
      <c r="D361" s="2" t="s">
        <v>56</v>
      </c>
      <c r="E361" s="2" t="s">
        <v>122</v>
      </c>
      <c r="F361" s="2" t="s">
        <v>15</v>
      </c>
      <c r="G361" s="2" t="s">
        <v>1116</v>
      </c>
      <c r="H361" s="2" t="s">
        <v>202</v>
      </c>
      <c r="I361" s="2" t="str">
        <f>IFERROR(__xludf.DUMMYFUNCTION("GOOGLETRANSLATE(C361,""fr"",""en"")"),"No respect for customers, termination in progress for my three contracts and soon the 4th because the care that was planned have not been respected at Autan for home insurance than life accidents.
Insurance to flee and above all let those who do not know"&amp;" never to ensure.")</f>
        <v>No respect for customers, termination in progress for my three contracts and soon the 4th because the care that was planned have not been respected at Autan for home insurance than life accidents.
Insurance to flee and above all let those who do not know never to ensure.</v>
      </c>
    </row>
    <row r="362" ht="15.75" customHeight="1">
      <c r="A362" s="2">
        <v>1.0</v>
      </c>
      <c r="B362" s="2" t="s">
        <v>1117</v>
      </c>
      <c r="C362" s="2" t="s">
        <v>1118</v>
      </c>
      <c r="D362" s="2" t="s">
        <v>56</v>
      </c>
      <c r="E362" s="2" t="s">
        <v>20</v>
      </c>
      <c r="F362" s="2" t="s">
        <v>15</v>
      </c>
      <c r="G362" s="2" t="s">
        <v>406</v>
      </c>
      <c r="H362" s="2" t="s">
        <v>21</v>
      </c>
      <c r="I362" s="2" t="str">
        <f>IFERROR(__xludf.DUMMYFUNCTION("GOOGLETRANSLATE(C362,""fr"",""en"")"),"They want your money nothing more.
The day you break down there is no point in calling them.
The worst experience of my life.
No contact to answer you")</f>
        <v>They want your money nothing more.
The day you break down there is no point in calling them.
The worst experience of my life.
No contact to answer you</v>
      </c>
    </row>
    <row r="363" ht="15.75" customHeight="1">
      <c r="A363" s="2">
        <v>1.0</v>
      </c>
      <c r="B363" s="2" t="s">
        <v>1119</v>
      </c>
      <c r="C363" s="2" t="s">
        <v>1120</v>
      </c>
      <c r="D363" s="2" t="s">
        <v>19</v>
      </c>
      <c r="E363" s="2" t="s">
        <v>20</v>
      </c>
      <c r="F363" s="2" t="s">
        <v>15</v>
      </c>
      <c r="G363" s="2" t="s">
        <v>1121</v>
      </c>
      <c r="H363" s="2" t="s">
        <v>21</v>
      </c>
      <c r="I363" s="2" t="str">
        <f>IFERROR(__xludf.DUMMYFUNCTION("GOOGLETRANSLATE(C363,""fr"",""en"")"),"The price of insurance increases this year when I did not commit a claim and with successive confinements I have not almost rolled and the value of my vehicle has decreased in one year")</f>
        <v>The price of insurance increases this year when I did not commit a claim and with successive confinements I have not almost rolled and the value of my vehicle has decreased in one year</v>
      </c>
    </row>
    <row r="364" ht="15.75" customHeight="1">
      <c r="A364" s="2">
        <v>5.0</v>
      </c>
      <c r="B364" s="2" t="s">
        <v>1122</v>
      </c>
      <c r="C364" s="2" t="s">
        <v>1123</v>
      </c>
      <c r="D364" s="2" t="s">
        <v>19</v>
      </c>
      <c r="E364" s="2" t="s">
        <v>20</v>
      </c>
      <c r="F364" s="2" t="s">
        <v>15</v>
      </c>
      <c r="G364" s="2" t="s">
        <v>618</v>
      </c>
      <c r="H364" s="2" t="s">
        <v>92</v>
      </c>
      <c r="I364" s="2" t="str">
        <f>IFERROR(__xludf.DUMMYFUNCTION("GOOGLETRANSLATE(C364,""fr"",""en"")"),"I am satisfied with prices (best on the market), service, facilitate it to use the site and the ease of completing the file to validate insurance.")</f>
        <v>I am satisfied with prices (best on the market), service, facilitate it to use the site and the ease of completing the file to validate insurance.</v>
      </c>
    </row>
    <row r="365" ht="15.75" customHeight="1">
      <c r="A365" s="2">
        <v>1.0</v>
      </c>
      <c r="B365" s="2" t="s">
        <v>1124</v>
      </c>
      <c r="C365" s="2" t="s">
        <v>1125</v>
      </c>
      <c r="D365" s="2" t="s">
        <v>19</v>
      </c>
      <c r="E365" s="2" t="s">
        <v>20</v>
      </c>
      <c r="F365" s="2" t="s">
        <v>15</v>
      </c>
      <c r="G365" s="2" t="s">
        <v>576</v>
      </c>
      <c r="H365" s="2" t="s">
        <v>247</v>
      </c>
      <c r="I365" s="2" t="str">
        <f>IFERROR(__xludf.DUMMYFUNCTION("GOOGLETRANSLATE(C365,""fr"",""en"")"),"Upon subscription in 2017: 284.46 and I have just received for 2018: 342.29; and no accident at my wrongs! Attractive price at the start, I am very discreet in direct insurance, I will make quotes elsewhere!
No one around me has increased an increase in "&amp;"his insurer such as!")</f>
        <v>Upon subscription in 2017: 284.46 and I have just received for 2018: 342.29; and no accident at my wrongs! Attractive price at the start, I am very discreet in direct insurance, I will make quotes elsewhere!
No one around me has increased an increase in his insurer such as!</v>
      </c>
    </row>
    <row r="366" ht="15.75" customHeight="1">
      <c r="A366" s="2">
        <v>2.0</v>
      </c>
      <c r="B366" s="2" t="s">
        <v>1126</v>
      </c>
      <c r="C366" s="2" t="s">
        <v>1127</v>
      </c>
      <c r="D366" s="2" t="s">
        <v>56</v>
      </c>
      <c r="E366" s="2" t="s">
        <v>122</v>
      </c>
      <c r="F366" s="2" t="s">
        <v>15</v>
      </c>
      <c r="G366" s="2" t="s">
        <v>1128</v>
      </c>
      <c r="H366" s="2" t="s">
        <v>260</v>
      </c>
      <c r="I366" s="2" t="str">
        <f>IFERROR(__xludf.DUMMYFUNCTION("GOOGLETRANSLATE(C366,""fr"",""en"")"),"No insurance takes care of nothing and in addition you have to pay deductibles for me 0 insurance levels has been twice in a row that it grille2")</f>
        <v>No insurance takes care of nothing and in addition you have to pay deductibles for me 0 insurance levels has been twice in a row that it grille2</v>
      </c>
    </row>
    <row r="367" ht="15.75" customHeight="1">
      <c r="A367" s="2">
        <v>3.0</v>
      </c>
      <c r="B367" s="2" t="s">
        <v>1129</v>
      </c>
      <c r="C367" s="2" t="s">
        <v>1130</v>
      </c>
      <c r="D367" s="2" t="s">
        <v>171</v>
      </c>
      <c r="E367" s="2" t="s">
        <v>14</v>
      </c>
      <c r="F367" s="2" t="s">
        <v>15</v>
      </c>
      <c r="G367" s="2" t="s">
        <v>1131</v>
      </c>
      <c r="H367" s="2" t="s">
        <v>45</v>
      </c>
      <c r="I367" s="2" t="str">
        <f>IFERROR(__xludf.DUMMYFUNCTION("GOOGLETRANSLATE(C367,""fr"",""en"")"),"Satisfied with this information and subscription Thank you for everything I would recommend your insurance to my parents and friends thank you cordially Mr Petitdemange")</f>
        <v>Satisfied with this information and subscription Thank you for everything I would recommend your insurance to my parents and friends thank you cordially Mr Petitdemange</v>
      </c>
    </row>
    <row r="368" ht="15.75" customHeight="1">
      <c r="A368" s="2">
        <v>1.0</v>
      </c>
      <c r="B368" s="2" t="s">
        <v>1132</v>
      </c>
      <c r="C368" s="2" t="s">
        <v>1133</v>
      </c>
      <c r="D368" s="2" t="s">
        <v>200</v>
      </c>
      <c r="E368" s="2" t="s">
        <v>135</v>
      </c>
      <c r="F368" s="2" t="s">
        <v>15</v>
      </c>
      <c r="G368" s="2" t="s">
        <v>1134</v>
      </c>
      <c r="H368" s="2" t="s">
        <v>251</v>
      </c>
      <c r="I368" s="2" t="str">
        <f>IFERROR(__xludf.DUMMYFUNCTION("GOOGLETRANSLATE(C368,""fr"",""en"")"),"It has been 2 years since my sister is decedened and my niece alone heir has still touched anything ... and the icing on the cake is that she received more than 10 responses, asking her to monitor her account, or While his bank (American bank) does not ac"&amp;"cept euros. The last letter promises attention to his file. To believe that the staff of this insurance is completely incompetent, or plays the cat and the mouse so as not to pay money ... scandalous from an international bank ...")</f>
        <v>It has been 2 years since my sister is decedened and my niece alone heir has still touched anything ... and the icing on the cake is that she received more than 10 responses, asking her to monitor her account, or While his bank (American bank) does not accept euros. The last letter promises attention to his file. To believe that the staff of this insurance is completely incompetent, or plays the cat and the mouse so as not to pay money ... scandalous from an international bank ...</v>
      </c>
    </row>
    <row r="369" ht="15.75" customHeight="1">
      <c r="A369" s="2">
        <v>2.0</v>
      </c>
      <c r="B369" s="2" t="s">
        <v>1135</v>
      </c>
      <c r="C369" s="2" t="s">
        <v>1136</v>
      </c>
      <c r="D369" s="2" t="s">
        <v>77</v>
      </c>
      <c r="E369" s="2" t="s">
        <v>61</v>
      </c>
      <c r="F369" s="2" t="s">
        <v>15</v>
      </c>
      <c r="G369" s="2" t="s">
        <v>1137</v>
      </c>
      <c r="H369" s="2" t="s">
        <v>16</v>
      </c>
      <c r="I369" s="2" t="str">
        <f>IFERROR(__xludf.DUMMYFUNCTION("GOOGLETRANSLATE(C369,""fr"",""en"")"),"While I have to change my glasses, I contact my complementary to ensure the amount of the package I have. The package is planned for 250 euros.
So I go to a non -partner optician (optics2000) I find my glasses and get a quote from more than 300 euros. Ge"&amp;"neration confirms me to reimburse me 250 euros, the amount of my package. Mia s Generation also tells me that it is preferable to get in touch with a healthclair partner in order to obtain better rates and better refund. Something I do to see the differen"&amp;"ce. So here I am in Grand Optical and certainly I have great discounts, but the amount reimbursed falls to 190 euros unlike the 250 package for which I pay. So I contact Generation to find out what's going on. I am explained to me that the glass is not fu"&amp;"lly taken care of by Santeclair (something that I do royally) and that by consequently I will not get more, if I am not happy I can leave!
Well that's what I'm going to do at the end of my contract. I don't like being taken for what I don't think I am an"&amp;"d that's clearly what's going on with generation.")</f>
        <v>While I have to change my glasses, I contact my complementary to ensure the amount of the package I have. The package is planned for 250 euros.
So I go to a non -partner optician (optics2000) I find my glasses and get a quote from more than 300 euros. Generation confirms me to reimburse me 250 euros, the amount of my package. Mia s Generation also tells me that it is preferable to get in touch with a healthclair partner in order to obtain better rates and better refund. Something I do to see the difference. So here I am in Grand Optical and certainly I have great discounts, but the amount reimbursed falls to 190 euros unlike the 250 package for which I pay. So I contact Generation to find out what's going on. I am explained to me that the glass is not fully taken care of by Santeclair (something that I do royally) and that by consequently I will not get more, if I am not happy I can leave!
Well that's what I'm going to do at the end of my contract. I don't like being taken for what I don't think I am and that's clearly what's going on with generation.</v>
      </c>
    </row>
    <row r="370" ht="15.75" customHeight="1">
      <c r="A370" s="2">
        <v>2.0</v>
      </c>
      <c r="B370" s="2" t="s">
        <v>1138</v>
      </c>
      <c r="C370" s="2" t="s">
        <v>1139</v>
      </c>
      <c r="D370" s="2" t="s">
        <v>19</v>
      </c>
      <c r="E370" s="2" t="s">
        <v>20</v>
      </c>
      <c r="F370" s="2" t="s">
        <v>15</v>
      </c>
      <c r="G370" s="2" t="s">
        <v>1140</v>
      </c>
      <c r="H370" s="2" t="s">
        <v>16</v>
      </c>
      <c r="I370" s="2" t="str">
        <f>IFERROR(__xludf.DUMMYFUNCTION("GOOGLETRANSLATE(C370,""fr"",""en"")"),"Cheap but zero if you have a very minor concern!
And exponential increase in the contribution without explanation .... incomprehensible!
I terminate my two vehicles with a lot of trouble and threats, incredible it is oufs!")</f>
        <v>Cheap but zero if you have a very minor concern!
And exponential increase in the contribution without explanation .... incomprehensible!
I terminate my two vehicles with a lot of trouble and threats, incredible it is oufs!</v>
      </c>
    </row>
    <row r="371" ht="15.75" customHeight="1">
      <c r="A371" s="2">
        <v>5.0</v>
      </c>
      <c r="B371" s="2" t="s">
        <v>1141</v>
      </c>
      <c r="C371" s="2" t="s">
        <v>1142</v>
      </c>
      <c r="D371" s="2" t="s">
        <v>35</v>
      </c>
      <c r="E371" s="2" t="s">
        <v>20</v>
      </c>
      <c r="F371" s="2" t="s">
        <v>15</v>
      </c>
      <c r="G371" s="2" t="s">
        <v>1143</v>
      </c>
      <c r="H371" s="2" t="s">
        <v>108</v>
      </c>
      <c r="I371" s="2" t="str">
        <f>IFERROR(__xludf.DUMMYFUNCTION("GOOGLETRANSLATE(C371,""fr"",""en"")"),"Very satisfied with the interlocutors and the services offered if I had known I would have come to the olive tree before and if I have the possibility of recommending this company to those around me.
")</f>
        <v>Very satisfied with the interlocutors and the services offered if I had known I would have come to the olive tree before and if I have the possibility of recommending this company to those around me.
</v>
      </c>
    </row>
    <row r="372" ht="15.75" customHeight="1">
      <c r="A372" s="2">
        <v>5.0</v>
      </c>
      <c r="B372" s="2" t="s">
        <v>1144</v>
      </c>
      <c r="C372" s="2" t="s">
        <v>1145</v>
      </c>
      <c r="D372" s="2" t="s">
        <v>19</v>
      </c>
      <c r="E372" s="2" t="s">
        <v>20</v>
      </c>
      <c r="F372" s="2" t="s">
        <v>15</v>
      </c>
      <c r="G372" s="2" t="s">
        <v>1146</v>
      </c>
      <c r="H372" s="2" t="s">
        <v>108</v>
      </c>
      <c r="I372" s="2" t="str">
        <f>IFERROR(__xludf.DUMMYFUNCTION("GOOGLETRANSLATE(C372,""fr"",""en"")"),"It's fast and the prices are very competitive! I hope that customer service will also be satisfactory. I'm going to go to DA for another vehicle!
")</f>
        <v>It's fast and the prices are very competitive! I hope that customer service will also be satisfactory. I'm going to go to DA for another vehicle!
</v>
      </c>
    </row>
    <row r="373" ht="15.75" customHeight="1">
      <c r="A373" s="2">
        <v>2.0</v>
      </c>
      <c r="B373" s="2" t="s">
        <v>1147</v>
      </c>
      <c r="C373" s="2" t="s">
        <v>1148</v>
      </c>
      <c r="D373" s="2" t="s">
        <v>13</v>
      </c>
      <c r="E373" s="2" t="s">
        <v>14</v>
      </c>
      <c r="F373" s="2" t="s">
        <v>15</v>
      </c>
      <c r="G373" s="2" t="s">
        <v>1149</v>
      </c>
      <c r="H373" s="2" t="s">
        <v>347</v>
      </c>
      <c r="I373" s="2" t="str">
        <f>IFERROR(__xludf.DUMMYFUNCTION("GOOGLETRANSLATE(C373,""fr"",""en"")"),"Watch out for this insurance, which, according to several opinions including mine, prefers to see its members who are wrong or responsible rather than the opposite, despite the evidence.")</f>
        <v>Watch out for this insurance, which, according to several opinions including mine, prefers to see its members who are wrong or responsible rather than the opposite, despite the evidence.</v>
      </c>
    </row>
    <row r="374" ht="15.75" customHeight="1">
      <c r="A374" s="2">
        <v>4.0</v>
      </c>
      <c r="B374" s="2" t="s">
        <v>1150</v>
      </c>
      <c r="C374" s="2" t="s">
        <v>1151</v>
      </c>
      <c r="D374" s="2" t="s">
        <v>442</v>
      </c>
      <c r="E374" s="2" t="s">
        <v>30</v>
      </c>
      <c r="F374" s="2" t="s">
        <v>15</v>
      </c>
      <c r="G374" s="2" t="s">
        <v>1152</v>
      </c>
      <c r="H374" s="2" t="s">
        <v>21</v>
      </c>
      <c r="I374" s="2" t="str">
        <f>IFERROR(__xludf.DUMMYFUNCTION("GOOGLETRANSLATE(C374,""fr"",""en"")"),"Very good contact. Available. and gives the information wished.
Following the Advisory Call file at each stage if needs. Thanks to him .")</f>
        <v>Very good contact. Available. and gives the information wished.
Following the Advisory Call file at each stage if needs. Thanks to him .</v>
      </c>
    </row>
    <row r="375" ht="15.75" customHeight="1">
      <c r="A375" s="2">
        <v>5.0</v>
      </c>
      <c r="B375" s="2" t="s">
        <v>1153</v>
      </c>
      <c r="C375" s="2" t="s">
        <v>1154</v>
      </c>
      <c r="D375" s="2" t="s">
        <v>24</v>
      </c>
      <c r="E375" s="2" t="s">
        <v>20</v>
      </c>
      <c r="F375" s="2" t="s">
        <v>15</v>
      </c>
      <c r="G375" s="2" t="s">
        <v>1155</v>
      </c>
      <c r="H375" s="2" t="s">
        <v>53</v>
      </c>
      <c r="I375" s="2" t="str">
        <f>IFERROR(__xludf.DUMMYFUNCTION("GOOGLETRANSLATE(C375,""fr"",""en"")"),"I have been at Axa Valenciennes Agency Sulli for over 10 years and even if I now live in Nantes, I stayed at home (all my insurances are grouped together). I am more than satisfied with their listening and their understanding. It is not only a question of"&amp;" the amount of the contribution which counts when you choose insurance, it is also the human coast of the interlocutors. I met various concerns that this agency was able to settle serenely and quickly. The welcome has always very polite and very kind. I h"&amp;"ighly recommend this agency")</f>
        <v>I have been at Axa Valenciennes Agency Sulli for over 10 years and even if I now live in Nantes, I stayed at home (all my insurances are grouped together). I am more than satisfied with their listening and their understanding. It is not only a question of the amount of the contribution which counts when you choose insurance, it is also the human coast of the interlocutors. I met various concerns that this agency was able to settle serenely and quickly. The welcome has always very polite and very kind. I highly recommend this agency</v>
      </c>
    </row>
    <row r="376" ht="15.75" customHeight="1">
      <c r="A376" s="2">
        <v>1.0</v>
      </c>
      <c r="B376" s="2" t="s">
        <v>1156</v>
      </c>
      <c r="C376" s="2" t="s">
        <v>1157</v>
      </c>
      <c r="D376" s="2" t="s">
        <v>525</v>
      </c>
      <c r="E376" s="2" t="s">
        <v>206</v>
      </c>
      <c r="F376" s="2" t="s">
        <v>15</v>
      </c>
      <c r="G376" s="2" t="s">
        <v>1158</v>
      </c>
      <c r="H376" s="2" t="s">
        <v>251</v>
      </c>
      <c r="I376" s="2" t="str">
        <f>IFERROR(__xludf.DUMMYFUNCTION("GOOGLETRANSLATE(C376,""fr"",""en"")"),"I put a Star because we can't put Zero !! Since the month of an aput that I have been waiting for a refund that it is me.rembours that the half of more than 20 euro de franchise and he reimburses me that half of the vaccine that I took their most expensiv"&amp;"e insurance for my dog ​​knowing that I am that at the RSA !!! D assured you not there !!!")</f>
        <v>I put a Star because we can't put Zero !! Since the month of an aput that I have been waiting for a refund that it is me.rembours that the half of more than 20 euro de franchise and he reimburses me that half of the vaccine that I took their most expensive insurance for my dog ​​knowing that I am that at the RSA !!! D assured you not there !!!</v>
      </c>
    </row>
    <row r="377" ht="15.75" customHeight="1">
      <c r="A377" s="2">
        <v>5.0</v>
      </c>
      <c r="B377" s="2" t="s">
        <v>1159</v>
      </c>
      <c r="C377" s="2" t="s">
        <v>1160</v>
      </c>
      <c r="D377" s="2" t="s">
        <v>19</v>
      </c>
      <c r="E377" s="2" t="s">
        <v>20</v>
      </c>
      <c r="F377" s="2" t="s">
        <v>15</v>
      </c>
      <c r="G377" s="2" t="s">
        <v>627</v>
      </c>
      <c r="H377" s="2" t="s">
        <v>164</v>
      </c>
      <c r="I377" s="2" t="str">
        <f>IFERROR(__xludf.DUMMYFUNCTION("GOOGLETRANSLATE(C377,""fr"",""en"")"),"Satisfied with the price and the economy that I will achieve.
Fast and simple subscription
Very attractive and advantageous price.
Very appreciable secondary driver")</f>
        <v>Satisfied with the price and the economy that I will achieve.
Fast and simple subscription
Very attractive and advantageous price.
Very appreciable secondary driver</v>
      </c>
    </row>
    <row r="378" ht="15.75" customHeight="1">
      <c r="A378" s="2">
        <v>1.0</v>
      </c>
      <c r="B378" s="2" t="s">
        <v>1161</v>
      </c>
      <c r="C378" s="2" t="s">
        <v>1162</v>
      </c>
      <c r="D378" s="2" t="s">
        <v>225</v>
      </c>
      <c r="E378" s="2" t="s">
        <v>61</v>
      </c>
      <c r="F378" s="2" t="s">
        <v>15</v>
      </c>
      <c r="G378" s="2" t="s">
        <v>1163</v>
      </c>
      <c r="H378" s="2" t="s">
        <v>116</v>
      </c>
      <c r="I378" s="2" t="str">
        <f>IFERROR(__xludf.DUMMYFUNCTION("GOOGLETRANSLATE(C378,""fr"",""en"")"),"Company to flee
Management like the material dates from the 80s of the oric time for those who know ...
Politics hires diversity but too much diversity kills diversity ....
Cooptation cronyism which promotes diversity which is no longer diversified bec"&amp;"ause always the same type of population well submissive and servile ....
Inconscentric objectives to hope to be increased, you have to cut out on your break time and on the quality of the appointments made by leaving the colleagues for the rotten appoint"&amp;"ment ... Hello team spirit ....
If you want to flourish go your way because burn out in a few months
")</f>
        <v>Company to flee
Management like the material dates from the 80s of the oric time for those who know ...
Politics hires diversity but too much diversity kills diversity ....
Cooptation cronyism which promotes diversity which is no longer diversified because always the same type of population well submissive and servile ....
Inconscentric objectives to hope to be increased, you have to cut out on your break time and on the quality of the appointments made by leaving the colleagues for the rotten appointment ... Hello team spirit ....
If you want to flourish go your way because burn out in a few months
</v>
      </c>
    </row>
    <row r="379" ht="15.75" customHeight="1">
      <c r="A379" s="2">
        <v>4.0</v>
      </c>
      <c r="B379" s="2" t="s">
        <v>1164</v>
      </c>
      <c r="C379" s="2" t="s">
        <v>1165</v>
      </c>
      <c r="D379" s="2" t="s">
        <v>254</v>
      </c>
      <c r="E379" s="2" t="s">
        <v>61</v>
      </c>
      <c r="F379" s="2" t="s">
        <v>15</v>
      </c>
      <c r="G379" s="2" t="s">
        <v>1166</v>
      </c>
      <c r="H379" s="2" t="s">
        <v>116</v>
      </c>
      <c r="I379" s="2" t="str">
        <f>IFERROR(__xludf.DUMMYFUNCTION("GOOGLETRANSLATE(C379,""fr"",""en"")"),"I am very happy with professionalism and listening to the MGP counselor that I had on the phone for a health aid request She informed me very well of the process to be made I add that the reimbursements are made within a period Very reasonable and can be "&amp;"viewed with direct access to Ameli one more of the MGP more, I find the reimbursement offers particularly interesting for dental (real costs) and alternative medicine compared to other mutuals and the self -medication package is a + Because there is not i"&amp;"n some mutuals the price remains a little high because it increases with age for the death capital but the contract remains flexible because it is optional.")</f>
        <v>I am very happy with professionalism and listening to the MGP counselor that I had on the phone for a health aid request She informed me very well of the process to be made I add that the reimbursements are made within a period Very reasonable and can be viewed with direct access to Ameli one more of the MGP more, I find the reimbursement offers particularly interesting for dental (real costs) and alternative medicine compared to other mutuals and the self -medication package is a + Because there is not in some mutuals the price remains a little high because it increases with age for the death capital but the contract remains flexible because it is optional.</v>
      </c>
    </row>
    <row r="380" ht="15.75" customHeight="1">
      <c r="A380" s="2">
        <v>4.0</v>
      </c>
      <c r="B380" s="2" t="s">
        <v>1167</v>
      </c>
      <c r="C380" s="2" t="s">
        <v>1168</v>
      </c>
      <c r="D380" s="2" t="s">
        <v>35</v>
      </c>
      <c r="E380" s="2" t="s">
        <v>20</v>
      </c>
      <c r="F380" s="2" t="s">
        <v>15</v>
      </c>
      <c r="G380" s="2" t="s">
        <v>1169</v>
      </c>
      <c r="H380" s="2" t="s">
        <v>32</v>
      </c>
      <c r="I380" s="2" t="str">
        <f>IFERROR(__xludf.DUMMYFUNCTION("GOOGLETRANSLATE(C380,""fr"",""en"")"),"I am completely satisfied with my simple and fast subscription. Pending a call for my additional questions. Thanking you. Cordially.")</f>
        <v>I am completely satisfied with my simple and fast subscription. Pending a call for my additional questions. Thanking you. Cordially.</v>
      </c>
    </row>
    <row r="381" ht="15.75" customHeight="1">
      <c r="A381" s="2">
        <v>4.0</v>
      </c>
      <c r="B381" s="2" t="s">
        <v>1170</v>
      </c>
      <c r="C381" s="2" t="s">
        <v>1171</v>
      </c>
      <c r="D381" s="2" t="s">
        <v>19</v>
      </c>
      <c r="E381" s="2" t="s">
        <v>20</v>
      </c>
      <c r="F381" s="2" t="s">
        <v>15</v>
      </c>
      <c r="G381" s="2" t="s">
        <v>175</v>
      </c>
      <c r="H381" s="2" t="s">
        <v>164</v>
      </c>
      <c r="I381" s="2" t="str">
        <f>IFERROR(__xludf.DUMMYFUNCTION("GOOGLETRANSLATE(C381,""fr"",""en"")"),"Really satisfied with the service of this easy easy to start insurance ensures this time following this really super well cordially direct insurance")</f>
        <v>Really satisfied with the service of this easy easy to start insurance ensures this time following this really super well cordially direct insurance</v>
      </c>
    </row>
    <row r="382" ht="15.75" customHeight="1">
      <c r="A382" s="2">
        <v>4.0</v>
      </c>
      <c r="B382" s="2" t="s">
        <v>1172</v>
      </c>
      <c r="C382" s="2" t="s">
        <v>1173</v>
      </c>
      <c r="D382" s="2" t="s">
        <v>19</v>
      </c>
      <c r="E382" s="2" t="s">
        <v>20</v>
      </c>
      <c r="F382" s="2" t="s">
        <v>15</v>
      </c>
      <c r="G382" s="2" t="s">
        <v>519</v>
      </c>
      <c r="H382" s="2" t="s">
        <v>21</v>
      </c>
      <c r="I382" s="2" t="str">
        <f>IFERROR(__xludf.DUMMYFUNCTION("GOOGLETRANSLATE(C382,""fr"",""en"")"),"Very simple to subscribe, a few minutes are enough.
The site is well done in the sense that I have been able to find the necessary information.
Good value for money / simplicity")</f>
        <v>Very simple to subscribe, a few minutes are enough.
The site is well done in the sense that I have been able to find the necessary information.
Good value for money / simplicity</v>
      </c>
    </row>
    <row r="383" ht="15.75" customHeight="1">
      <c r="A383" s="2">
        <v>1.0</v>
      </c>
      <c r="B383" s="2" t="s">
        <v>1174</v>
      </c>
      <c r="C383" s="2" t="s">
        <v>1175</v>
      </c>
      <c r="D383" s="2" t="s">
        <v>366</v>
      </c>
      <c r="E383" s="2" t="s">
        <v>122</v>
      </c>
      <c r="F383" s="2" t="s">
        <v>15</v>
      </c>
      <c r="G383" s="2" t="s">
        <v>1176</v>
      </c>
      <c r="H383" s="2" t="s">
        <v>131</v>
      </c>
      <c r="I383" s="2" t="str">
        <f>IFERROR(__xludf.DUMMYFUNCTION("GOOGLETRANSLATE(C383,""fr"",""en"")"),"Allianz contract subscribed through sesame insurance based in Nice, which has become Verspieren, with the insurer's visit to our home. We told him that we wanted to be very well insured for our house, as well as our external parts. However, during the big"&amp;" rains that the Maritime Alps suffered in June 2019, we had a subsidence of our external staircase, therefore becoming impracticable.
After several requests for care and the arrival of an expert who had told us that we would be compensated, we have just "&amp;"wiped a refusal to take care of the company. Reason: the staircase is not concreted, while it is and the company has the photos and the masonry company which did the work at our expense (because impracticable), attests that the staircase is concreted.
Al"&amp;"l this results from the fact that the interior metrics who had been taken by the insurer, are different from those of the expert, while no interior work has been carried out. Because of this, our file went back to the headquarters of Allianz who refuses t"&amp;"o take care of us for the reasons mentioned above.
Conclusion: Flee the sesame cabinet which does not recognize the error of his agent, and flee Allianz who refuses to take care of.
We will therefore terminate all our contracts.")</f>
        <v>Allianz contract subscribed through sesame insurance based in Nice, which has become Verspieren, with the insurer's visit to our home. We told him that we wanted to be very well insured for our house, as well as our external parts. However, during the big rains that the Maritime Alps suffered in June 2019, we had a subsidence of our external staircase, therefore becoming impracticable.
After several requests for care and the arrival of an expert who had told us that we would be compensated, we have just wiped a refusal to take care of the company. Reason: the staircase is not concreted, while it is and the company has the photos and the masonry company which did the work at our expense (because impracticable), attests that the staircase is concreted.
All this results from the fact that the interior metrics who had been taken by the insurer, are different from those of the expert, while no interior work has been carried out. Because of this, our file went back to the headquarters of Allianz who refuses to take care of us for the reasons mentioned above.
Conclusion: Flee the sesame cabinet which does not recognize the error of his agent, and flee Allianz who refuses to take care of.
We will therefore terminate all our contracts.</v>
      </c>
    </row>
    <row r="384" ht="15.75" customHeight="1">
      <c r="A384" s="2">
        <v>1.0</v>
      </c>
      <c r="B384" s="2" t="s">
        <v>1177</v>
      </c>
      <c r="C384" s="2" t="s">
        <v>1178</v>
      </c>
      <c r="D384" s="2" t="s">
        <v>35</v>
      </c>
      <c r="E384" s="2" t="s">
        <v>20</v>
      </c>
      <c r="F384" s="2" t="s">
        <v>15</v>
      </c>
      <c r="G384" s="2" t="s">
        <v>1179</v>
      </c>
      <c r="H384" s="2" t="s">
        <v>501</v>
      </c>
      <c r="I384" s="2" t="str">
        <f>IFERROR(__xludf.DUMMYFUNCTION("GOOGLETRANSLATE(C384,""fr"",""en"")"),"Having made a quote on the net, in the end it is not the right price announced, I had to pay more, supposedly that the documents did not correspond !!!
The only fault on my part is to have indicated a bad bonus.15 euros more to change the contract .K I a"&amp;"ccept but in the meantime my contract was more expensive. They see me a so -called modified contract and that is exactly the same .
Incompetent service. I ended the insurance with them, my car in scrap, and signaling it by following the legal and contrac"&amp;"tual procedure I see no refund coming and this despite a letter, just several SMS indicating that I in no way corresponds to the sum which must be reimbursed and this since July 2017, we are on January 3, 2018;
Also, since I don't see anything coming I w"&amp;"ill file a complaint;
  ")</f>
        <v>Having made a quote on the net, in the end it is not the right price announced, I had to pay more, supposedly that the documents did not correspond !!!
The only fault on my part is to have indicated a bad bonus.15 euros more to change the contract .K I accept but in the meantime my contract was more expensive. They see me a so -called modified contract and that is exactly the same .
Incompetent service. I ended the insurance with them, my car in scrap, and signaling it by following the legal and contractual procedure I see no refund coming and this despite a letter, just several SMS indicating that I in no way corresponds to the sum which must be reimbursed and this since July 2017, we are on January 3, 2018;
Also, since I don't see anything coming I will file a complaint;
  </v>
      </c>
    </row>
    <row r="385" ht="15.75" customHeight="1">
      <c r="A385" s="2">
        <v>1.0</v>
      </c>
      <c r="B385" s="2" t="s">
        <v>1180</v>
      </c>
      <c r="C385" s="2" t="s">
        <v>1181</v>
      </c>
      <c r="D385" s="2" t="s">
        <v>56</v>
      </c>
      <c r="E385" s="2" t="s">
        <v>122</v>
      </c>
      <c r="F385" s="2" t="s">
        <v>15</v>
      </c>
      <c r="G385" s="2" t="s">
        <v>1182</v>
      </c>
      <c r="H385" s="2" t="s">
        <v>239</v>
      </c>
      <c r="I385" s="2" t="str">
        <f>IFERROR(__xludf.DUMMYFUNCTION("GOOGLETRANSLATE(C385,""fr"",""en"")"),"Customer for years with this insurer, I contacted them for the first time in July 2020 for a disaster questioning my civil liability. I broke the glasses from my neighbor's son by falling it and I therefore ask my insurance to cover the repair costs of th"&amp;"e glasses. After 3 months of phone call, scanned documents (there is always a ...) insurance supports repairs of glasses ... Half !!! Supposedly because we were 2 (my neighbor's son and myself). Absolutely shameful, termination with these incompetents wil"&amp;"l be done in the days that follow.")</f>
        <v>Customer for years with this insurer, I contacted them for the first time in July 2020 for a disaster questioning my civil liability. I broke the glasses from my neighbor's son by falling it and I therefore ask my insurance to cover the repair costs of the glasses. After 3 months of phone call, scanned documents (there is always a ...) insurance supports repairs of glasses ... Half !!! Supposedly because we were 2 (my neighbor's son and myself). Absolutely shameful, termination with these incompetents will be done in the days that follow.</v>
      </c>
    </row>
    <row r="386" ht="15.75" customHeight="1">
      <c r="A386" s="2">
        <v>2.0</v>
      </c>
      <c r="B386" s="2" t="s">
        <v>1183</v>
      </c>
      <c r="C386" s="2" t="s">
        <v>1184</v>
      </c>
      <c r="D386" s="2" t="s">
        <v>559</v>
      </c>
      <c r="E386" s="2" t="s">
        <v>367</v>
      </c>
      <c r="F386" s="2" t="s">
        <v>15</v>
      </c>
      <c r="G386" s="2" t="s">
        <v>725</v>
      </c>
      <c r="H386" s="2" t="s">
        <v>116</v>
      </c>
      <c r="I386" s="2" t="str">
        <f>IFERROR(__xludf.DUMMYFUNCTION("GOOGLETRANSLATE(C386,""fr"",""en"")"),"I'm waiting, I'm waiting, I'm waiting for and insurance does not move I need that insurance does its job so as not to endanger my business but it does not move ...")</f>
        <v>I'm waiting, I'm waiting, I'm waiting for and insurance does not move I need that insurance does its job so as not to endanger my business but it does not move ...</v>
      </c>
    </row>
    <row r="387" ht="15.75" customHeight="1">
      <c r="A387" s="2">
        <v>1.0</v>
      </c>
      <c r="B387" s="2" t="s">
        <v>1185</v>
      </c>
      <c r="C387" s="2" t="s">
        <v>1186</v>
      </c>
      <c r="D387" s="2" t="s">
        <v>19</v>
      </c>
      <c r="E387" s="2" t="s">
        <v>20</v>
      </c>
      <c r="F387" s="2" t="s">
        <v>15</v>
      </c>
      <c r="G387" s="2" t="s">
        <v>1187</v>
      </c>
      <c r="H387" s="2" t="s">
        <v>21</v>
      </c>
      <c r="I387" s="2" t="str">
        <f>IFERROR(__xludf.DUMMYFUNCTION("GOOGLETRANSLATE(C387,""fr"",""en"")"),"Fuur insurance it is more than 1 month that I have a reimbursement person and capable of responding why it takes so longtemp I have to pay all the reparation myself while waiting to be reimbursed ... deductible at almost 300 euro plus 750 so 10% which rem"&amp;"ains At my expense, desagreable customer service!")</f>
        <v>Fuur insurance it is more than 1 month that I have a reimbursement person and capable of responding why it takes so longtemp I have to pay all the reparation myself while waiting to be reimbursed ... deductible at almost 300 euro plus 750 so 10% which remains At my expense, desagreable customer service!</v>
      </c>
    </row>
    <row r="388" ht="15.75" customHeight="1">
      <c r="A388" s="2">
        <v>5.0</v>
      </c>
      <c r="B388" s="2" t="s">
        <v>1188</v>
      </c>
      <c r="C388" s="2" t="s">
        <v>1189</v>
      </c>
      <c r="D388" s="2" t="s">
        <v>35</v>
      </c>
      <c r="E388" s="2" t="s">
        <v>20</v>
      </c>
      <c r="F388" s="2" t="s">
        <v>15</v>
      </c>
      <c r="G388" s="2" t="s">
        <v>107</v>
      </c>
      <c r="H388" s="2" t="s">
        <v>108</v>
      </c>
      <c r="I388" s="2" t="str">
        <f>IFERROR(__xludf.DUMMYFUNCTION("GOOGLETRANSLATE(C388,""fr"",""en"")"),"I am satisfied with the service, offer by your insurance.
The price I gave me suits me a lot.
I would like you to stay faithful to you.")</f>
        <v>I am satisfied with the service, offer by your insurance.
The price I gave me suits me a lot.
I would like you to stay faithful to you.</v>
      </c>
    </row>
    <row r="389" ht="15.75" customHeight="1">
      <c r="A389" s="2">
        <v>3.0</v>
      </c>
      <c r="B389" s="2" t="s">
        <v>1190</v>
      </c>
      <c r="C389" s="2" t="s">
        <v>1191</v>
      </c>
      <c r="D389" s="2" t="s">
        <v>48</v>
      </c>
      <c r="E389" s="2" t="s">
        <v>14</v>
      </c>
      <c r="F389" s="2" t="s">
        <v>15</v>
      </c>
      <c r="G389" s="2" t="s">
        <v>613</v>
      </c>
      <c r="H389" s="2" t="s">
        <v>92</v>
      </c>
      <c r="I389" s="2" t="str">
        <f>IFERROR(__xludf.DUMMYFUNCTION("GOOGLETRANSLATE(C389,""fr"",""en"")"),"Permanent increase contribution although 1 only non -responsible disaster in 10 years and change of insurance zoning without consultation.
Apart from that overall satisfied and would consult you in the event of a new acquisition.")</f>
        <v>Permanent increase contribution although 1 only non -responsible disaster in 10 years and change of insurance zoning without consultation.
Apart from that overall satisfied and would consult you in the event of a new acquisition.</v>
      </c>
    </row>
    <row r="390" ht="15.75" customHeight="1">
      <c r="A390" s="2">
        <v>2.0</v>
      </c>
      <c r="B390" s="2" t="s">
        <v>1192</v>
      </c>
      <c r="C390" s="2" t="s">
        <v>1193</v>
      </c>
      <c r="D390" s="2" t="s">
        <v>19</v>
      </c>
      <c r="E390" s="2" t="s">
        <v>20</v>
      </c>
      <c r="F390" s="2" t="s">
        <v>15</v>
      </c>
      <c r="G390" s="2" t="s">
        <v>1194</v>
      </c>
      <c r="H390" s="2" t="s">
        <v>16</v>
      </c>
      <c r="I390" s="2" t="str">
        <f>IFERROR(__xludf.DUMMYFUNCTION("GOOGLETRANSLATE(C390,""fr"",""en"")"),"A shame
I had an accident, one people of assistance and insurance hardly speak French so impossible to understand them.
In addition they say they remind you to tell you or will be repaired your car but you stay 5 days without news. Suddenly you receive "&amp;"three call from different people who contradict themselves on the subject of which garage will repair your car.
You end up losing patience and telling them ""Bah leave it in the garage or you have towed""
You then receive a message via the application w"&amp;"hich says to you ""you have subscribed the tranquility pack with vehicle loan in the event of an accident, it is only valid in partner garages, the garage you have chosen n ' is not one!
Bye bye Direct Insurance")</f>
        <v>A shame
I had an accident, one people of assistance and insurance hardly speak French so impossible to understand them.
In addition they say they remind you to tell you or will be repaired your car but you stay 5 days without news. Suddenly you receive three call from different people who contradict themselves on the subject of which garage will repair your car.
You end up losing patience and telling them "Bah leave it in the garage or you have towed"
You then receive a message via the application which says to you "you have subscribed the tranquility pack with vehicle loan in the event of an accident, it is only valid in partner garages, the garage you have chosen n ' is not one!
Bye bye Direct Insurance</v>
      </c>
    </row>
    <row r="391" ht="15.75" customHeight="1">
      <c r="A391" s="2">
        <v>1.0</v>
      </c>
      <c r="B391" s="2" t="s">
        <v>1195</v>
      </c>
      <c r="C391" s="2" t="s">
        <v>1196</v>
      </c>
      <c r="D391" s="2" t="s">
        <v>19</v>
      </c>
      <c r="E391" s="2" t="s">
        <v>20</v>
      </c>
      <c r="F391" s="2" t="s">
        <v>15</v>
      </c>
      <c r="G391" s="2" t="s">
        <v>1197</v>
      </c>
      <c r="H391" s="2" t="s">
        <v>40</v>
      </c>
      <c r="I391" s="2" t="str">
        <f>IFERROR(__xludf.DUMMYFUNCTION("GOOGLETRANSLATE(C391,""fr"",""en"")"),"Administrative heaviness during a break of ice.
The Hamon law indicates a free choice of the repairer. When the Direct Assurance expert gives a lower price than what the mechanic says, is this always a free choice of the repairer? I will go see a consume"&amp;"r defense association to ask the question")</f>
        <v>Administrative heaviness during a break of ice.
The Hamon law indicates a free choice of the repairer. When the Direct Assurance expert gives a lower price than what the mechanic says, is this always a free choice of the repairer? I will go see a consumer defense association to ask the question</v>
      </c>
    </row>
    <row r="392" ht="15.75" customHeight="1">
      <c r="A392" s="2">
        <v>5.0</v>
      </c>
      <c r="B392" s="2" t="s">
        <v>1198</v>
      </c>
      <c r="C392" s="2" t="s">
        <v>1199</v>
      </c>
      <c r="D392" s="2" t="s">
        <v>442</v>
      </c>
      <c r="E392" s="2" t="s">
        <v>30</v>
      </c>
      <c r="F392" s="2" t="s">
        <v>15</v>
      </c>
      <c r="G392" s="2" t="s">
        <v>1200</v>
      </c>
      <c r="H392" s="2" t="s">
        <v>164</v>
      </c>
      <c r="I392" s="2" t="str">
        <f>IFERROR(__xludf.DUMMYFUNCTION("GOOGLETRANSLATE(C392,""fr"",""en"")"),"Simple and practical.
This is the best offer I have received from all the comparators and market leaders.
Advisor available and very professional and attentive")</f>
        <v>Simple and practical.
This is the best offer I have received from all the comparators and market leaders.
Advisor available and very professional and attentive</v>
      </c>
    </row>
    <row r="393" ht="15.75" customHeight="1">
      <c r="A393" s="2">
        <v>2.0</v>
      </c>
      <c r="B393" s="2" t="s">
        <v>1201</v>
      </c>
      <c r="C393" s="2" t="s">
        <v>1202</v>
      </c>
      <c r="D393" s="2" t="s">
        <v>19</v>
      </c>
      <c r="E393" s="2" t="s">
        <v>20</v>
      </c>
      <c r="F393" s="2" t="s">
        <v>15</v>
      </c>
      <c r="G393" s="2" t="s">
        <v>1203</v>
      </c>
      <c r="H393" s="2" t="s">
        <v>97</v>
      </c>
      <c r="I393" s="2" t="str">
        <f>IFERROR(__xludf.DUMMYFUNCTION("GOOGLETRANSLATE(C393,""fr"",""en"")"),"Very bad sinister advisor ... Their purpose is to buy our vehicle in accordance with the expert. For a derisory price and especially in any risk and not in wrong a deduced deduction and 10% more .... pay attention to the small lines.")</f>
        <v>Very bad sinister advisor ... Their purpose is to buy our vehicle in accordance with the expert. For a derisory price and especially in any risk and not in wrong a deduced deduction and 10% more .... pay attention to the small lines.</v>
      </c>
    </row>
    <row r="394" ht="15.75" customHeight="1">
      <c r="A394" s="2">
        <v>1.0</v>
      </c>
      <c r="B394" s="2" t="s">
        <v>1204</v>
      </c>
      <c r="C394" s="2" t="s">
        <v>1205</v>
      </c>
      <c r="D394" s="2" t="s">
        <v>19</v>
      </c>
      <c r="E394" s="2" t="s">
        <v>20</v>
      </c>
      <c r="F394" s="2" t="s">
        <v>15</v>
      </c>
      <c r="G394" s="2" t="s">
        <v>1206</v>
      </c>
      <c r="H394" s="2" t="s">
        <v>501</v>
      </c>
      <c r="I394" s="2" t="str">
        <f>IFERROR(__xludf.DUMMYFUNCTION("GOOGLETRANSLATE(C394,""fr"",""en"")"),"Contrary to what we can see on the net, their prices are not really competitive (I changed insurance after a year with 5 % bonus I went from 90 to 60 € per month at the Macif). When I announced that I wanted to change insurance, I received a letter a few "&amp;"weeks later from a bailiff for an ""unpaid"" with additional costs! However, I have paid each month, neither I nor my bank refused a direct debit and all we were made well (statement of account at the support). Insurance to avoid at all costs! I want to w"&amp;"arn the young permits that could be fooled by the price that changes fairly quickly without understanding why.")</f>
        <v>Contrary to what we can see on the net, their prices are not really competitive (I changed insurance after a year with 5 % bonus I went from 90 to 60 € per month at the Macif). When I announced that I wanted to change insurance, I received a letter a few weeks later from a bailiff for an "unpaid" with additional costs! However, I have paid each month, neither I nor my bank refused a direct debit and all we were made well (statement of account at the support). Insurance to avoid at all costs! I want to warn the young permits that could be fooled by the price that changes fairly quickly without understanding why.</v>
      </c>
    </row>
    <row r="395" ht="15.75" customHeight="1">
      <c r="A395" s="2">
        <v>3.0</v>
      </c>
      <c r="B395" s="2" t="s">
        <v>1207</v>
      </c>
      <c r="C395" s="2" t="s">
        <v>1208</v>
      </c>
      <c r="D395" s="2" t="s">
        <v>35</v>
      </c>
      <c r="E395" s="2" t="s">
        <v>20</v>
      </c>
      <c r="F395" s="2" t="s">
        <v>15</v>
      </c>
      <c r="G395" s="2" t="s">
        <v>175</v>
      </c>
      <c r="H395" s="2" t="s">
        <v>164</v>
      </c>
      <c r="I395" s="2" t="str">
        <f>IFERROR(__xludf.DUMMYFUNCTION("GOOGLETRANSLATE(C395,""fr"",""en"")"),"The Ice Brisse franchise is high
Customer service is however the fact that one does not know from one year to another if the monthly sample will remain the same (when we do not commit any fault) is disturbing
")</f>
        <v>The Ice Brisse franchise is high
Customer service is however the fact that one does not know from one year to another if the monthly sample will remain the same (when we do not commit any fault) is disturbing
</v>
      </c>
    </row>
    <row r="396" ht="15.75" customHeight="1">
      <c r="A396" s="2">
        <v>4.0</v>
      </c>
      <c r="B396" s="2" t="s">
        <v>1209</v>
      </c>
      <c r="C396" s="2" t="s">
        <v>1210</v>
      </c>
      <c r="D396" s="2" t="s">
        <v>35</v>
      </c>
      <c r="E396" s="2" t="s">
        <v>20</v>
      </c>
      <c r="F396" s="2" t="s">
        <v>15</v>
      </c>
      <c r="G396" s="2" t="s">
        <v>363</v>
      </c>
      <c r="H396" s="2" t="s">
        <v>131</v>
      </c>
      <c r="I396" s="2" t="str">
        <f>IFERROR(__xludf.DUMMYFUNCTION("GOOGLETRANSLATE(C396,""fr"",""en"")"),"I satisfy the service
Very kind, answers any question with clarity, that at most, I recommend olivier assurance to anyone looking for better insurance
")</f>
        <v>I satisfy the service
Very kind, answers any question with clarity, that at most, I recommend olivier assurance to anyone looking for better insurance
</v>
      </c>
    </row>
    <row r="397" ht="15.75" customHeight="1">
      <c r="A397" s="2">
        <v>1.0</v>
      </c>
      <c r="B397" s="2" t="s">
        <v>1211</v>
      </c>
      <c r="C397" s="2" t="s">
        <v>1212</v>
      </c>
      <c r="D397" s="2" t="s">
        <v>19</v>
      </c>
      <c r="E397" s="2" t="s">
        <v>122</v>
      </c>
      <c r="F397" s="2" t="s">
        <v>15</v>
      </c>
      <c r="G397" s="2" t="s">
        <v>1213</v>
      </c>
      <c r="H397" s="2" t="s">
        <v>260</v>
      </c>
      <c r="I397" s="2" t="str">
        <f>IFERROR(__xludf.DUMMYFUNCTION("GOOGLETRANSLATE(C397,""fr"",""en"")"),"I am very unhappy with this insurer, I sent upon receipt of the new schedule a registered fold with acknowledgment of receipt, in order to terminate my insurance contract, and it continues to always take on my account, with of course an increase in prices"&amp;".")</f>
        <v>I am very unhappy with this insurer, I sent upon receipt of the new schedule a registered fold with acknowledgment of receipt, in order to terminate my insurance contract, and it continues to always take on my account, with of course an increase in prices.</v>
      </c>
    </row>
    <row r="398" ht="15.75" customHeight="1">
      <c r="A398" s="2">
        <v>2.0</v>
      </c>
      <c r="B398" s="2" t="s">
        <v>1214</v>
      </c>
      <c r="C398" s="2" t="s">
        <v>1215</v>
      </c>
      <c r="D398" s="2" t="s">
        <v>35</v>
      </c>
      <c r="E398" s="2" t="s">
        <v>20</v>
      </c>
      <c r="F398" s="2" t="s">
        <v>15</v>
      </c>
      <c r="G398" s="2" t="s">
        <v>1216</v>
      </c>
      <c r="H398" s="2" t="s">
        <v>131</v>
      </c>
      <c r="I398" s="2" t="str">
        <f>IFERROR(__xludf.DUMMYFUNCTION("GOOGLETRANSLATE(C398,""fr"",""en"")"),"I am satisfied with the service but the price is exorbitant The price is almost tripled for having consumed alcohol while driving I do not understand too much from 55th to 138th for the same vehicle is very difficult to understand so I will not stay for a"&amp;" long time at home sorry")</f>
        <v>I am satisfied with the service but the price is exorbitant The price is almost tripled for having consumed alcohol while driving I do not understand too much from 55th to 138th for the same vehicle is very difficult to understand so I will not stay for a long time at home sorry</v>
      </c>
    </row>
    <row r="399" ht="15.75" customHeight="1">
      <c r="A399" s="2">
        <v>4.0</v>
      </c>
      <c r="B399" s="2" t="s">
        <v>1217</v>
      </c>
      <c r="C399" s="2" t="s">
        <v>1218</v>
      </c>
      <c r="D399" s="2" t="s">
        <v>254</v>
      </c>
      <c r="E399" s="2" t="s">
        <v>61</v>
      </c>
      <c r="F399" s="2" t="s">
        <v>15</v>
      </c>
      <c r="G399" s="2" t="s">
        <v>1219</v>
      </c>
      <c r="H399" s="2" t="s">
        <v>256</v>
      </c>
      <c r="I399" s="2" t="str">
        <f>IFERROR(__xludf.DUMMYFUNCTION("GOOGLETRANSLATE(C399,""fr"",""en"")"),"New customers, for a few months, the MGP has revised its prices, which seemed higher to me than its competitors. (And that was the case!). Its services have greatly improved as well as the speed of execution of requests. The site is fluid, and the wait fo"&amp;"r telephone contact is reasonable.
I had my wife and my little daughter join in it.
Nothing to say when now!
Hope it lasts !")</f>
        <v>New customers, for a few months, the MGP has revised its prices, which seemed higher to me than its competitors. (And that was the case!). Its services have greatly improved as well as the speed of execution of requests. The site is fluid, and the wait for telephone contact is reasonable.
I had my wife and my little daughter join in it.
Nothing to say when now!
Hope it lasts !</v>
      </c>
    </row>
    <row r="400" ht="15.75" customHeight="1">
      <c r="A400" s="2">
        <v>4.0</v>
      </c>
      <c r="B400" s="2" t="s">
        <v>1220</v>
      </c>
      <c r="C400" s="2" t="s">
        <v>1221</v>
      </c>
      <c r="D400" s="2" t="s">
        <v>35</v>
      </c>
      <c r="E400" s="2" t="s">
        <v>20</v>
      </c>
      <c r="F400" s="2" t="s">
        <v>15</v>
      </c>
      <c r="G400" s="2" t="s">
        <v>676</v>
      </c>
      <c r="H400" s="2" t="s">
        <v>32</v>
      </c>
      <c r="I400" s="2" t="str">
        <f>IFERROR(__xludf.DUMMYFUNCTION("GOOGLETRANSLATE(C400,""fr"",""en"")"),"The reception is qualitative, the information is precise and the staff listening. The prices are attractive for a young driver. Very satisfied overall, to be seen over time")</f>
        <v>The reception is qualitative, the information is precise and the staff listening. The prices are attractive for a young driver. Very satisfied overall, to be seen over time</v>
      </c>
    </row>
    <row r="401" ht="15.75" customHeight="1">
      <c r="A401" s="2">
        <v>5.0</v>
      </c>
      <c r="B401" s="2" t="s">
        <v>1222</v>
      </c>
      <c r="C401" s="2" t="s">
        <v>1223</v>
      </c>
      <c r="D401" s="2" t="s">
        <v>19</v>
      </c>
      <c r="E401" s="2" t="s">
        <v>20</v>
      </c>
      <c r="F401" s="2" t="s">
        <v>15</v>
      </c>
      <c r="G401" s="2" t="s">
        <v>529</v>
      </c>
      <c r="H401" s="2" t="s">
        <v>108</v>
      </c>
      <c r="I401" s="2" t="str">
        <f>IFERROR(__xludf.DUMMYFUNCTION("GOOGLETRANSLATE(C401,""fr"",""en"")"),"For 1st insurance it is worth it compared to other insurance. With the geolocation by the no speed box to pay less. It's awesome")</f>
        <v>For 1st insurance it is worth it compared to other insurance. With the geolocation by the no speed box to pay less. It's awesome</v>
      </c>
    </row>
    <row r="402" ht="15.75" customHeight="1">
      <c r="A402" s="2">
        <v>4.0</v>
      </c>
      <c r="B402" s="2" t="s">
        <v>1224</v>
      </c>
      <c r="C402" s="2" t="s">
        <v>1225</v>
      </c>
      <c r="D402" s="2" t="s">
        <v>35</v>
      </c>
      <c r="E402" s="2" t="s">
        <v>20</v>
      </c>
      <c r="F402" s="2" t="s">
        <v>15</v>
      </c>
      <c r="G402" s="2" t="s">
        <v>1226</v>
      </c>
      <c r="H402" s="2" t="s">
        <v>92</v>
      </c>
      <c r="I402" s="2" t="str">
        <f>IFERROR(__xludf.DUMMYFUNCTION("GOOGLETRANSLATE(C402,""fr"",""en"")"),"I am satisfied with the price and the service since overall it seems correct to me. They are quite responsive at the telephone level which I like.")</f>
        <v>I am satisfied with the price and the service since overall it seems correct to me. They are quite responsive at the telephone level which I like.</v>
      </c>
    </row>
    <row r="403" ht="15.75" customHeight="1">
      <c r="A403" s="2">
        <v>5.0</v>
      </c>
      <c r="B403" s="2" t="s">
        <v>1227</v>
      </c>
      <c r="C403" s="2" t="s">
        <v>1228</v>
      </c>
      <c r="D403" s="2" t="s">
        <v>35</v>
      </c>
      <c r="E403" s="2" t="s">
        <v>20</v>
      </c>
      <c r="F403" s="2" t="s">
        <v>15</v>
      </c>
      <c r="G403" s="2" t="s">
        <v>878</v>
      </c>
      <c r="H403" s="2" t="s">
        <v>74</v>
      </c>
      <c r="I403" s="2" t="str">
        <f>IFERROR(__xludf.DUMMYFUNCTION("GOOGLETRANSLATE(C403,""fr"",""en"")"),"Very friendly people. Really very good ... yesterday, information for the contract and finalization ... Today information concerning the progress of my file: very good too. This changes other companies I asked for quotes and really unpleasant and disrespe"&amp;"ctful limits")</f>
        <v>Very friendly people. Really very good ... yesterday, information for the contract and finalization ... Today information concerning the progress of my file: very good too. This changes other companies I asked for quotes and really unpleasant and disrespectful limits</v>
      </c>
    </row>
    <row r="404" ht="15.75" customHeight="1">
      <c r="A404" s="2">
        <v>2.0</v>
      </c>
      <c r="B404" s="2" t="s">
        <v>1229</v>
      </c>
      <c r="C404" s="2" t="s">
        <v>1230</v>
      </c>
      <c r="D404" s="2" t="s">
        <v>19</v>
      </c>
      <c r="E404" s="2" t="s">
        <v>20</v>
      </c>
      <c r="F404" s="2" t="s">
        <v>15</v>
      </c>
      <c r="G404" s="2" t="s">
        <v>1231</v>
      </c>
      <c r="H404" s="2" t="s">
        <v>74</v>
      </c>
      <c r="I404" s="2" t="str">
        <f>IFERROR(__xludf.DUMMYFUNCTION("GOOGLETRANSLATE(C404,""fr"",""en"")"),"The prices only increase, I am not satisfied and I will look elsewhere. I will make quote and terminate my contract with Direct Insurance")</f>
        <v>The prices only increase, I am not satisfied and I will look elsewhere. I will make quote and terminate my contract with Direct Insurance</v>
      </c>
    </row>
    <row r="405" ht="15.75" customHeight="1">
      <c r="A405" s="2">
        <v>1.0</v>
      </c>
      <c r="B405" s="2" t="s">
        <v>1232</v>
      </c>
      <c r="C405" s="2" t="s">
        <v>1233</v>
      </c>
      <c r="D405" s="2" t="s">
        <v>366</v>
      </c>
      <c r="E405" s="2" t="s">
        <v>135</v>
      </c>
      <c r="F405" s="2" t="s">
        <v>15</v>
      </c>
      <c r="G405" s="2" t="s">
        <v>711</v>
      </c>
      <c r="H405" s="2" t="s">
        <v>164</v>
      </c>
      <c r="I405" s="2" t="str">
        <f>IFERROR(__xludf.DUMMYFUNCTION("GOOGLETRANSLATE(C405,""fr"",""en"")"),"Allianz took 14 years to find me, just that ..... indeed a person died in 2007 leaving me part of his life insurance Allianz, I was contacted by this company to provide certain information and since then A month nothing, absolutely nothing, my question is"&amp;": will I have to wait another 14 years to touch the sums due ???? I will be deceased here !!!!!!!!!")</f>
        <v>Allianz took 14 years to find me, just that ..... indeed a person died in 2007 leaving me part of his life insurance Allianz, I was contacted by this company to provide certain information and since then A month nothing, absolutely nothing, my question is: will I have to wait another 14 years to touch the sums due ???? I will be deceased here !!!!!!!!!</v>
      </c>
    </row>
    <row r="406" ht="15.75" customHeight="1">
      <c r="A406" s="2">
        <v>5.0</v>
      </c>
      <c r="B406" s="2" t="s">
        <v>1234</v>
      </c>
      <c r="C406" s="2" t="s">
        <v>1235</v>
      </c>
      <c r="D406" s="2" t="s">
        <v>254</v>
      </c>
      <c r="E406" s="2" t="s">
        <v>214</v>
      </c>
      <c r="F406" s="2" t="s">
        <v>15</v>
      </c>
      <c r="G406" s="2" t="s">
        <v>1236</v>
      </c>
      <c r="H406" s="2" t="s">
        <v>21</v>
      </c>
      <c r="I406" s="2" t="str">
        <f>IFERROR(__xludf.DUMMYFUNCTION("GOOGLETRANSLATE(C406,""fr"",""en"")"),"Always answers to the questions I ask
Very attentive on my file
Take the time to explain everything in the smallest detail
Very effective")</f>
        <v>Always answers to the questions I ask
Very attentive on my file
Take the time to explain everything in the smallest detail
Very effective</v>
      </c>
    </row>
    <row r="407" ht="15.75" customHeight="1">
      <c r="A407" s="2">
        <v>1.0</v>
      </c>
      <c r="B407" s="2" t="s">
        <v>1237</v>
      </c>
      <c r="C407" s="2" t="s">
        <v>1238</v>
      </c>
      <c r="D407" s="2" t="s">
        <v>337</v>
      </c>
      <c r="E407" s="2" t="s">
        <v>122</v>
      </c>
      <c r="F407" s="2" t="s">
        <v>15</v>
      </c>
      <c r="G407" s="2" t="s">
        <v>274</v>
      </c>
      <c r="H407" s="2" t="s">
        <v>32</v>
      </c>
      <c r="I407" s="2" t="str">
        <f>IFERROR(__xludf.DUMMYFUNCTION("GOOGLETRANSLATE(C407,""fr"",""en"")"),"To flee, no serious follow -up, mixes files, multiple interlocutors to whom the mistakes they make, very incompetent staff must constantly repeat, I strongly advise against this insurer.")</f>
        <v>To flee, no serious follow -up, mixes files, multiple interlocutors to whom the mistakes they make, very incompetent staff must constantly repeat, I strongly advise against this insurer.</v>
      </c>
    </row>
    <row r="408" ht="15.75" customHeight="1">
      <c r="A408" s="2">
        <v>1.0</v>
      </c>
      <c r="B408" s="2" t="s">
        <v>1239</v>
      </c>
      <c r="C408" s="2" t="s">
        <v>1240</v>
      </c>
      <c r="D408" s="2" t="s">
        <v>111</v>
      </c>
      <c r="E408" s="2" t="s">
        <v>214</v>
      </c>
      <c r="F408" s="2" t="s">
        <v>15</v>
      </c>
      <c r="G408" s="2" t="s">
        <v>1241</v>
      </c>
      <c r="H408" s="2" t="s">
        <v>116</v>
      </c>
      <c r="I408" s="2" t="str">
        <f>IFERROR(__xludf.DUMMYFUNCTION("GOOGLETRANSLATE(C408,""fr"",""en"")"),"A shame, it's been more than 4 months now that I am walking at each of my calls ... (2 -month processing period, untreated file spent in the hatch, file brought in complaints, complaint period of 4 weeks Maxi and now a delay that goes to 12 weeks ...) I e"&amp;"xpect compensation for a sick leave outside the mission which dates from August 2020)
What can be the remedies for this kind of situation? I am determined not to let go of the case and assert my rights! It is still very unhappy to be forced to fight on a"&amp;"ll fronts !!! good luck to all !!!")</f>
        <v>A shame, it's been more than 4 months now that I am walking at each of my calls ... (2 -month processing period, untreated file spent in the hatch, file brought in complaints, complaint period of 4 weeks Maxi and now a delay that goes to 12 weeks ...) I expect compensation for a sick leave outside the mission which dates from August 2020)
What can be the remedies for this kind of situation? I am determined not to let go of the case and assert my rights! It is still very unhappy to be forced to fight on all fronts !!! good luck to all !!!</v>
      </c>
    </row>
    <row r="409" ht="15.75" customHeight="1">
      <c r="A409" s="2">
        <v>1.0</v>
      </c>
      <c r="B409" s="2" t="s">
        <v>1242</v>
      </c>
      <c r="C409" s="2" t="s">
        <v>1243</v>
      </c>
      <c r="D409" s="2" t="s">
        <v>56</v>
      </c>
      <c r="E409" s="2" t="s">
        <v>122</v>
      </c>
      <c r="F409" s="2" t="s">
        <v>15</v>
      </c>
      <c r="G409" s="2" t="s">
        <v>778</v>
      </c>
      <c r="H409" s="2" t="s">
        <v>256</v>
      </c>
      <c r="I409" s="2" t="str">
        <f>IFERROR(__xludf.DUMMYFUNCTION("GOOGLETRANSLATE(C409,""fr"",""en"")"),"4 insurance at home, for contributions, champion, 4% minimum increase every year. When you have a disaster, this is where things get complicated. Absent interlocutor never responds to letters or recommended. We must justify ourselves bring elements that a"&amp;"re refuted by the Suretec expert office, even if these elements are official !!!
To banish the Pacifica/Seretec couple")</f>
        <v>4 insurance at home, for contributions, champion, 4% minimum increase every year. When you have a disaster, this is where things get complicated. Absent interlocutor never responds to letters or recommended. We must justify ourselves bring elements that are refuted by the Suretec expert office, even if these elements are official !!!
To banish the Pacifica/Seretec couple</v>
      </c>
    </row>
    <row r="410" ht="15.75" customHeight="1">
      <c r="A410" s="2">
        <v>5.0</v>
      </c>
      <c r="B410" s="2" t="s">
        <v>1244</v>
      </c>
      <c r="C410" s="2" t="s">
        <v>1245</v>
      </c>
      <c r="D410" s="2" t="s">
        <v>35</v>
      </c>
      <c r="E410" s="2" t="s">
        <v>20</v>
      </c>
      <c r="F410" s="2" t="s">
        <v>15</v>
      </c>
      <c r="G410" s="2" t="s">
        <v>91</v>
      </c>
      <c r="H410" s="2" t="s">
        <v>92</v>
      </c>
      <c r="I410" s="2" t="str">
        <f>IFERROR(__xludf.DUMMYFUNCTION("GOOGLETRANSLATE(C410,""fr"",""en"")"),"I am satisfied with the price, the customer service is fast and very kind, I am recommended the olive assurance for its price and its speed of execution.")</f>
        <v>I am satisfied with the price, the customer service is fast and very kind, I am recommended the olive assurance for its price and its speed of execution.</v>
      </c>
    </row>
    <row r="411" ht="15.75" customHeight="1">
      <c r="A411" s="2">
        <v>1.0</v>
      </c>
      <c r="B411" s="2" t="s">
        <v>1246</v>
      </c>
      <c r="C411" s="2" t="s">
        <v>1247</v>
      </c>
      <c r="D411" s="2" t="s">
        <v>35</v>
      </c>
      <c r="E411" s="2" t="s">
        <v>20</v>
      </c>
      <c r="F411" s="2" t="s">
        <v>15</v>
      </c>
      <c r="G411" s="2" t="s">
        <v>108</v>
      </c>
      <c r="H411" s="2" t="s">
        <v>108</v>
      </c>
      <c r="I411" s="2" t="str">
        <f>IFERROR(__xludf.DUMMYFUNCTION("GOOGLETRANSLATE(C411,""fr"",""en"")"),"Attention !! Read the small lines well ... Auto contract subscribes ""all risks"" so broken ice, thefts, guaranteed fires .. but here is a problem. No compensation if the incident is due to an act of vandalism or an act deliberated with a third party ... "&amp;"the incidents of accidental origin are taken care of with them. Insist these clauses when signing your contract because I can assure you that your interlocutor will never refer to it. And their sinister service? My God! A disaster ... another person with "&amp;"each call who tells you the exact opposite of his collaborator. Remember to flee !!!")</f>
        <v>Attention !! Read the small lines well ... Auto contract subscribes "all risks" so broken ice, thefts, guaranteed fires .. but here is a problem. No compensation if the incident is due to an act of vandalism or an act deliberated with a third party ... the incidents of accidental origin are taken care of with them. Insist these clauses when signing your contract because I can assure you that your interlocutor will never refer to it. And their sinister service? My God! A disaster ... another person with each call who tells you the exact opposite of his collaborator. Remember to flee !!!</v>
      </c>
    </row>
    <row r="412" ht="15.75" customHeight="1">
      <c r="A412" s="2">
        <v>3.0</v>
      </c>
      <c r="B412" s="2" t="s">
        <v>1248</v>
      </c>
      <c r="C412" s="2" t="s">
        <v>1249</v>
      </c>
      <c r="D412" s="2" t="s">
        <v>100</v>
      </c>
      <c r="E412" s="2" t="s">
        <v>20</v>
      </c>
      <c r="F412" s="2" t="s">
        <v>15</v>
      </c>
      <c r="G412" s="2" t="s">
        <v>1250</v>
      </c>
      <c r="H412" s="2" t="s">
        <v>714</v>
      </c>
      <c r="I412" s="2" t="str">
        <f>IFERROR(__xludf.DUMMYFUNCTION("GOOGLETRANSLATE(C412,""fr"",""en"")"),"Ensures for 4 years at Active Insurance I put this year 2 months to receive my insurance renewal card for my vehicle they made me believe whenever I was telephon that the paper was gone I have phone practically every day by harassing them Finally I receiv"&amp;"ed it yesterday 1 shame")</f>
        <v>Ensures for 4 years at Active Insurance I put this year 2 months to receive my insurance renewal card for my vehicle they made me believe whenever I was telephon that the paper was gone I have phone practically every day by harassing them Finally I received it yesterday 1 shame</v>
      </c>
    </row>
    <row r="413" ht="15.75" customHeight="1">
      <c r="A413" s="2">
        <v>5.0</v>
      </c>
      <c r="B413" s="2" t="s">
        <v>1251</v>
      </c>
      <c r="C413" s="2" t="s">
        <v>1252</v>
      </c>
      <c r="D413" s="2" t="s">
        <v>378</v>
      </c>
      <c r="E413" s="2" t="s">
        <v>61</v>
      </c>
      <c r="F413" s="2" t="s">
        <v>15</v>
      </c>
      <c r="G413" s="2" t="s">
        <v>570</v>
      </c>
      <c r="H413" s="2" t="s">
        <v>32</v>
      </c>
      <c r="I413" s="2" t="str">
        <f>IFERROR(__xludf.DUMMYFUNCTION("GOOGLETRANSLATE(C413,""fr"",""en"")"),"I recently subscribed to a mutual with the help of Mohamed who knew how to advise me and orient me. I am delighted with the service he offered me, he was very pleasant and listened to. I recommend it as well as this insurance.")</f>
        <v>I recently subscribed to a mutual with the help of Mohamed who knew how to advise me and orient me. I am delighted with the service he offered me, he was very pleasant and listened to. I recommend it as well as this insurance.</v>
      </c>
    </row>
    <row r="414" ht="15.75" customHeight="1">
      <c r="A414" s="2">
        <v>1.0</v>
      </c>
      <c r="B414" s="2" t="s">
        <v>1253</v>
      </c>
      <c r="C414" s="2" t="s">
        <v>1254</v>
      </c>
      <c r="D414" s="2" t="s">
        <v>285</v>
      </c>
      <c r="E414" s="2" t="s">
        <v>122</v>
      </c>
      <c r="F414" s="2" t="s">
        <v>15</v>
      </c>
      <c r="G414" s="2" t="s">
        <v>1255</v>
      </c>
      <c r="H414" s="2" t="s">
        <v>332</v>
      </c>
      <c r="I414" s="2" t="str">
        <f>IFERROR(__xludf.DUMMYFUNCTION("GOOGLETRANSLATE(C414,""fr"",""en"")"),"I have been insured at the Macif for 34 years. No worries up to 1 year ago. Water damage. And there catastrophe ... An expert who has experts only the name, approved companies that are under the control of this famous expert, an agency which is unable to "&amp;"inform you to answer your questions, ditto for the service telephone. They are compensated only part of the damage and unnecessary to try to do anything nobody will listen to you where to take in your complaints into account. Know in advance that you must"&amp;" accept and shut up. Then you have to succeed in receiving compensation, another challenge")</f>
        <v>I have been insured at the Macif for 34 years. No worries up to 1 year ago. Water damage. And there catastrophe ... An expert who has experts only the name, approved companies that are under the control of this famous expert, an agency which is unable to inform you to answer your questions, ditto for the service telephone. They are compensated only part of the damage and unnecessary to try to do anything nobody will listen to you where to take in your complaints into account. Know in advance that you must accept and shut up. Then you have to succeed in receiving compensation, another challenge</v>
      </c>
    </row>
    <row r="415" ht="15.75" customHeight="1">
      <c r="A415" s="2">
        <v>1.0</v>
      </c>
      <c r="B415" s="2" t="s">
        <v>1256</v>
      </c>
      <c r="C415" s="2" t="s">
        <v>1257</v>
      </c>
      <c r="D415" s="2" t="s">
        <v>19</v>
      </c>
      <c r="E415" s="2" t="s">
        <v>20</v>
      </c>
      <c r="F415" s="2" t="s">
        <v>15</v>
      </c>
      <c r="G415" s="2" t="s">
        <v>646</v>
      </c>
      <c r="H415" s="2" t="s">
        <v>92</v>
      </c>
      <c r="I415" s="2" t="str">
        <f>IFERROR(__xludf.DUMMYFUNCTION("GOOGLETRANSLATE(C415,""fr"",""en"")"),"By calling an advisor (very kind) to make my first membership for car insurance, at Direct Insurance, on the phone, I am given my wife's bonus (who has been client for 7 years at Direct Insurance for her car, and our Home insurance, garage), as well as an"&amp;" attractive price, which decides to change insurer, we therefore conclude the agreement by phone for an annual amount of 700th.
By sending the requested documents, my promised bonus is deleted following an IT error, after a few hours on the phone, spent "&amp;"from service to service, because telephone employees do not understand the problem, I have to go back by the salespeople of my initial call .
Once an annotation carried out by a salesperson on my file, I am reatribed the agreed bonus, I therefore recall "&amp;"the file followed by file, but a telephone employee finds in my wife's file a non -responsible accident of 2019 which increases the invoice , so I went from an initial offer agreed with the salesperson with bonus of 0.64 to 700th the year, to an offer wit"&amp;"h a bonus of 100 to 1200th the year, finally a last offer of 1090th per year With a bonus of 0.64 ... that I kindly offered to give up the contract, if it did not suit me.
A team of very pleasant and attentive French salespeople, a horrible and incompete"&amp;"nt telephone service abroad.
I am deeply disappointed with my first experience at Direct Insurance.
")</f>
        <v>By calling an advisor (very kind) to make my first membership for car insurance, at Direct Insurance, on the phone, I am given my wife's bonus (who has been client for 7 years at Direct Insurance for her car, and our Home insurance, garage), as well as an attractive price, which decides to change insurer, we therefore conclude the agreement by phone for an annual amount of 700th.
By sending the requested documents, my promised bonus is deleted following an IT error, after a few hours on the phone, spent from service to service, because telephone employees do not understand the problem, I have to go back by the salespeople of my initial call .
Once an annotation carried out by a salesperson on my file, I am reatribed the agreed bonus, I therefore recall the file followed by file, but a telephone employee finds in my wife's file a non -responsible accident of 2019 which increases the invoice , so I went from an initial offer agreed with the salesperson with bonus of 0.64 to 700th the year, to an offer with a bonus of 100 to 1200th the year, finally a last offer of 1090th per year With a bonus of 0.64 ... that I kindly offered to give up the contract, if it did not suit me.
A team of very pleasant and attentive French salespeople, a horrible and incompetent telephone service abroad.
I am deeply disappointed with my first experience at Direct Insurance.
</v>
      </c>
    </row>
    <row r="416" ht="15.75" customHeight="1">
      <c r="A416" s="2">
        <v>4.0</v>
      </c>
      <c r="B416" s="2" t="s">
        <v>1258</v>
      </c>
      <c r="C416" s="2" t="s">
        <v>1259</v>
      </c>
      <c r="D416" s="2" t="s">
        <v>86</v>
      </c>
      <c r="E416" s="2" t="s">
        <v>61</v>
      </c>
      <c r="F416" s="2" t="s">
        <v>15</v>
      </c>
      <c r="G416" s="2" t="s">
        <v>1044</v>
      </c>
      <c r="H416" s="2" t="s">
        <v>131</v>
      </c>
      <c r="I416" s="2" t="str">
        <f>IFERROR(__xludf.DUMMYFUNCTION("GOOGLETRANSLATE(C416,""fr"",""en"")"),"I am very satisfied with the telephone interview that I had with Maria, I appreciated the effectiveness of answering my various questions, as well as her kindness and her kindness, thank you for everything
")</f>
        <v>I am very satisfied with the telephone interview that I had with Maria, I appreciated the effectiveness of answering my various questions, as well as her kindness and her kindness, thank you for everything
</v>
      </c>
    </row>
    <row r="417" ht="15.75" customHeight="1">
      <c r="A417" s="2">
        <v>3.0</v>
      </c>
      <c r="B417" s="2" t="s">
        <v>1260</v>
      </c>
      <c r="C417" s="2" t="s">
        <v>1261</v>
      </c>
      <c r="D417" s="2" t="s">
        <v>111</v>
      </c>
      <c r="E417" s="2" t="s">
        <v>61</v>
      </c>
      <c r="F417" s="2" t="s">
        <v>15</v>
      </c>
      <c r="G417" s="2" t="s">
        <v>1262</v>
      </c>
      <c r="H417" s="2" t="s">
        <v>16</v>
      </c>
      <c r="I417" s="2" t="str">
        <f>IFERROR(__xludf.DUMMYFUNCTION("GOOGLETRANSLATE(C417,""fr"",""en"")"),"As long as we were in contact with our Périgueux agency in Dordogne, there was nothing to blame, the counselor were very adventurers. For more than a year it has been catastrophic, lamentable! You never have the same advisor on the phone ..... One tells y"&amp;"ou ""white"", the second tells you ""black"", the next contradiction the two previous ones! We promise to remind you several times, without result ... No one responds to the emails you send to them. Thirty days later, are you expecting and questioning? No"&amp;" decency to remind you !!! And all this with health coverage (guaranteed fullness tranquility) at € 200 monthly for a couple!
To be fleeing imperatively without turning around, this attitude smells very bad !!!!!!!!!!!!!!")</f>
        <v>As long as we were in contact with our Périgueux agency in Dordogne, there was nothing to blame, the counselor were very adventurers. For more than a year it has been catastrophic, lamentable! You never have the same advisor on the phone ..... One tells you "white", the second tells you "black", the next contradiction the two previous ones! We promise to remind you several times, without result ... No one responds to the emails you send to them. Thirty days later, are you expecting and questioning? No decency to remind you !!! And all this with health coverage (guaranteed fullness tranquility) at € 200 monthly for a couple!
To be fleeing imperatively without turning around, this attitude smells very bad !!!!!!!!!!!!!!</v>
      </c>
    </row>
    <row r="418" ht="15.75" customHeight="1">
      <c r="A418" s="2">
        <v>4.0</v>
      </c>
      <c r="B418" s="2" t="s">
        <v>1263</v>
      </c>
      <c r="C418" s="2" t="s">
        <v>1264</v>
      </c>
      <c r="D418" s="2" t="s">
        <v>19</v>
      </c>
      <c r="E418" s="2" t="s">
        <v>20</v>
      </c>
      <c r="F418" s="2" t="s">
        <v>15</v>
      </c>
      <c r="G418" s="2" t="s">
        <v>1084</v>
      </c>
      <c r="H418" s="2" t="s">
        <v>108</v>
      </c>
      <c r="I418" s="2" t="str">
        <f>IFERROR(__xludf.DUMMYFUNCTION("GOOGLETRANSLATE(C418,""fr"",""en"")"),"Viable site subscription is to be improved. Otherwise I am satisfied with the price. The offer is clear and accessible. I recommend because this insurance always returns in positively comparators
")</f>
        <v>Viable site subscription is to be improved. Otherwise I am satisfied with the price. The offer is clear and accessible. I recommend because this insurance always returns in positively comparators
</v>
      </c>
    </row>
    <row r="419" ht="15.75" customHeight="1">
      <c r="A419" s="2">
        <v>1.0</v>
      </c>
      <c r="B419" s="2" t="s">
        <v>1265</v>
      </c>
      <c r="C419" s="2" t="s">
        <v>1266</v>
      </c>
      <c r="D419" s="2" t="s">
        <v>19</v>
      </c>
      <c r="E419" s="2" t="s">
        <v>20</v>
      </c>
      <c r="F419" s="2" t="s">
        <v>15</v>
      </c>
      <c r="G419" s="2" t="s">
        <v>1267</v>
      </c>
      <c r="H419" s="2" t="s">
        <v>1268</v>
      </c>
      <c r="I419" s="2" t="str">
        <f>IFERROR(__xludf.DUMMYFUNCTION("GOOGLETRANSLATE(C419,""fr"",""en"")"),"Significant and automatic increase in the price after 1 year. Very great distrust of the insurer and his advisers, even after years without accidents.")</f>
        <v>Significant and automatic increase in the price after 1 year. Very great distrust of the insurer and his advisers, even after years without accidents.</v>
      </c>
    </row>
    <row r="420" ht="15.75" customHeight="1">
      <c r="A420" s="2">
        <v>1.0</v>
      </c>
      <c r="B420" s="2" t="s">
        <v>1269</v>
      </c>
      <c r="C420" s="2" t="s">
        <v>1270</v>
      </c>
      <c r="D420" s="2" t="s">
        <v>19</v>
      </c>
      <c r="E420" s="2" t="s">
        <v>20</v>
      </c>
      <c r="F420" s="2" t="s">
        <v>15</v>
      </c>
      <c r="G420" s="2" t="s">
        <v>108</v>
      </c>
      <c r="H420" s="2" t="s">
        <v>108</v>
      </c>
      <c r="I420" s="2" t="str">
        <f>IFERROR(__xludf.DUMMYFUNCTION("GOOGLETRANSLATE(C420,""fr"",""en"")"),"I regret the impossibility of reaching someone
And it is not reassuring for insurance c is not the foot
Is there an agency in the Hautes Alpes?")</f>
        <v>I regret the impossibility of reaching someone
And it is not reassuring for insurance c is not the foot
Is there an agency in the Hautes Alpes?</v>
      </c>
    </row>
    <row r="421" ht="15.75" customHeight="1">
      <c r="A421" s="2">
        <v>3.0</v>
      </c>
      <c r="B421" s="2" t="s">
        <v>1271</v>
      </c>
      <c r="C421" s="2" t="s">
        <v>1272</v>
      </c>
      <c r="D421" s="2" t="s">
        <v>35</v>
      </c>
      <c r="E421" s="2" t="s">
        <v>20</v>
      </c>
      <c r="F421" s="2" t="s">
        <v>15</v>
      </c>
      <c r="G421" s="2" t="s">
        <v>328</v>
      </c>
      <c r="H421" s="2" t="s">
        <v>32</v>
      </c>
      <c r="I421" s="2" t="str">
        <f>IFERROR(__xludf.DUMMYFUNCTION("GOOGLETRANSLATE(C421,""fr"",""en"")"),"I just made sure to the olive tree. I am satisfied with the prices and the remote computer service. Then, if ever, I have a concern, we will see if they hold their commitment.")</f>
        <v>I just made sure to the olive tree. I am satisfied with the prices and the remote computer service. Then, if ever, I have a concern, we will see if they hold their commitment.</v>
      </c>
    </row>
    <row r="422" ht="15.75" customHeight="1">
      <c r="A422" s="2">
        <v>1.0</v>
      </c>
      <c r="B422" s="2" t="s">
        <v>1273</v>
      </c>
      <c r="C422" s="2" t="s">
        <v>1274</v>
      </c>
      <c r="D422" s="2" t="s">
        <v>366</v>
      </c>
      <c r="E422" s="2" t="s">
        <v>20</v>
      </c>
      <c r="F422" s="2" t="s">
        <v>15</v>
      </c>
      <c r="G422" s="2" t="s">
        <v>1275</v>
      </c>
      <c r="H422" s="2" t="s">
        <v>701</v>
      </c>
      <c r="I422" s="2" t="str">
        <f>IFERROR(__xludf.DUMMYFUNCTION("GOOGLETRANSLATE(C422,""fr"",""en"")"),"If I had been able to put 0, I would have done it! A good thirty calls to obtain for the only answer ""I am not trained in the software"" when it is a question of taking the sous on the other hand, it is another story. Asked me to contact the experts myse"&amp;"lf when it is up to them to do so. Mission almost impossible! I have made an appointment twice with the experts, go to cancel twice by the pound to collect additional guarding costs. I warn the insurance which is buffalling the shell. And when finally we "&amp;"offer a compensation offer, I have to do the work of insurance again by contacting the potential buyer. of a sinister vehicle that I have not posted, and which has been on the pound for two months! I am having a good thirty calls to know what is going on,"&amp;" only one answer ""I am not trained in the software"" registered it to your business and my lawyer will be sent from hand morning")</f>
        <v>If I had been able to put 0, I would have done it! A good thirty calls to obtain for the only answer "I am not trained in the software" when it is a question of taking the sous on the other hand, it is another story. Asked me to contact the experts myself when it is up to them to do so. Mission almost impossible! I have made an appointment twice with the experts, go to cancel twice by the pound to collect additional guarding costs. I warn the insurance which is buffalling the shell. And when finally we offer a compensation offer, I have to do the work of insurance again by contacting the potential buyer. of a sinister vehicle that I have not posted, and which has been on the pound for two months! I am having a good thirty calls to know what is going on, only one answer "I am not trained in the software" registered it to your business and my lawyer will be sent from hand morning</v>
      </c>
    </row>
    <row r="423" ht="15.75" customHeight="1">
      <c r="A423" s="2">
        <v>5.0</v>
      </c>
      <c r="B423" s="2" t="s">
        <v>1276</v>
      </c>
      <c r="C423" s="2" t="s">
        <v>1277</v>
      </c>
      <c r="D423" s="2" t="s">
        <v>35</v>
      </c>
      <c r="E423" s="2" t="s">
        <v>20</v>
      </c>
      <c r="F423" s="2" t="s">
        <v>15</v>
      </c>
      <c r="G423" s="2" t="s">
        <v>1219</v>
      </c>
      <c r="H423" s="2" t="s">
        <v>256</v>
      </c>
      <c r="I423" s="2" t="str">
        <f>IFERROR(__xludf.DUMMYFUNCTION("GOOGLETRANSLATE(C423,""fr"",""en"")"),"At the start chosen for these attractive prices, I realized that it was very good insurance. During my 2 claims, I was guided step by step for the different steps to do. The platform on the Internet is very easy to use. I was especially surprised by the q"&amp;"uality of the relationship with the claims that was attentive and which helped me a lot during the procedures. Obviously, a disaster is never easy to live especially when it is your first car (like my case) and when I underwent my 2 claims, the claim serv"&amp;"ices reassured me a lot and was very clear what to do and how. Also the service was very fast and directly I was able to send my car to an approved garage and I did not even have to advance the money. I highly recommend.")</f>
        <v>At the start chosen for these attractive prices, I realized that it was very good insurance. During my 2 claims, I was guided step by step for the different steps to do. The platform on the Internet is very easy to use. I was especially surprised by the quality of the relationship with the claims that was attentive and which helped me a lot during the procedures. Obviously, a disaster is never easy to live especially when it is your first car (like my case) and when I underwent my 2 claims, the claim services reassured me a lot and was very clear what to do and how. Also the service was very fast and directly I was able to send my car to an approved garage and I did not even have to advance the money. I highly recommend.</v>
      </c>
    </row>
    <row r="424" ht="15.75" customHeight="1">
      <c r="A424" s="2">
        <v>1.0</v>
      </c>
      <c r="B424" s="2" t="s">
        <v>1278</v>
      </c>
      <c r="C424" s="2" t="s">
        <v>1279</v>
      </c>
      <c r="D424" s="2" t="s">
        <v>24</v>
      </c>
      <c r="E424" s="2" t="s">
        <v>20</v>
      </c>
      <c r="F424" s="2" t="s">
        <v>15</v>
      </c>
      <c r="G424" s="2" t="s">
        <v>1280</v>
      </c>
      <c r="H424" s="2" t="s">
        <v>1281</v>
      </c>
      <c r="I424" s="2" t="str">
        <f>IFERROR(__xludf.DUMMYFUNCTION("GOOGLETRANSLATE(C424,""fr"",""en"")"),"Very high budget concerning all services. With similar guarantees, more than 200 € difference. Very high house and mutual insurance for similar guarantees elsewhere. Reactivity of bad advisers")</f>
        <v>Very high budget concerning all services. With similar guarantees, more than 200 € difference. Very high house and mutual insurance for similar guarantees elsewhere. Reactivity of bad advisers</v>
      </c>
    </row>
    <row r="425" ht="15.75" customHeight="1">
      <c r="A425" s="2">
        <v>4.0</v>
      </c>
      <c r="B425" s="2" t="s">
        <v>1282</v>
      </c>
      <c r="C425" s="2" t="s">
        <v>1283</v>
      </c>
      <c r="D425" s="2" t="s">
        <v>19</v>
      </c>
      <c r="E425" s="2" t="s">
        <v>20</v>
      </c>
      <c r="F425" s="2" t="s">
        <v>15</v>
      </c>
      <c r="G425" s="2" t="s">
        <v>1284</v>
      </c>
      <c r="H425" s="2" t="s">
        <v>108</v>
      </c>
      <c r="I425" s="2" t="str">
        <f>IFERROR(__xludf.DUMMYFUNCTION("GOOGLETRANSLATE(C425,""fr"",""en"")"),"Prices suit me and everything is fast is now to be seen in the long term if you are good insurance, I hope you are listening to your customers")</f>
        <v>Prices suit me and everything is fast is now to be seen in the long term if you are good insurance, I hope you are listening to your customers</v>
      </c>
    </row>
    <row r="426" ht="15.75" customHeight="1">
      <c r="A426" s="2">
        <v>5.0</v>
      </c>
      <c r="B426" s="2" t="s">
        <v>1285</v>
      </c>
      <c r="C426" s="2" t="s">
        <v>1286</v>
      </c>
      <c r="D426" s="2" t="s">
        <v>19</v>
      </c>
      <c r="E426" s="2" t="s">
        <v>20</v>
      </c>
      <c r="F426" s="2" t="s">
        <v>15</v>
      </c>
      <c r="G426" s="2" t="s">
        <v>434</v>
      </c>
      <c r="H426" s="2" t="s">
        <v>45</v>
      </c>
      <c r="I426" s="2" t="str">
        <f>IFERROR(__xludf.DUMMYFUNCTION("GOOGLETRANSLATE(C426,""fr"",""en"")"),"Very attractive price, the site is very well done. Now see if the guarantees and the service will be there. In any case I have won 50 percent of the price compared to my alliance insurance")</f>
        <v>Very attractive price, the site is very well done. Now see if the guarantees and the service will be there. In any case I have won 50 percent of the price compared to my alliance insurance</v>
      </c>
    </row>
    <row r="427" ht="15.75" customHeight="1">
      <c r="A427" s="2">
        <v>4.0</v>
      </c>
      <c r="B427" s="2" t="s">
        <v>1287</v>
      </c>
      <c r="C427" s="2" t="s">
        <v>1288</v>
      </c>
      <c r="D427" s="2" t="s">
        <v>56</v>
      </c>
      <c r="E427" s="2" t="s">
        <v>20</v>
      </c>
      <c r="F427" s="2" t="s">
        <v>15</v>
      </c>
      <c r="G427" s="2" t="s">
        <v>1289</v>
      </c>
      <c r="H427" s="2" t="s">
        <v>347</v>
      </c>
      <c r="I427" s="2" t="str">
        <f>IFERROR(__xludf.DUMMYFUNCTION("GOOGLETRANSLATE(C427,""fr"",""en"")"),"A good listening, management of effective and fast demand all with uncommon friendliness these days I absolutely do not regret having changed my insurance to go to Pacifica")</f>
        <v>A good listening, management of effective and fast demand all with uncommon friendliness these days I absolutely do not regret having changed my insurance to go to Pacifica</v>
      </c>
    </row>
    <row r="428" ht="15.75" customHeight="1">
      <c r="A428" s="2">
        <v>1.0</v>
      </c>
      <c r="B428" s="2" t="s">
        <v>1290</v>
      </c>
      <c r="C428" s="2" t="s">
        <v>1291</v>
      </c>
      <c r="D428" s="2" t="s">
        <v>193</v>
      </c>
      <c r="E428" s="2" t="s">
        <v>20</v>
      </c>
      <c r="F428" s="2" t="s">
        <v>15</v>
      </c>
      <c r="G428" s="2" t="s">
        <v>1292</v>
      </c>
      <c r="H428" s="2" t="s">
        <v>116</v>
      </c>
      <c r="I428" s="2" t="str">
        <f>IFERROR(__xludf.DUMMYFUNCTION("GOOGLETRANSLATE(C428,""fr"",""en"")"),"I am extremely disappointed with the incompetence of Matmut to manage claims. Indeed, my father was overthrown, in Nice by a car. Police present, identification of the driver, firefighters. It has been 2 years now that the Matmut manages the file without "&amp;"result. 2 years and nothing, what a shame for a society that wants to be mutual.
What are you waiting for? How far is your cynicism towards an 85 -year -old man, will go? On another dossier, he has been waiting for an action from the Matmut for more than"&amp;" 2 years, on a water damage in his bathroom, of which he was the victim. Again, no solution, no proposal, no customer relations. I forgot, we have had several contracts for 30 years. And so what?")</f>
        <v>I am extremely disappointed with the incompetence of Matmut to manage claims. Indeed, my father was overthrown, in Nice by a car. Police present, identification of the driver, firefighters. It has been 2 years now that the Matmut manages the file without result. 2 years and nothing, what a shame for a society that wants to be mutual.
What are you waiting for? How far is your cynicism towards an 85 -year -old man, will go? On another dossier, he has been waiting for an action from the Matmut for more than 2 years, on a water damage in his bathroom, of which he was the victim. Again, no solution, no proposal, no customer relations. I forgot, we have had several contracts for 30 years. And so what?</v>
      </c>
    </row>
    <row r="429" ht="15.75" customHeight="1">
      <c r="A429" s="2">
        <v>2.0</v>
      </c>
      <c r="B429" s="2" t="s">
        <v>1293</v>
      </c>
      <c r="C429" s="2" t="s">
        <v>1294</v>
      </c>
      <c r="D429" s="2" t="s">
        <v>285</v>
      </c>
      <c r="E429" s="2" t="s">
        <v>122</v>
      </c>
      <c r="F429" s="2" t="s">
        <v>15</v>
      </c>
      <c r="G429" s="2" t="s">
        <v>1295</v>
      </c>
      <c r="H429" s="2" t="s">
        <v>491</v>
      </c>
      <c r="I429" s="2" t="str">
        <f>IFERROR(__xludf.DUMMYFUNCTION("GOOGLETRANSLATE(C429,""fr"",""en"")"),"Insured for about 20 years at the Macif. A vehicle has demolished my fence the Macif refuses to take into account all the damage, asks me to do certain work myself. When I claim threaten me to reduce my reimbursement. What behavior!")</f>
        <v>Insured for about 20 years at the Macif. A vehicle has demolished my fence the Macif refuses to take into account all the damage, asks me to do certain work myself. When I claim threaten me to reduce my reimbursement. What behavior!</v>
      </c>
    </row>
    <row r="430" ht="15.75" customHeight="1">
      <c r="A430" s="2">
        <v>4.0</v>
      </c>
      <c r="B430" s="2" t="s">
        <v>1296</v>
      </c>
      <c r="C430" s="2" t="s">
        <v>1297</v>
      </c>
      <c r="D430" s="2" t="s">
        <v>35</v>
      </c>
      <c r="E430" s="2" t="s">
        <v>20</v>
      </c>
      <c r="F430" s="2" t="s">
        <v>15</v>
      </c>
      <c r="G430" s="2" t="s">
        <v>1298</v>
      </c>
      <c r="H430" s="2" t="s">
        <v>92</v>
      </c>
      <c r="I430" s="2" t="str">
        <f>IFERROR(__xludf.DUMMYFUNCTION("GOOGLETRANSLATE(C430,""fr"",""en"")"),"Prices suit me
The service is qualitative. Specific and concise clear information
Prices suit me
The service is qualitative. Specific and concise clear information")</f>
        <v>Prices suit me
The service is qualitative. Specific and concise clear information
Prices suit me
The service is qualitative. Specific and concise clear information</v>
      </c>
    </row>
    <row r="431" ht="15.75" customHeight="1">
      <c r="A431" s="2">
        <v>3.0</v>
      </c>
      <c r="B431" s="2" t="s">
        <v>1299</v>
      </c>
      <c r="C431" s="2" t="s">
        <v>1300</v>
      </c>
      <c r="D431" s="2" t="s">
        <v>134</v>
      </c>
      <c r="E431" s="2" t="s">
        <v>135</v>
      </c>
      <c r="F431" s="2" t="s">
        <v>15</v>
      </c>
      <c r="G431" s="2" t="s">
        <v>1301</v>
      </c>
      <c r="H431" s="2" t="s">
        <v>16</v>
      </c>
      <c r="I431" s="2" t="str">
        <f>IFERROR(__xludf.DUMMYFUNCTION("GOOGLETRANSLATE(C431,""fr"",""en"")"),"Hello, my sister and I are beneficiaries of life insurance contracted at AFER, by my mother who died on December 14, 2019. Our file has been complete since May 29, we have set the tax tax on this capital and up to date despite The intervention of the form"&amp;"er AFER advisor to my mom, my lawyer, many emails, phone calls, recommended, AFER remains silent. We just don't want to settle this capital that is due to us. why ? Placing your money at AFER is taking the risk of not having it in case of urgent need as i"&amp;"s our case !!!! I call on the management director GIE AFER, to finally make the transfer of this capital on our respective accounts (please respect article L132-23-1 of the insurers' code, providing that the deadline cannot exceed a month After receipt of"&amp;" the documents, for the payment of the capital to the beneficiary of the said contract) !!!
Today I also submitted a file to UFC Que Choisir de Cahors 46000.
It is unacceptable to take people hostage in this way.")</f>
        <v>Hello, my sister and I are beneficiaries of life insurance contracted at AFER, by my mother who died on December 14, 2019. Our file has been complete since May 29, we have set the tax tax on this capital and up to date despite The intervention of the former AFER advisor to my mom, my lawyer, many emails, phone calls, recommended, AFER remains silent. We just don't want to settle this capital that is due to us. why ? Placing your money at AFER is taking the risk of not having it in case of urgent need as is our case !!!! I call on the management director GIE AFER, to finally make the transfer of this capital on our respective accounts (please respect article L132-23-1 of the insurers' code, providing that the deadline cannot exceed a month After receipt of the documents, for the payment of the capital to the beneficiary of the said contract) !!!
Today I also submitted a file to UFC Que Choisir de Cahors 46000.
It is unacceptable to take people hostage in this way.</v>
      </c>
    </row>
    <row r="432" ht="15.75" customHeight="1">
      <c r="A432" s="2">
        <v>1.0</v>
      </c>
      <c r="B432" s="2" t="s">
        <v>1302</v>
      </c>
      <c r="C432" s="2" t="s">
        <v>1303</v>
      </c>
      <c r="D432" s="2" t="s">
        <v>111</v>
      </c>
      <c r="E432" s="2" t="s">
        <v>61</v>
      </c>
      <c r="F432" s="2" t="s">
        <v>15</v>
      </c>
      <c r="G432" s="2" t="s">
        <v>1304</v>
      </c>
      <c r="H432" s="2" t="s">
        <v>190</v>
      </c>
      <c r="I432" s="2" t="str">
        <f>IFERROR(__xludf.DUMMYFUNCTION("GOOGLETRANSLATE(C432,""fr"",""en"")"),"The worst mutual insurance company I have had in all my life. I've been fighting for 3 months for my daughter to have her mutual. I have been turned into a brutal since his birth in early February. Clearly incompetent customer service! Who does not recall"&amp;" then that it is planned, who are not even able to write a date of birth correctly. This is the second false mutual card that I receive and suddenly the teletransmission is not set up! Worse reimbursement than delay to see nonexistent for some. The worst "&amp;"part is that when claiming the reimbursement of a pharmacy invoice, he answers me that these are not products supported by my contract. Since when compresses and biseptin has not been reimbursed. In addition, he reimbursed them to me on other invoices. Li"&amp;"ke what really we are dealing with incompetent. Besides Ag2r. I am still waiting for the promised call of Catherine who still zapped me for the umpteenth time !!! You should be ashamed of leaving a 3 month old baby in this galley. For 3 months I have call"&amp;"ed you minimum every 10 days. You always answer next to the plate. I have to be 40 euros out of package with your nonsense. In short with all the concerns you give me, I prepare the paperwork to terminate my contracts at home.")</f>
        <v>The worst mutual insurance company I have had in all my life. I've been fighting for 3 months for my daughter to have her mutual. I have been turned into a brutal since his birth in early February. Clearly incompetent customer service! Who does not recall then that it is planned, who are not even able to write a date of birth correctly. This is the second false mutual card that I receive and suddenly the teletransmission is not set up! Worse reimbursement than delay to see nonexistent for some. The worst part is that when claiming the reimbursement of a pharmacy invoice, he answers me that these are not products supported by my contract. Since when compresses and biseptin has not been reimbursed. In addition, he reimbursed them to me on other invoices. Like what really we are dealing with incompetent. Besides Ag2r. I am still waiting for the promised call of Catherine who still zapped me for the umpteenth time !!! You should be ashamed of leaving a 3 month old baby in this galley. For 3 months I have called you minimum every 10 days. You always answer next to the plate. I have to be 40 euros out of package with your nonsense. In short with all the concerns you give me, I prepare the paperwork to terminate my contracts at home.</v>
      </c>
    </row>
    <row r="433" ht="15.75" customHeight="1">
      <c r="A433" s="2">
        <v>4.0</v>
      </c>
      <c r="B433" s="2" t="s">
        <v>1305</v>
      </c>
      <c r="C433" s="2" t="s">
        <v>1306</v>
      </c>
      <c r="D433" s="2" t="s">
        <v>100</v>
      </c>
      <c r="E433" s="2" t="s">
        <v>20</v>
      </c>
      <c r="F433" s="2" t="s">
        <v>15</v>
      </c>
      <c r="G433" s="2" t="s">
        <v>1307</v>
      </c>
      <c r="H433" s="2" t="s">
        <v>501</v>
      </c>
      <c r="I433" s="2" t="str">
        <f>IFERROR(__xludf.DUMMYFUNCTION("GOOGLETRANSLATE(C433,""fr"",""en"")"),"No comments to add
Happy with the service always on the phone and superb explanations very happy with your service thank you")</f>
        <v>No comments to add
Happy with the service always on the phone and superb explanations very happy with your service thank you</v>
      </c>
    </row>
    <row r="434" ht="15.75" customHeight="1">
      <c r="A434" s="2">
        <v>1.0</v>
      </c>
      <c r="B434" s="2" t="s">
        <v>1308</v>
      </c>
      <c r="C434" s="2" t="s">
        <v>1309</v>
      </c>
      <c r="D434" s="2" t="s">
        <v>56</v>
      </c>
      <c r="E434" s="2" t="s">
        <v>20</v>
      </c>
      <c r="F434" s="2" t="s">
        <v>15</v>
      </c>
      <c r="G434" s="2" t="s">
        <v>1310</v>
      </c>
      <c r="H434" s="2" t="s">
        <v>108</v>
      </c>
      <c r="I434" s="2" t="str">
        <f>IFERROR(__xludf.DUMMYFUNCTION("GOOGLETRANSLATE(C434,""fr"",""en"")"),"Pacifica is on average 20% more expensive than competition. So if you choose this insurer it is to benefit from better guarantees.
That Nenni, during a claim the BCA expertise firm is commissioned and paid by the Pacifica insurers to reduce the cost of r"&amp;"epairs to the insurer's request as much as possible. So in conclusion choose the most competitive insurance.")</f>
        <v>Pacifica is on average 20% more expensive than competition. So if you choose this insurer it is to benefit from better guarantees.
That Nenni, during a claim the BCA expertise firm is commissioned and paid by the Pacifica insurers to reduce the cost of repairs to the insurer's request as much as possible. So in conclusion choose the most competitive insurance.</v>
      </c>
    </row>
    <row r="435" ht="15.75" customHeight="1">
      <c r="A435" s="2">
        <v>2.0</v>
      </c>
      <c r="B435" s="2" t="s">
        <v>1311</v>
      </c>
      <c r="C435" s="2" t="s">
        <v>1312</v>
      </c>
      <c r="D435" s="2" t="s">
        <v>24</v>
      </c>
      <c r="E435" s="2" t="s">
        <v>214</v>
      </c>
      <c r="F435" s="2" t="s">
        <v>15</v>
      </c>
      <c r="G435" s="2" t="s">
        <v>1313</v>
      </c>
      <c r="H435" s="2" t="s">
        <v>347</v>
      </c>
      <c r="I435" s="2" t="str">
        <f>IFERROR(__xludf.DUMMYFUNCTION("GOOGLETRANSLATE(C435,""fr"",""en"")"),"Hello, on sick leave since October 23, 2019 I have still not had a salary supplement. The contacted service told me that it was up to my boss to call. He did it and he was replied: ""It is in progress"" while waiting for what I touch on the security does "&amp;"not pay my fixed charges. My banker is nice but she gets impatient. Will be the surprise this month again .....")</f>
        <v>Hello, on sick leave since October 23, 2019 I have still not had a salary supplement. The contacted service told me that it was up to my boss to call. He did it and he was replied: "It is in progress" while waiting for what I touch on the security does not pay my fixed charges. My banker is nice but she gets impatient. Will be the surprise this month again .....</v>
      </c>
    </row>
    <row r="436" ht="15.75" customHeight="1">
      <c r="A436" s="2">
        <v>1.0</v>
      </c>
      <c r="B436" s="2" t="s">
        <v>1314</v>
      </c>
      <c r="C436" s="2" t="s">
        <v>1315</v>
      </c>
      <c r="D436" s="2" t="s">
        <v>337</v>
      </c>
      <c r="E436" s="2" t="s">
        <v>20</v>
      </c>
      <c r="F436" s="2" t="s">
        <v>15</v>
      </c>
      <c r="G436" s="2" t="s">
        <v>1316</v>
      </c>
      <c r="H436" s="2" t="s">
        <v>449</v>
      </c>
      <c r="I436" s="2" t="str">
        <f>IFERROR(__xludf.DUMMYFUNCTION("GOOGLETRANSLATE(C436,""fr"",""en"")"),"Customer at home for 15 years (I naturally followed my parents' insurer after accompanied driving), first trip to Maif agency and the last. All my contracts and those of my partner are terminated!
Here is the story: online quote, exorbitant price reque"&amp;"sted for an AUDI (+1600 € of insurance) while the other insurers are rather around € 900/1000. So I travel to the agency, when I try to get a small discount that has been a customer for 15 years, already having 2 cars+housing and no claim declared since ("&amp;"0, nada, maybe 1 broken ice there is 7/8 years), the advisor replies that ""the prices are calculated as accurately as possible and that no discounts are consented"". It then updates my profile which had remained at ""student"". And her little eyes light "&amp;"up when I indicate that we are 2 executives in the private sector and try to sell me life insurance, death insurance etc ... etc. The right joke 2 minutes after having me Said that I will not have 1 € of discount on a premium sedan! And the worst you go f"&amp;"rom rooster to ane in 30 seconds (auto insurance, life, death everything goes there), we swing the presentation sheets and the signature must follow. It is unacceptable to have such unleashed advisers who ask you for your heritage in the middle of an open"&amp;" space!
Inadmissible! Never again at home, you will not have my money")</f>
        <v>Customer at home for 15 years (I naturally followed my parents' insurer after accompanied driving), first trip to Maif agency and the last. All my contracts and those of my partner are terminated!
Here is the story: online quote, exorbitant price requested for an AUDI (+1600 € of insurance) while the other insurers are rather around € 900/1000. So I travel to the agency, when I try to get a small discount that has been a customer for 15 years, already having 2 cars+housing and no claim declared since (0, nada, maybe 1 broken ice there is 7/8 years), the advisor replies that "the prices are calculated as accurately as possible and that no discounts are consented". It then updates my profile which had remained at "student". And her little eyes light up when I indicate that we are 2 executives in the private sector and try to sell me life insurance, death insurance etc ... etc. The right joke 2 minutes after having me Said that I will not have 1 € of discount on a premium sedan! And the worst you go from rooster to ane in 30 seconds (auto insurance, life, death everything goes there), we swing the presentation sheets and the signature must follow. It is unacceptable to have such unleashed advisers who ask you for your heritage in the middle of an open space!
Inadmissible! Never again at home, you will not have my money</v>
      </c>
    </row>
    <row r="437" ht="15.75" customHeight="1">
      <c r="A437" s="2">
        <v>1.0</v>
      </c>
      <c r="B437" s="2" t="s">
        <v>1317</v>
      </c>
      <c r="C437" s="2" t="s">
        <v>1318</v>
      </c>
      <c r="D437" s="2" t="s">
        <v>285</v>
      </c>
      <c r="E437" s="2" t="s">
        <v>20</v>
      </c>
      <c r="F437" s="2" t="s">
        <v>15</v>
      </c>
      <c r="G437" s="2" t="s">
        <v>1319</v>
      </c>
      <c r="H437" s="2" t="s">
        <v>127</v>
      </c>
      <c r="I437" s="2" t="str">
        <f>IFERROR(__xludf.DUMMYFUNCTION("GOOGLETRANSLATE(C437,""fr"",""en"")"),"Really disappointed with this insurance.
A lot of lies about salesperson in the Soissons agency!
And now they take our car insurance to us when he doesn't know anything at all!
")</f>
        <v>Really disappointed with this insurance.
A lot of lies about salesperson in the Soissons agency!
And now they take our car insurance to us when he doesn't know anything at all!
</v>
      </c>
    </row>
    <row r="438" ht="15.75" customHeight="1">
      <c r="A438" s="2">
        <v>4.0</v>
      </c>
      <c r="B438" s="2" t="s">
        <v>1320</v>
      </c>
      <c r="C438" s="2" t="s">
        <v>1321</v>
      </c>
      <c r="D438" s="2" t="s">
        <v>19</v>
      </c>
      <c r="E438" s="2" t="s">
        <v>20</v>
      </c>
      <c r="F438" s="2" t="s">
        <v>15</v>
      </c>
      <c r="G438" s="2" t="s">
        <v>1322</v>
      </c>
      <c r="H438" s="2" t="s">
        <v>164</v>
      </c>
      <c r="I438" s="2" t="str">
        <f>IFERROR(__xludf.DUMMYFUNCTION("GOOGLETRANSLATE(C438,""fr"",""en"")"),"I am satisfied with the service...
Taris are very attractive ...
Good value for money ...
I now recommend seeing the levy level and so on.
")</f>
        <v>I am satisfied with the service...
Taris are very attractive ...
Good value for money ...
I now recommend seeing the levy level and so on.
</v>
      </c>
    </row>
    <row r="439" ht="15.75" customHeight="1">
      <c r="A439" s="2">
        <v>2.0</v>
      </c>
      <c r="B439" s="2" t="s">
        <v>1323</v>
      </c>
      <c r="C439" s="2" t="s">
        <v>1324</v>
      </c>
      <c r="D439" s="2" t="s">
        <v>24</v>
      </c>
      <c r="E439" s="2" t="s">
        <v>20</v>
      </c>
      <c r="F439" s="2" t="s">
        <v>15</v>
      </c>
      <c r="G439" s="2" t="s">
        <v>1325</v>
      </c>
      <c r="H439" s="2" t="s">
        <v>701</v>
      </c>
      <c r="I439" s="2" t="str">
        <f>IFERROR(__xludf.DUMMYFUNCTION("GOOGLETRANSLATE(C439,""fr"",""en"")"),"50 years of experience of insurers. Automobiles: 4 insurers during this period. I have never been treated so badly. I am now threatened with a anniversary termination and registration for the professional central file because their service has not receive"&amp;"d the SEPA mandate. Since the initial sending of my contract in December 2018, I have been struggling: no form was appeared in attachments, therefore for them an immediate threat letter. I proposed myself by email that they send me this form, send me an e"&amp;"mail in April as it is done. I am still waiting for this form (and why not send it by email, I inquired it exists but when I see the lack of quality of their mail, obsolete police, customer treatment dating from the 19th century). While my samples are tak"&amp;"en without incident, I am still threatened in this letter to continue them (otherwise Panpan Cucul ????). Well, I'm going to be happy to finish this discourse year of insurance (it's a light word).")</f>
        <v>50 years of experience of insurers. Automobiles: 4 insurers during this period. I have never been treated so badly. I am now threatened with a anniversary termination and registration for the professional central file because their service has not received the SEPA mandate. Since the initial sending of my contract in December 2018, I have been struggling: no form was appeared in attachments, therefore for them an immediate threat letter. I proposed myself by email that they send me this form, send me an email in April as it is done. I am still waiting for this form (and why not send it by email, I inquired it exists but when I see the lack of quality of their mail, obsolete police, customer treatment dating from the 19th century). While my samples are taken without incident, I am still threatened in this letter to continue them (otherwise Panpan Cucul ????). Well, I'm going to be happy to finish this discourse year of insurance (it's a light word).</v>
      </c>
    </row>
    <row r="440" ht="15.75" customHeight="1">
      <c r="A440" s="2">
        <v>4.0</v>
      </c>
      <c r="B440" s="2" t="s">
        <v>1326</v>
      </c>
      <c r="C440" s="2" t="s">
        <v>1327</v>
      </c>
      <c r="D440" s="2" t="s">
        <v>245</v>
      </c>
      <c r="E440" s="2" t="s">
        <v>61</v>
      </c>
      <c r="F440" s="2" t="s">
        <v>15</v>
      </c>
      <c r="G440" s="2" t="s">
        <v>1328</v>
      </c>
      <c r="H440" s="2" t="s">
        <v>70</v>
      </c>
      <c r="I440" s="2" t="str">
        <f>IFERROR(__xludf.DUMMYFUNCTION("GOOGLETRANSLATE(C440,""fr"",""en"")"),"It's been 3 years that I have been at Santiane and always happy with the efficiency it is enough simply to call in time they always take care to highlight my needs before a price and especially the possibility of comparing from year to year they explain e"&amp;"verything")</f>
        <v>It's been 3 years that I have been at Santiane and always happy with the efficiency it is enough simply to call in time they always take care to highlight my needs before a price and especially the possibility of comparing from year to year they explain everything</v>
      </c>
    </row>
    <row r="441" ht="15.75" customHeight="1">
      <c r="A441" s="2">
        <v>1.0</v>
      </c>
      <c r="B441" s="2" t="s">
        <v>1329</v>
      </c>
      <c r="C441" s="2" t="s">
        <v>1330</v>
      </c>
      <c r="D441" s="2" t="s">
        <v>200</v>
      </c>
      <c r="E441" s="2" t="s">
        <v>30</v>
      </c>
      <c r="F441" s="2" t="s">
        <v>15</v>
      </c>
      <c r="G441" s="2" t="s">
        <v>1331</v>
      </c>
      <c r="H441" s="2" t="s">
        <v>26</v>
      </c>
      <c r="I441" s="2" t="str">
        <f>IFERROR(__xludf.DUMMYFUNCTION("GOOGLETRANSLATE(C441,""fr"",""en"")"),"Watch out for these raptors!
They can make you pay for insurance on a property that does not exist! Check your accounts well because they are well known to recover money as soon as possible. No possibility of contacting them, only automatic responses a"&amp;"re transmitted")</f>
        <v>Watch out for these raptors!
They can make you pay for insurance on a property that does not exist! Check your accounts well because they are well known to recover money as soon as possible. No possibility of contacting them, only automatic responses are transmitted</v>
      </c>
    </row>
    <row r="442" ht="15.75" customHeight="1">
      <c r="A442" s="2">
        <v>1.0</v>
      </c>
      <c r="B442" s="2" t="s">
        <v>1332</v>
      </c>
      <c r="C442" s="2" t="s">
        <v>1333</v>
      </c>
      <c r="D442" s="2" t="s">
        <v>337</v>
      </c>
      <c r="E442" s="2" t="s">
        <v>122</v>
      </c>
      <c r="F442" s="2" t="s">
        <v>15</v>
      </c>
      <c r="G442" s="2" t="s">
        <v>938</v>
      </c>
      <c r="H442" s="2" t="s">
        <v>127</v>
      </c>
      <c r="I442" s="2" t="str">
        <f>IFERROR(__xludf.DUMMYFUNCTION("GOOGLETRANSLATE(C442,""fr"",""en"")"),"It is undoubtedly the worst insurance because it is - to my knowledge - one of the only to play on militant fiber. At least the others do not have the goujater to make believe that they will accompany customers.
In the Macaron de la Maif is attached ""mi"&amp;"litant insurer"", while as a contributor said it is really a ""faulty insurer"". But as long as they will make the general public and the media believe that their approach is motivated by the well-being of their members, they will be won. Yet they are rea"&amp;"lly not property. Their only - Motivation: to earn as much money as possible.
Let's use social networks to reveal what maif is really ....")</f>
        <v>It is undoubtedly the worst insurance because it is - to my knowledge - one of the only to play on militant fiber. At least the others do not have the goujater to make believe that they will accompany customers.
In the Macaron de la Maif is attached "militant insurer", while as a contributor said it is really a "faulty insurer". But as long as they will make the general public and the media believe that their approach is motivated by the well-being of their members, they will be won. Yet they are really not property. Their only - Motivation: to earn as much money as possible.
Let's use social networks to reveal what maif is really ....</v>
      </c>
    </row>
    <row r="443" ht="15.75" customHeight="1">
      <c r="A443" s="2">
        <v>1.0</v>
      </c>
      <c r="B443" s="2" t="s">
        <v>1334</v>
      </c>
      <c r="C443" s="2" t="s">
        <v>1335</v>
      </c>
      <c r="D443" s="2" t="s">
        <v>350</v>
      </c>
      <c r="E443" s="2" t="s">
        <v>61</v>
      </c>
      <c r="F443" s="2" t="s">
        <v>15</v>
      </c>
      <c r="G443" s="2" t="s">
        <v>1336</v>
      </c>
      <c r="H443" s="2" t="s">
        <v>70</v>
      </c>
      <c r="I443" s="2" t="str">
        <f>IFERROR(__xludf.DUMMYFUNCTION("GOOGLETRANSLATE(C443,""fr"",""en"")"),"Just flee this insurance. Run away to run away
3 years client. I live in Létranger. I had last a very big accident where I almost lost his life. 2 weeks Dhopital Reanimation etc. April did not want to know how to drag the file for 1 year. No refund while"&amp;" medical costs in my country are expensive. A deplorable communication by email with people based in Mexico ... Impossible to reach them by phone. I had to take a lawyer here to defend myself and that they deign to answer me by email. To have won my lawye"&amp;"r told me that it had to take another in France. The more the cost than that generates. I do not have the means. I received an email from Mexico in a very approximate French that made us think more of a Google Trad translation quit something with confused"&amp;" answers. They dragged in length asking me explanations that he was simply impossible to give them. They drowned the fish and turn around the pot for months. They just don't reimburse you the day you have a big seed. All this Maura cost a little fortune. "&amp;"In summary you must be in good health and never have a Daccident to subscribe to April.
I am ready to warn people on all sites like this one. It is unacceptable to be treated like this.")</f>
        <v>Just flee this insurance. Run away to run away
3 years client. I live in Létranger. I had last a very big accident where I almost lost his life. 2 weeks Dhopital Reanimation etc. April did not want to know how to drag the file for 1 year. No refund while medical costs in my country are expensive. A deplorable communication by email with people based in Mexico ... Impossible to reach them by phone. I had to take a lawyer here to defend myself and that they deign to answer me by email. To have won my lawyer told me that it had to take another in France. The more the cost than that generates. I do not have the means. I received an email from Mexico in a very approximate French that made us think more of a Google Trad translation quit something with confused answers. They dragged in length asking me explanations that he was simply impossible to give them. They drowned the fish and turn around the pot for months. They just don't reimburse you the day you have a big seed. All this Maura cost a little fortune. In summary you must be in good health and never have a Daccident to subscribe to April.
I am ready to warn people on all sites like this one. It is unacceptable to be treated like this.</v>
      </c>
    </row>
    <row r="444" ht="15.75" customHeight="1">
      <c r="A444" s="2">
        <v>2.0</v>
      </c>
      <c r="B444" s="2" t="s">
        <v>1337</v>
      </c>
      <c r="C444" s="2" t="s">
        <v>1338</v>
      </c>
      <c r="D444" s="2" t="s">
        <v>43</v>
      </c>
      <c r="E444" s="2" t="s">
        <v>20</v>
      </c>
      <c r="F444" s="2" t="s">
        <v>15</v>
      </c>
      <c r="G444" s="2" t="s">
        <v>1339</v>
      </c>
      <c r="H444" s="2" t="s">
        <v>729</v>
      </c>
      <c r="I444" s="2" t="str">
        <f>IFERROR(__xludf.DUMMYFUNCTION("GOOGLETRANSLATE(C444,""fr"",""en"")"),"Alert not go to their home !!
I took auto insurance by phone, I had asked that I was detailing what I was taking, the advisor did not tell me that object flight insurance was to be taken out in addition, he didn't even offer it to me, didn't even tell me"&amp;".
Suddenly broken with ice, computer flight in the trunk and nothing reimbursed or compensated but everything is normal for them. I would have had to guess it. And now I'm in the panade. It's just unacceptable so I change as soon as possible.
Alert not "&amp;"go to their home !!")</f>
        <v>Alert not go to their home !!
I took auto insurance by phone, I had asked that I was detailing what I was taking, the advisor did not tell me that object flight insurance was to be taken out in addition, he didn't even offer it to me, didn't even tell me.
Suddenly broken with ice, computer flight in the trunk and nothing reimbursed or compensated but everything is normal for them. I would have had to guess it. And now I'm in the panade. It's just unacceptable so I change as soon as possible.
Alert not go to their home !!</v>
      </c>
    </row>
    <row r="445" ht="15.75" customHeight="1">
      <c r="A445" s="2">
        <v>3.0</v>
      </c>
      <c r="B445" s="2" t="s">
        <v>1340</v>
      </c>
      <c r="C445" s="2" t="s">
        <v>1341</v>
      </c>
      <c r="D445" s="2" t="s">
        <v>86</v>
      </c>
      <c r="E445" s="2" t="s">
        <v>61</v>
      </c>
      <c r="F445" s="2" t="s">
        <v>15</v>
      </c>
      <c r="G445" s="2" t="s">
        <v>1342</v>
      </c>
      <c r="H445" s="2" t="s">
        <v>63</v>
      </c>
      <c r="I445" s="2" t="str">
        <f>IFERROR(__xludf.DUMMYFUNCTION("GOOGLETRANSLATE(C445,""fr"",""en"")"),"Just a little teletransmission problem if not any problem, it took more 6 months to adjust my wife's remote transmission, the service is easy to contact, and solve the problem quickly in certain cases. But nothing else to say.")</f>
        <v>Just a little teletransmission problem if not any problem, it took more 6 months to adjust my wife's remote transmission, the service is easy to contact, and solve the problem quickly in certain cases. But nothing else to say.</v>
      </c>
    </row>
    <row r="446" ht="15.75" customHeight="1">
      <c r="A446" s="2">
        <v>5.0</v>
      </c>
      <c r="B446" s="2" t="s">
        <v>1343</v>
      </c>
      <c r="C446" s="2" t="s">
        <v>1344</v>
      </c>
      <c r="D446" s="2" t="s">
        <v>254</v>
      </c>
      <c r="E446" s="2" t="s">
        <v>61</v>
      </c>
      <c r="F446" s="2" t="s">
        <v>15</v>
      </c>
      <c r="G446" s="2" t="s">
        <v>1345</v>
      </c>
      <c r="H446" s="2" t="s">
        <v>256</v>
      </c>
      <c r="I446" s="2" t="str">
        <f>IFERROR(__xludf.DUMMYFUNCTION("GOOGLETRANSLATE(C446,""fr"",""en"")"),"Well and conciliatory. Advice and reassures. Affordable price. I advise this mutual insurance company to all people who wish a good mutual. Thank you. M")</f>
        <v>Well and conciliatory. Advice and reassures. Affordable price. I advise this mutual insurance company to all people who wish a good mutual. Thank you. M</v>
      </c>
    </row>
    <row r="447" ht="15.75" customHeight="1">
      <c r="A447" s="2">
        <v>5.0</v>
      </c>
      <c r="B447" s="2" t="s">
        <v>1346</v>
      </c>
      <c r="C447" s="2" t="s">
        <v>1347</v>
      </c>
      <c r="D447" s="2" t="s">
        <v>171</v>
      </c>
      <c r="E447" s="2" t="s">
        <v>14</v>
      </c>
      <c r="F447" s="2" t="s">
        <v>15</v>
      </c>
      <c r="G447" s="2" t="s">
        <v>1348</v>
      </c>
      <c r="H447" s="2" t="s">
        <v>131</v>
      </c>
      <c r="I447" s="2" t="str">
        <f>IFERROR(__xludf.DUMMYFUNCTION("GOOGLETRANSLATE(C447,""fr"",""en"")"),"I am happy to have finally found good insurance for my quad thank you for all the opstions that you bring to make you safe")</f>
        <v>I am happy to have finally found good insurance for my quad thank you for all the opstions that you bring to make you safe</v>
      </c>
    </row>
    <row r="448" ht="15.75" customHeight="1">
      <c r="A448" s="2">
        <v>3.0</v>
      </c>
      <c r="B448" s="2" t="s">
        <v>1349</v>
      </c>
      <c r="C448" s="2" t="s">
        <v>1350</v>
      </c>
      <c r="D448" s="2" t="s">
        <v>19</v>
      </c>
      <c r="E448" s="2" t="s">
        <v>20</v>
      </c>
      <c r="F448" s="2" t="s">
        <v>15</v>
      </c>
      <c r="G448" s="2" t="s">
        <v>398</v>
      </c>
      <c r="H448" s="2" t="s">
        <v>164</v>
      </c>
      <c r="I448" s="2" t="str">
        <f>IFERROR(__xludf.DUMMYFUNCTION("GOOGLETRANSLATE(C448,""fr"",""en"")"),"It's perfect thank you, fast and effective dinghy, there is no problem, reliable without worry. , people are pleasant they are no problem ...")</f>
        <v>It's perfect thank you, fast and effective dinghy, there is no problem, reliable without worry. , people are pleasant they are no problem ...</v>
      </c>
    </row>
    <row r="449" ht="15.75" customHeight="1">
      <c r="A449" s="2">
        <v>1.0</v>
      </c>
      <c r="B449" s="2" t="s">
        <v>1351</v>
      </c>
      <c r="C449" s="2" t="s">
        <v>1352</v>
      </c>
      <c r="D449" s="2" t="s">
        <v>824</v>
      </c>
      <c r="E449" s="2" t="s">
        <v>135</v>
      </c>
      <c r="F449" s="2" t="s">
        <v>15</v>
      </c>
      <c r="G449" s="2" t="s">
        <v>814</v>
      </c>
      <c r="H449" s="2" t="s">
        <v>45</v>
      </c>
      <c r="I449" s="2" t="str">
        <f>IFERROR(__xludf.DUMMYFUNCTION("GOOGLETRANSLATE(C449,""fr"",""en"")"),"For a relay loan the rate in % seems low, but the fixed costs (file and termination) are significant, if you are considering a relay loan over a short period.
As for customer service, it is very bad. You launch your file with your agency, a person you kn"&amp;"ow, who has set up the file with you, and suddenly appears Sogecap.
Your agency can do nothing for you, it too has trouble reaching them.
In my case a bridging loan file therefore short term, blocked 10 days before the signature, because the doctor advi"&amp;"ce requests the report of an operation of the meniscus… .ritable…. We had to repel the signature of the act at the notary.
Super long waiting time on the phone.
Police police at Société Générale, the administration that works badly, the bureaucracy that"&amp;" is hidden…. It's how you want, but they forgot who is the boss.")</f>
        <v>For a relay loan the rate in % seems low, but the fixed costs (file and termination) are significant, if you are considering a relay loan over a short period.
As for customer service, it is very bad. You launch your file with your agency, a person you know, who has set up the file with you, and suddenly appears Sogecap.
Your agency can do nothing for you, it too has trouble reaching them.
In my case a bridging loan file therefore short term, blocked 10 days before the signature, because the doctor advice requests the report of an operation of the meniscus… .ritable…. We had to repel the signature of the act at the notary.
Super long waiting time on the phone.
Police police at Société Générale, the administration that works badly, the bureaucracy that is hidden…. It's how you want, but they forgot who is the boss.</v>
      </c>
    </row>
    <row r="450" ht="15.75" customHeight="1">
      <c r="A450" s="2">
        <v>1.0</v>
      </c>
      <c r="B450" s="2" t="s">
        <v>1353</v>
      </c>
      <c r="C450" s="2" t="s">
        <v>1354</v>
      </c>
      <c r="D450" s="2" t="s">
        <v>285</v>
      </c>
      <c r="E450" s="2" t="s">
        <v>20</v>
      </c>
      <c r="F450" s="2" t="s">
        <v>15</v>
      </c>
      <c r="G450" s="2" t="s">
        <v>1355</v>
      </c>
      <c r="H450" s="2" t="s">
        <v>190</v>
      </c>
      <c r="I450" s="2" t="str">
        <f>IFERROR(__xludf.DUMMYFUNCTION("GOOGLETRANSLATE(C450,""fr"",""en"")"),"Insured for 29 years at the Macif, here is my 4th claim. I was insured to third party +++ and since 2008, I have been assured of all risks for an additional vehicle from 1993. Imposed vehicle for expertise and probably then for restoration, I was waiting "&amp;"for a loan vehicle to go on vacation, House rented and paid. It was without counting that my A003 contract is commanded in ""protective formula"". I no longer benefit from the vehicle loan !!! I am told that I never benefited from it when I was never offe"&amp;"red to me. For 38 € more per year while I already pay € 850 with a bonus 50 + 10%, it is obvious that I would have subscribed to it. But if I did not offer it to me as an option 10 years ago, it was not one! Macif therefore prefers to take me for a brainl"&amp;"ess turkey rather than admitting a situation. Mutual insurance has a mutualist more than the name. It seems that loyalty no longer pays ...")</f>
        <v>Insured for 29 years at the Macif, here is my 4th claim. I was insured to third party +++ and since 2008, I have been assured of all risks for an additional vehicle from 1993. Imposed vehicle for expertise and probably then for restoration, I was waiting for a loan vehicle to go on vacation, House rented and paid. It was without counting that my A003 contract is commanded in "protective formula". I no longer benefit from the vehicle loan !!! I am told that I never benefited from it when I was never offered to me. For 38 € more per year while I already pay € 850 with a bonus 50 + 10%, it is obvious that I would have subscribed to it. But if I did not offer it to me as an option 10 years ago, it was not one! Macif therefore prefers to take me for a brainless turkey rather than admitting a situation. Mutual insurance has a mutualist more than the name. It seems that loyalty no longer pays ...</v>
      </c>
    </row>
    <row r="451" ht="15.75" customHeight="1">
      <c r="A451" s="2">
        <v>1.0</v>
      </c>
      <c r="B451" s="2" t="s">
        <v>1356</v>
      </c>
      <c r="C451" s="2" t="s">
        <v>1357</v>
      </c>
      <c r="D451" s="2" t="s">
        <v>13</v>
      </c>
      <c r="E451" s="2" t="s">
        <v>14</v>
      </c>
      <c r="F451" s="2" t="s">
        <v>15</v>
      </c>
      <c r="G451" s="2" t="s">
        <v>1358</v>
      </c>
      <c r="H451" s="2" t="s">
        <v>21</v>
      </c>
      <c r="I451" s="2" t="str">
        <f>IFERROR(__xludf.DUMMYFUNCTION("GOOGLETRANSLATE(C451,""fr"",""en"")"),"The prices have continued to fly in a dazzling way even with 50% bonus for a few years. No possibility of temporarily suspending insurance (during the containment period). Mandatory ""options"" that cannot be canceled ""Save"" and ""Jurimotard""")</f>
        <v>The prices have continued to fly in a dazzling way even with 50% bonus for a few years. No possibility of temporarily suspending insurance (during the containment period). Mandatory "options" that cannot be canceled "Save" and "Jurimotard"</v>
      </c>
    </row>
    <row r="452" ht="15.75" customHeight="1">
      <c r="A452" s="2">
        <v>1.0</v>
      </c>
      <c r="B452" s="2" t="s">
        <v>1359</v>
      </c>
      <c r="C452" s="2" t="s">
        <v>1360</v>
      </c>
      <c r="D452" s="2" t="s">
        <v>337</v>
      </c>
      <c r="E452" s="2" t="s">
        <v>122</v>
      </c>
      <c r="F452" s="2" t="s">
        <v>15</v>
      </c>
      <c r="G452" s="2" t="s">
        <v>1361</v>
      </c>
      <c r="H452" s="2" t="s">
        <v>154</v>
      </c>
      <c r="I452" s="2" t="str">
        <f>IFERROR(__xludf.DUMMYFUNCTION("GOOGLETRANSLATE(C452,""fr"",""en"")"),"There is always a condition that will make nothing from the maif. Insured for + 10 years with them I seriously think of changing. Customer service is more and more airtight at any request The contracts are more and more obscure and we no longer really kno"&amp;"w what we are insured for.")</f>
        <v>There is always a condition that will make nothing from the maif. Insured for + 10 years with them I seriously think of changing. Customer service is more and more airtight at any request The contracts are more and more obscure and we no longer really know what we are insured for.</v>
      </c>
    </row>
    <row r="453" ht="15.75" customHeight="1">
      <c r="A453" s="2">
        <v>1.0</v>
      </c>
      <c r="B453" s="2" t="s">
        <v>1362</v>
      </c>
      <c r="C453" s="2" t="s">
        <v>1363</v>
      </c>
      <c r="D453" s="2" t="s">
        <v>100</v>
      </c>
      <c r="E453" s="2" t="s">
        <v>20</v>
      </c>
      <c r="F453" s="2" t="s">
        <v>15</v>
      </c>
      <c r="G453" s="2" t="s">
        <v>1364</v>
      </c>
      <c r="H453" s="2" t="s">
        <v>53</v>
      </c>
      <c r="I453" s="2" t="str">
        <f>IFERROR(__xludf.DUMMYFUNCTION("GOOGLETRANSLATE(C453,""fr"",""en"")"),"It is a shame not to be able to indicate 0 star for a non-insurer, non-responsible disaster occurring on 02/07 declared on 03/07 and since no news from the sinister service that does not respond ..... of complaint ..... no answer. Passive assurance, just "&amp;"capable of collecting the premiums and creating a damn file, a galley to recover the green card ... Incrected from A to Z !!! Platforms_hot Line very very distant who do not answer any questions ...... to flee ... Not recommended .... go your way in front"&amp;" of these derisory prices, there is nothing, an ocean of nothing ... .rien insurance !!!!")</f>
        <v>It is a shame not to be able to indicate 0 star for a non-insurer, non-responsible disaster occurring on 02/07 declared on 03/07 and since no news from the sinister service that does not respond ..... of complaint ..... no answer. Passive assurance, just capable of collecting the premiums and creating a damn file, a galley to recover the green card ... Incrected from A to Z !!! Platforms_hot Line very very distant who do not answer any questions ...... to flee ... Not recommended .... go your way in front of these derisory prices, there is nothing, an ocean of nothing ... .rien insurance !!!!</v>
      </c>
    </row>
    <row r="454" ht="15.75" customHeight="1">
      <c r="A454" s="2">
        <v>3.0</v>
      </c>
      <c r="B454" s="2" t="s">
        <v>1365</v>
      </c>
      <c r="C454" s="2" t="s">
        <v>1366</v>
      </c>
      <c r="D454" s="2" t="s">
        <v>171</v>
      </c>
      <c r="E454" s="2" t="s">
        <v>14</v>
      </c>
      <c r="F454" s="2" t="s">
        <v>15</v>
      </c>
      <c r="G454" s="2" t="s">
        <v>610</v>
      </c>
      <c r="H454" s="2" t="s">
        <v>74</v>
      </c>
      <c r="I454" s="2" t="str">
        <f>IFERROR(__xludf.DUMMYFUNCTION("GOOGLETRANSLATE(C454,""fr"",""en"")"),"Simple, effective, right to goal, simple steps to follow. Clear website, I was able to complete my request quite easily in the space of 40 minutes.")</f>
        <v>Simple, effective, right to goal, simple steps to follow. Clear website, I was able to complete my request quite easily in the space of 40 minutes.</v>
      </c>
    </row>
    <row r="455" ht="15.75" customHeight="1">
      <c r="A455" s="2">
        <v>4.0</v>
      </c>
      <c r="B455" s="2" t="s">
        <v>1367</v>
      </c>
      <c r="C455" s="2" t="s">
        <v>1368</v>
      </c>
      <c r="D455" s="2" t="s">
        <v>35</v>
      </c>
      <c r="E455" s="2" t="s">
        <v>20</v>
      </c>
      <c r="F455" s="2" t="s">
        <v>15</v>
      </c>
      <c r="G455" s="2" t="s">
        <v>1369</v>
      </c>
      <c r="H455" s="2" t="s">
        <v>32</v>
      </c>
      <c r="I455" s="2" t="str">
        <f>IFERROR(__xludf.DUMMYFUNCTION("GOOGLETRANSLATE(C455,""fr"",""en"")"),"Satisfied, for the moment
effective implementation
I hope to receive my green card in the shortest delays
On the other hand, I do not wish to be contacted by partner companies")</f>
        <v>Satisfied, for the moment
effective implementation
I hope to receive my green card in the shortest delays
On the other hand, I do not wish to be contacted by partner companies</v>
      </c>
    </row>
    <row r="456" ht="15.75" customHeight="1">
      <c r="A456" s="2">
        <v>1.0</v>
      </c>
      <c r="B456" s="2" t="s">
        <v>1370</v>
      </c>
      <c r="C456" s="2" t="s">
        <v>1371</v>
      </c>
      <c r="D456" s="2" t="s">
        <v>193</v>
      </c>
      <c r="E456" s="2" t="s">
        <v>20</v>
      </c>
      <c r="F456" s="2" t="s">
        <v>15</v>
      </c>
      <c r="G456" s="2" t="s">
        <v>347</v>
      </c>
      <c r="H456" s="2" t="s">
        <v>347</v>
      </c>
      <c r="I456" s="2" t="str">
        <f>IFERROR(__xludf.DUMMYFUNCTION("GOOGLETRANSLATE(C456,""fr"",""en"")"),"Hello I have been at the Matmut for two years I have several contracts with them and I can tell you that you must flee this company because it does not respect its customers almost non -existent claim service monstrous processing period and no response to"&amp;" the request 7 month for an optical reimbursement deposit taken and not returned 3 months on I await for a water damage I am more than disappointed by the Matmut")</f>
        <v>Hello I have been at the Matmut for two years I have several contracts with them and I can tell you that you must flee this company because it does not respect its customers almost non -existent claim service monstrous processing period and no response to the request 7 month for an optical reimbursement deposit taken and not returned 3 months on I await for a water damage I am more than disappointed by the Matmut</v>
      </c>
    </row>
    <row r="457" ht="15.75" customHeight="1">
      <c r="A457" s="2">
        <v>4.0</v>
      </c>
      <c r="B457" s="2" t="s">
        <v>1372</v>
      </c>
      <c r="C457" s="2" t="s">
        <v>1373</v>
      </c>
      <c r="D457" s="2" t="s">
        <v>35</v>
      </c>
      <c r="E457" s="2" t="s">
        <v>20</v>
      </c>
      <c r="F457" s="2" t="s">
        <v>15</v>
      </c>
      <c r="G457" s="2" t="s">
        <v>1374</v>
      </c>
      <c r="H457" s="2" t="s">
        <v>79</v>
      </c>
      <c r="I457" s="2" t="str">
        <f>IFERROR(__xludf.DUMMYFUNCTION("GOOGLETRANSLATE(C457,""fr"",""en"")"),"Hello
Very satisfaying
Good price, fast and very attentive.
Too bad I had to leave the olive tree after 6 months of seniority with Regrèt because it does not ensure my vehicle in Morocco during my vacation.
CDL
")</f>
        <v>Hello
Very satisfaying
Good price, fast and very attentive.
Too bad I had to leave the olive tree after 6 months of seniority with Regrèt because it does not ensure my vehicle in Morocco during my vacation.
CDL
</v>
      </c>
    </row>
    <row r="458" ht="15.75" customHeight="1">
      <c r="A458" s="2">
        <v>2.0</v>
      </c>
      <c r="B458" s="2" t="s">
        <v>1375</v>
      </c>
      <c r="C458" s="2" t="s">
        <v>1376</v>
      </c>
      <c r="D458" s="2" t="s">
        <v>19</v>
      </c>
      <c r="E458" s="2" t="s">
        <v>20</v>
      </c>
      <c r="F458" s="2" t="s">
        <v>15</v>
      </c>
      <c r="G458" s="2" t="s">
        <v>1377</v>
      </c>
      <c r="H458" s="2" t="s">
        <v>1281</v>
      </c>
      <c r="I458" s="2" t="str">
        <f>IFERROR(__xludf.DUMMYFUNCTION("GOOGLETRANSLATE(C458,""fr"",""en"")"),"Following, has a hanging between a caddy and my parked vehicle, the insurance requires expertise by its local office, until it is correct ... The ""expert"" goes to the supposed parking and controls the caddys, but Do not consider it necessary to come and"&amp;" check the damaged vehicle, the shocks being on two different locations on the same side of the vehicle ""Expert"" is determined by two shocks on fixed objects, basically I am a big liar who wants to extract The pennies of insurance ....
The photos with "&amp;"a meter perfectly demonstrates the correlation of the two shocks as well as the photos of the vehicle.
But insurance is entrenched behind the expert report and refuses compensation despite a police covering all possible cases.
In short, no way to be hea"&amp;"rd to drive a Thai bonze crazy.")</f>
        <v>Following, has a hanging between a caddy and my parked vehicle, the insurance requires expertise by its local office, until it is correct ... The "expert" goes to the supposed parking and controls the caddys, but Do not consider it necessary to come and check the damaged vehicle, the shocks being on two different locations on the same side of the vehicle "Expert" is determined by two shocks on fixed objects, basically I am a big liar who wants to extract The pennies of insurance ....
The photos with a meter perfectly demonstrates the correlation of the two shocks as well as the photos of the vehicle.
But insurance is entrenched behind the expert report and refuses compensation despite a police covering all possible cases.
In short, no way to be heard to drive a Thai bonze crazy.</v>
      </c>
    </row>
    <row r="459" ht="15.75" customHeight="1">
      <c r="A459" s="2">
        <v>1.0</v>
      </c>
      <c r="B459" s="2" t="s">
        <v>1378</v>
      </c>
      <c r="C459" s="2" t="s">
        <v>1379</v>
      </c>
      <c r="D459" s="2" t="s">
        <v>19</v>
      </c>
      <c r="E459" s="2" t="s">
        <v>20</v>
      </c>
      <c r="F459" s="2" t="s">
        <v>15</v>
      </c>
      <c r="G459" s="2" t="s">
        <v>1380</v>
      </c>
      <c r="H459" s="2" t="s">
        <v>347</v>
      </c>
      <c r="I459" s="2" t="str">
        <f>IFERROR(__xludf.DUMMYFUNCTION("GOOGLETRANSLATE(C459,""fr"",""en"")"),"Insured for 1 week unfortunately I was hit at the back in the traffic jams when I was stopped this happens material damage amicable observation above and very clear no responsibility for my part ensures any risk
The expert has passed the costing raised T"&amp;"he garage awaits the care for repair I am an expert direct insurance insurance belongs to Avanssur Active company remunerated to the Commission by AXA which leads to the files to be dragged to the maximum of Working money on the stock market Remember that"&amp;" the Badinter law of 1985 if you are not responsible and no doubt remains the law applies to the driver so obliged to present compensation within 3 months and a month for paying for material damage 'Other part the IRCA insurer agreement caps the non -reim"&amp;"bursement by the third party insurer for a sum of 6000 HT so it is for the apple of direct insurance from where the long time limits
So do not fear because it is the insurance they are not info -company BCP can help you gain the cause of playing social n"&amp;"etworks to touch a maximum of person and bring their assets in the long term their assets Portfolio will tremble on Insta I have 27 k and snap 10 k made flee the future customers they go to real insurers
I am disappointed because customer service told me"&amp;" that maybe I would not be taken care of for a disaster or I am assured of risk without any shock responsibility of the rear and I am stopped in the Backs Ci sign and responsible identified reassure you they do not melt me ​​tremble but if I have no conta"&amp;"ct in the fortnight I will respect the deadlines then go to the serious thing to show them that life is not a fruit salad
 the social network keep the maximum away from people
 I am waiting for 15 days to see if it moves because my file is really simple"&amp;" they have the document on time not even they call you your money and their assets are not insurers but MS financiers I will wait a little to see if they will send the care to the garage
The normal advisor told me it is possible that you are not supporte"&amp;"d she can say her to an amateur unfortunately they have fallen badly")</f>
        <v>Insured for 1 week unfortunately I was hit at the back in the traffic jams when I was stopped this happens material damage amicable observation above and very clear no responsibility for my part ensures any risk
The expert has passed the costing raised The garage awaits the care for repair I am an expert direct insurance insurance belongs to Avanssur Active company remunerated to the Commission by AXA which leads to the files to be dragged to the maximum of Working money on the stock market Remember that the Badinter law of 1985 if you are not responsible and no doubt remains the law applies to the driver so obliged to present compensation within 3 months and a month for paying for material damage 'Other part the IRCA insurer agreement caps the non -reimbursement by the third party insurer for a sum of 6000 HT so it is for the apple of direct insurance from where the long time limits
So do not fear because it is the insurance they are not info -company BCP can help you gain the cause of playing social networks to touch a maximum of person and bring their assets in the long term their assets Portfolio will tremble on Insta I have 27 k and snap 10 k made flee the future customers they go to real insurers
I am disappointed because customer service told me that maybe I would not be taken care of for a disaster or I am assured of risk without any shock responsibility of the rear and I am stopped in the Backs Ci sign and responsible identified reassure you they do not melt me ​​tremble but if I have no contact in the fortnight I will respect the deadlines then go to the serious thing to show them that life is not a fruit salad
 the social network keep the maximum away from people
 I am waiting for 15 days to see if it moves because my file is really simple they have the document on time not even they call you your money and their assets are not insurers but MS financiers I will wait a little to see if they will send the care to the garage
The normal advisor told me it is possible that you are not supported she can say her to an amateur unfortunately they have fallen badly</v>
      </c>
    </row>
    <row r="460" ht="15.75" customHeight="1">
      <c r="A460" s="2">
        <v>1.0</v>
      </c>
      <c r="B460" s="2" t="s">
        <v>1381</v>
      </c>
      <c r="C460" s="2" t="s">
        <v>1382</v>
      </c>
      <c r="D460" s="2" t="s">
        <v>378</v>
      </c>
      <c r="E460" s="2" t="s">
        <v>61</v>
      </c>
      <c r="F460" s="2" t="s">
        <v>15</v>
      </c>
      <c r="G460" s="2" t="s">
        <v>1383</v>
      </c>
      <c r="H460" s="2" t="s">
        <v>561</v>
      </c>
      <c r="I460" s="2" t="str">
        <f>IFERROR(__xludf.DUMMYFUNCTION("GOOGLETRANSLATE(C460,""fr"",""en"")"),"This mutual does not practice third -party payment.
I had to pay € 1,300 in hospitals following surgery.
An unnamed slowness for reimbursements; longer than social security, they need several weeks it is unacceptable")</f>
        <v>This mutual does not practice third -party payment.
I had to pay € 1,300 in hospitals following surgery.
An unnamed slowness for reimbursements; longer than social security, they need several weeks it is unacceptable</v>
      </c>
    </row>
    <row r="461" ht="15.75" customHeight="1">
      <c r="A461" s="2">
        <v>1.0</v>
      </c>
      <c r="B461" s="2" t="s">
        <v>1384</v>
      </c>
      <c r="C461" s="2" t="s">
        <v>1385</v>
      </c>
      <c r="D461" s="2" t="s">
        <v>100</v>
      </c>
      <c r="E461" s="2" t="s">
        <v>20</v>
      </c>
      <c r="F461" s="2" t="s">
        <v>15</v>
      </c>
      <c r="G461" s="2" t="s">
        <v>1386</v>
      </c>
      <c r="H461" s="2" t="s">
        <v>260</v>
      </c>
      <c r="I461" s="2" t="str">
        <f>IFERROR(__xludf.DUMMYFUNCTION("GOOGLETRANSLATE(C461,""fr"",""en"")"),"They can sweat !!! all the phone calls and round trips to the cyber to send the documents several times since more of 1 week !!! time and money eased and still no green card to see !!!")</f>
        <v>They can sweat !!! all the phone calls and round trips to the cyber to send the documents several times since more of 1 week !!! time and money eased and still no green card to see !!!</v>
      </c>
    </row>
    <row r="462" ht="15.75" customHeight="1">
      <c r="A462" s="2">
        <v>5.0</v>
      </c>
      <c r="B462" s="2" t="s">
        <v>1387</v>
      </c>
      <c r="C462" s="2" t="s">
        <v>1388</v>
      </c>
      <c r="D462" s="2" t="s">
        <v>35</v>
      </c>
      <c r="E462" s="2" t="s">
        <v>20</v>
      </c>
      <c r="F462" s="2" t="s">
        <v>15</v>
      </c>
      <c r="G462" s="2" t="s">
        <v>980</v>
      </c>
      <c r="H462" s="2" t="s">
        <v>164</v>
      </c>
      <c r="I462" s="2" t="str">
        <f>IFERROR(__xludf.DUMMYFUNCTION("GOOGLETRANSLATE(C462,""fr"",""en"")"),"Very quickly done I am satisfied the olive assurance was recommel by our son -in -law who is already customer at home thank you cordially p desessard")</f>
        <v>Very quickly done I am satisfied the olive assurance was recommel by our son -in -law who is already customer at home thank you cordially p desessard</v>
      </c>
    </row>
    <row r="463" ht="15.75" customHeight="1">
      <c r="A463" s="2">
        <v>2.0</v>
      </c>
      <c r="B463" s="2" t="s">
        <v>1389</v>
      </c>
      <c r="C463" s="2" t="s">
        <v>1390</v>
      </c>
      <c r="D463" s="2" t="s">
        <v>193</v>
      </c>
      <c r="E463" s="2" t="s">
        <v>20</v>
      </c>
      <c r="F463" s="2" t="s">
        <v>15</v>
      </c>
      <c r="G463" s="2" t="s">
        <v>1391</v>
      </c>
      <c r="H463" s="2" t="s">
        <v>1281</v>
      </c>
      <c r="I463" s="2" t="str">
        <f>IFERROR(__xludf.DUMMYFUNCTION("GOOGLETRANSLATE(C463,""fr"",""en"")"),"So erase you and block me so that your methods are not sure I will
I had a break of ice is and an acquitted invoice (check deposited with the mechanic but not cashed while waiting for your payment) and you have forced me to prove you debit on my bank acc"&amp;"ount. (seal screenshot)
I send you an email with the proof that I have paid 1196.52 and since April 20 more news and me more money to feed my family I will make a lawsuit because your inhuman methods.")</f>
        <v>So erase you and block me so that your methods are not sure I will
I had a break of ice is and an acquitted invoice (check deposited with the mechanic but not cashed while waiting for your payment) and you have forced me to prove you debit on my bank account. (seal screenshot)
I send you an email with the proof that I have paid 1196.52 and since April 20 more news and me more money to feed my family I will make a lawsuit because your inhuman methods.</v>
      </c>
    </row>
    <row r="464" ht="15.75" customHeight="1">
      <c r="A464" s="2">
        <v>3.0</v>
      </c>
      <c r="B464" s="2" t="s">
        <v>1392</v>
      </c>
      <c r="C464" s="2" t="s">
        <v>1393</v>
      </c>
      <c r="D464" s="2" t="s">
        <v>100</v>
      </c>
      <c r="E464" s="2" t="s">
        <v>20</v>
      </c>
      <c r="F464" s="2" t="s">
        <v>15</v>
      </c>
      <c r="G464" s="2" t="s">
        <v>1394</v>
      </c>
      <c r="H464" s="2" t="s">
        <v>491</v>
      </c>
      <c r="I464" s="2" t="str">
        <f>IFERROR(__xludf.DUMMYFUNCTION("GOOGLETRANSLATE(C464,""fr"",""en"")"),"To ignore does not record your payments by check and if you declare a claim to declare yourself to terminate. A payment by C.B for August September October November November, the September back check by them in November does not admit that it can be consi"&amp;"dered for December and received formal notice, in January chance not registered February March yes April refers it to me with a letter with contract number, telephone address company not sign and requesting to send the copy of the special mystery conditio"&amp;"ns because they are unable to provide an explanation.")</f>
        <v>To ignore does not record your payments by check and if you declare a claim to declare yourself to terminate. A payment by C.B for August September October November November, the September back check by them in November does not admit that it can be considered for December and received formal notice, in January chance not registered February March yes April refers it to me with a letter with contract number, telephone address company not sign and requesting to send the copy of the special mystery conditions because they are unable to provide an explanation.</v>
      </c>
    </row>
    <row r="465" ht="15.75" customHeight="1">
      <c r="A465" s="2">
        <v>4.0</v>
      </c>
      <c r="B465" s="2" t="s">
        <v>1395</v>
      </c>
      <c r="C465" s="2" t="s">
        <v>1396</v>
      </c>
      <c r="D465" s="2" t="s">
        <v>19</v>
      </c>
      <c r="E465" s="2" t="s">
        <v>20</v>
      </c>
      <c r="F465" s="2" t="s">
        <v>15</v>
      </c>
      <c r="G465" s="2" t="s">
        <v>607</v>
      </c>
      <c r="H465" s="2" t="s">
        <v>164</v>
      </c>
      <c r="I465" s="2" t="str">
        <f>IFERROR(__xludf.DUMMYFUNCTION("GOOGLETRANSLATE(C465,""fr"",""en"")"),"I am satisfied with the speed to take out a car insurance contract. The prices are of good value for money.
I look forward to my green sticker")</f>
        <v>I am satisfied with the speed to take out a car insurance contract. The prices are of good value for money.
I look forward to my green sticker</v>
      </c>
    </row>
    <row r="466" ht="15.75" customHeight="1">
      <c r="A466" s="2">
        <v>1.0</v>
      </c>
      <c r="B466" s="2" t="s">
        <v>1397</v>
      </c>
      <c r="C466" s="2" t="s">
        <v>1398</v>
      </c>
      <c r="D466" s="2" t="s">
        <v>24</v>
      </c>
      <c r="E466" s="2" t="s">
        <v>122</v>
      </c>
      <c r="F466" s="2" t="s">
        <v>15</v>
      </c>
      <c r="G466" s="2" t="s">
        <v>1399</v>
      </c>
      <c r="H466" s="2" t="s">
        <v>88</v>
      </c>
      <c r="I466" s="2" t="str">
        <f>IFERROR(__xludf.DUMMYFUNCTION("GOOGLETRANSLATE(C466,""fr"",""en"")"),"Insurance that has increased each year for 25 years which has never paid anything in 23 years and which is reluctant to pay when 2 years in a row there is a disaster")</f>
        <v>Insurance that has increased each year for 25 years which has never paid anything in 23 years and which is reluctant to pay when 2 years in a row there is a disaster</v>
      </c>
    </row>
    <row r="467" ht="15.75" customHeight="1">
      <c r="A467" s="2">
        <v>5.0</v>
      </c>
      <c r="B467" s="2" t="s">
        <v>1400</v>
      </c>
      <c r="C467" s="2" t="s">
        <v>1401</v>
      </c>
      <c r="D467" s="2" t="s">
        <v>254</v>
      </c>
      <c r="E467" s="2" t="s">
        <v>61</v>
      </c>
      <c r="F467" s="2" t="s">
        <v>15</v>
      </c>
      <c r="G467" s="2" t="s">
        <v>21</v>
      </c>
      <c r="H467" s="2" t="s">
        <v>21</v>
      </c>
      <c r="I467" s="2" t="str">
        <f>IFERROR(__xludf.DUMMYFUNCTION("GOOGLETRANSLATE(C467,""fr"",""en"")"),"Super mutual. Too bad I have to leave it for another mandatory mutual. The MGP remains for us the best of all. The laws are badly made.")</f>
        <v>Super mutual. Too bad I have to leave it for another mandatory mutual. The MGP remains for us the best of all. The laws are badly made.</v>
      </c>
    </row>
    <row r="468" ht="15.75" customHeight="1">
      <c r="A468" s="2">
        <v>4.0</v>
      </c>
      <c r="B468" s="2" t="s">
        <v>1402</v>
      </c>
      <c r="C468" s="2" t="s">
        <v>1403</v>
      </c>
      <c r="D468" s="2" t="s">
        <v>19</v>
      </c>
      <c r="E468" s="2" t="s">
        <v>20</v>
      </c>
      <c r="F468" s="2" t="s">
        <v>15</v>
      </c>
      <c r="G468" s="2" t="s">
        <v>519</v>
      </c>
      <c r="H468" s="2" t="s">
        <v>21</v>
      </c>
      <c r="I468" s="2" t="str">
        <f>IFERROR(__xludf.DUMMYFUNCTION("GOOGLETRANSLATE(C468,""fr"",""en"")"),"I changed my care without worries. Direct Insurance takes care of terminating the old contracts, which is comfortable. The prices are very correct compared to the guarantees.")</f>
        <v>I changed my care without worries. Direct Insurance takes care of terminating the old contracts, which is comfortable. The prices are very correct compared to the guarantees.</v>
      </c>
    </row>
    <row r="469" ht="15.75" customHeight="1">
      <c r="A469" s="2">
        <v>5.0</v>
      </c>
      <c r="B469" s="2" t="s">
        <v>1404</v>
      </c>
      <c r="C469" s="2" t="s">
        <v>1405</v>
      </c>
      <c r="D469" s="2" t="s">
        <v>19</v>
      </c>
      <c r="E469" s="2" t="s">
        <v>20</v>
      </c>
      <c r="F469" s="2" t="s">
        <v>15</v>
      </c>
      <c r="G469" s="2" t="s">
        <v>661</v>
      </c>
      <c r="H469" s="2" t="s">
        <v>108</v>
      </c>
      <c r="I469" s="2" t="str">
        <f>IFERROR(__xludf.DUMMYFUNCTION("GOOGLETRANSLATE(C469,""fr"",""en"")"),"I am satisfied with the price.
It is difficult to reach you by phone, however in the event of a claim. It would be good to have a line exclusively for claims")</f>
        <v>I am satisfied with the price.
It is difficult to reach you by phone, however in the event of a claim. It would be good to have a line exclusively for claims</v>
      </c>
    </row>
    <row r="470" ht="15.75" customHeight="1">
      <c r="A470" s="2">
        <v>5.0</v>
      </c>
      <c r="B470" s="2" t="s">
        <v>1406</v>
      </c>
      <c r="C470" s="2" t="s">
        <v>1407</v>
      </c>
      <c r="D470" s="2" t="s">
        <v>19</v>
      </c>
      <c r="E470" s="2" t="s">
        <v>20</v>
      </c>
      <c r="F470" s="2" t="s">
        <v>15</v>
      </c>
      <c r="G470" s="2" t="s">
        <v>962</v>
      </c>
      <c r="H470" s="2" t="s">
        <v>108</v>
      </c>
      <c r="I470" s="2" t="str">
        <f>IFERROR(__xludf.DUMMYFUNCTION("GOOGLETRANSLATE(C470,""fr"",""en"")"),"I am very satisfied with the service price level reactivity
I hope it will be the same if problem with the vehicle. So I want to recommend your business")</f>
        <v>I am very satisfied with the service price level reactivity
I hope it will be the same if problem with the vehicle. So I want to recommend your business</v>
      </c>
    </row>
    <row r="471" ht="15.75" customHeight="1">
      <c r="A471" s="2">
        <v>4.0</v>
      </c>
      <c r="B471" s="2" t="s">
        <v>1408</v>
      </c>
      <c r="C471" s="2" t="s">
        <v>1409</v>
      </c>
      <c r="D471" s="2" t="s">
        <v>35</v>
      </c>
      <c r="E471" s="2" t="s">
        <v>20</v>
      </c>
      <c r="F471" s="2" t="s">
        <v>15</v>
      </c>
      <c r="G471" s="2" t="s">
        <v>1008</v>
      </c>
      <c r="H471" s="2" t="s">
        <v>164</v>
      </c>
      <c r="I471" s="2" t="str">
        <f>IFERROR(__xludf.DUMMYFUNCTION("GOOGLETRANSLATE(C471,""fr"",""en"")"),"1st Terribly positive Telephonic welcome, 2nd calls who confirms the exceptional character of your insurance broker or my times my inyerlocutor. Thank you again for their pariance.
")</f>
        <v>1st Terribly positive Telephonic welcome, 2nd calls who confirms the exceptional character of your insurance broker or my times my inyerlocutor. Thank you again for their pariance.
</v>
      </c>
    </row>
    <row r="472" ht="15.75" customHeight="1">
      <c r="A472" s="2">
        <v>4.0</v>
      </c>
      <c r="B472" s="2" t="s">
        <v>1410</v>
      </c>
      <c r="C472" s="2" t="s">
        <v>1411</v>
      </c>
      <c r="D472" s="2" t="s">
        <v>35</v>
      </c>
      <c r="E472" s="2" t="s">
        <v>20</v>
      </c>
      <c r="F472" s="2" t="s">
        <v>15</v>
      </c>
      <c r="G472" s="2" t="s">
        <v>266</v>
      </c>
      <c r="H472" s="2" t="s">
        <v>131</v>
      </c>
      <c r="I472" s="2" t="str">
        <f>IFERROR(__xludf.DUMMYFUNCTION("GOOGLETRANSLATE(C472,""fr"",""en"")"),"Perfect but too bad not to be able to subscribe to the whole risk in provisional plaque. For prices it's more than correct, for online support as well.")</f>
        <v>Perfect but too bad not to be able to subscribe to the whole risk in provisional plaque. For prices it's more than correct, for online support as well.</v>
      </c>
    </row>
    <row r="473" ht="15.75" customHeight="1">
      <c r="A473" s="2">
        <v>5.0</v>
      </c>
      <c r="B473" s="2" t="s">
        <v>1412</v>
      </c>
      <c r="C473" s="2" t="s">
        <v>1413</v>
      </c>
      <c r="D473" s="2" t="s">
        <v>171</v>
      </c>
      <c r="E473" s="2" t="s">
        <v>14</v>
      </c>
      <c r="F473" s="2" t="s">
        <v>15</v>
      </c>
      <c r="G473" s="2" t="s">
        <v>1414</v>
      </c>
      <c r="H473" s="2" t="s">
        <v>92</v>
      </c>
      <c r="I473" s="2" t="str">
        <f>IFERROR(__xludf.DUMMYFUNCTION("GOOGLETRANSLATE(C473,""fr"",""en"")"),"Very well I recommend this cheap insurance is very good
Thank you Best regards
I will be able to ride I am very happy not to pay so dear that its")</f>
        <v>Very well I recommend this cheap insurance is very good
Thank you Best regards
I will be able to ride I am very happy not to pay so dear that its</v>
      </c>
    </row>
    <row r="474" ht="15.75" customHeight="1">
      <c r="A474" s="2">
        <v>3.0</v>
      </c>
      <c r="B474" s="2" t="s">
        <v>1415</v>
      </c>
      <c r="C474" s="2" t="s">
        <v>1416</v>
      </c>
      <c r="D474" s="2" t="s">
        <v>43</v>
      </c>
      <c r="E474" s="2" t="s">
        <v>20</v>
      </c>
      <c r="F474" s="2" t="s">
        <v>15</v>
      </c>
      <c r="G474" s="2" t="s">
        <v>1417</v>
      </c>
      <c r="H474" s="2" t="s">
        <v>32</v>
      </c>
      <c r="I474" s="2" t="str">
        <f>IFERROR(__xludf.DUMMYFUNCTION("GOOGLETRANSLATE(C474,""fr"",""en"")"),"satisfied with services offer
Go quick to have
Very nice home
listening to and know advice in the procedures to do during appointments
")</f>
        <v>satisfied with services offer
Go quick to have
Very nice home
listening to and know advice in the procedures to do during appointments
</v>
      </c>
    </row>
    <row r="475" ht="15.75" customHeight="1">
      <c r="A475" s="2">
        <v>1.0</v>
      </c>
      <c r="B475" s="2" t="s">
        <v>1418</v>
      </c>
      <c r="C475" s="2" t="s">
        <v>1419</v>
      </c>
      <c r="D475" s="2" t="s">
        <v>19</v>
      </c>
      <c r="E475" s="2" t="s">
        <v>20</v>
      </c>
      <c r="F475" s="2" t="s">
        <v>15</v>
      </c>
      <c r="G475" s="2" t="s">
        <v>573</v>
      </c>
      <c r="H475" s="2" t="s">
        <v>74</v>
      </c>
      <c r="I475" s="2" t="str">
        <f>IFERROR(__xludf.DUMMYFUNCTION("GOOGLETRANSLATE(C475,""fr"",""en"")"),"I am satisfied with the service. I do not understand how prices can increase each year while my bonus also increases, that with confinement, people have circulated less therefore less accident, the attack tax did not take place this year. I came to your h"&amp;"ouse because you were one of the cheapest in the sector (for the car and the house) but in the end each year it increases.")</f>
        <v>I am satisfied with the service. I do not understand how prices can increase each year while my bonus also increases, that with confinement, people have circulated less therefore less accident, the attack tax did not take place this year. I came to your house because you were one of the cheapest in the sector (for the car and the house) but in the end each year it increases.</v>
      </c>
    </row>
    <row r="476" ht="15.75" customHeight="1">
      <c r="A476" s="2">
        <v>3.0</v>
      </c>
      <c r="B476" s="2" t="s">
        <v>1420</v>
      </c>
      <c r="C476" s="2" t="s">
        <v>1421</v>
      </c>
      <c r="D476" s="2" t="s">
        <v>35</v>
      </c>
      <c r="E476" s="2" t="s">
        <v>20</v>
      </c>
      <c r="F476" s="2" t="s">
        <v>15</v>
      </c>
      <c r="G476" s="2" t="s">
        <v>1422</v>
      </c>
      <c r="H476" s="2" t="s">
        <v>347</v>
      </c>
      <c r="I476" s="2" t="str">
        <f>IFERROR(__xludf.DUMMYFUNCTION("GOOGLETRANSLATE(C476,""fr"",""en"")"),"Customer at home for over 1 years we are moving to the DOM so we sell our car. All is well, he terminates the contract after several supporting documents requested good this remains understandable. Thinking to finish with all its and taking an assurance a"&amp;"rrived this is the fact that everyone begins will then ask us for an information for the new insurance and it was the shock for us we contass a disaster dating from March 2019 except that we are in the month of October 2019.Donc we immediately call custom"&amp;"er service which says that there is a file which has been opened at our request we inform that we have never had a claim and that this is not possible. He decides to pass us the famous sinister service which explains to us that there is a person who has h"&amp;"ad a hanging we do not know if it is a hanging or other with us and who filed an observation with his insurance which therefore returned to them At the end of September 2019 at the time of the termination request I specify. Finding this quite ladle since "&amp;"Laccident took place in March 2019 and that Lassurance Apverse opens the file in September 2019 we ask for information about this disaster and it informs us what this date no place but still a responsibility at 100 So already if they have no more informat"&amp;"ion how to say that I am 100 wrong we ask him who is opposing insurance and she tells us that this is confidential. I explain to him the situation that has moved outside the mainland France and that we bought a vehicle here but with this disaster the insu"&amp;"rance price is very high knowing that we have not had this disaster and it is possible for the opposing part and know a little more it replies that this is not possible that they only work by email. She therefore asks us to challenge by email done. The se"&amp;"rvice takes a lot of time to come back to us I decide to recall and what was confidential begins to no longer be it tells us the name of opposing insurance so already people contradict each other. To date, we are still waiting for Dinners on this disaster"&amp;" and especially that it regulates my statement information")</f>
        <v>Customer at home for over 1 years we are moving to the DOM so we sell our car. All is well, he terminates the contract after several supporting documents requested good this remains understandable. Thinking to finish with all its and taking an assurance arrived this is the fact that everyone begins will then ask us for an information for the new insurance and it was the shock for us we contass a disaster dating from March 2019 except that we are in the month of October 2019.Donc we immediately call customer service which says that there is a file which has been opened at our request we inform that we have never had a claim and that this is not possible. He decides to pass us the famous sinister service which explains to us that there is a person who has had a hanging we do not know if it is a hanging or other with us and who filed an observation with his insurance which therefore returned to them At the end of September 2019 at the time of the termination request I specify. Finding this quite ladle since Laccident took place in March 2019 and that Lassurance Apverse opens the file in September 2019 we ask for information about this disaster and it informs us what this date no place but still a responsibility at 100 So already if they have no more information how to say that I am 100 wrong we ask him who is opposing insurance and she tells us that this is confidential. I explain to him the situation that has moved outside the mainland France and that we bought a vehicle here but with this disaster the insurance price is very high knowing that we have not had this disaster and it is possible for the opposing part and know a little more it replies that this is not possible that they only work by email. She therefore asks us to challenge by email done. The service takes a lot of time to come back to us I decide to recall and what was confidential begins to no longer be it tells us the name of opposing insurance so already people contradict each other. To date, we are still waiting for Dinners on this disaster and especially that it regulates my statement information</v>
      </c>
    </row>
    <row r="477" ht="15.75" customHeight="1">
      <c r="A477" s="2">
        <v>1.0</v>
      </c>
      <c r="B477" s="2" t="s">
        <v>1423</v>
      </c>
      <c r="C477" s="2" t="s">
        <v>1424</v>
      </c>
      <c r="D477" s="2" t="s">
        <v>844</v>
      </c>
      <c r="E477" s="2" t="s">
        <v>20</v>
      </c>
      <c r="F477" s="2" t="s">
        <v>15</v>
      </c>
      <c r="G477" s="2" t="s">
        <v>1425</v>
      </c>
      <c r="H477" s="2" t="s">
        <v>449</v>
      </c>
      <c r="I477" s="2" t="str">
        <f>IFERROR(__xludf.DUMMYFUNCTION("GOOGLETRANSLATE(C477,""fr"",""en"")"),"Ensures TIUS Risks: A broken windshield and key strokes (Painting door to redo) and I am fired like a malproprus.
An insurer just good to take the money and who saw you when there is a problem.")</f>
        <v>Ensures TIUS Risks: A broken windshield and key strokes (Painting door to redo) and I am fired like a malproprus.
An insurer just good to take the money and who saw you when there is a problem.</v>
      </c>
    </row>
    <row r="478" ht="15.75" customHeight="1">
      <c r="A478" s="2">
        <v>3.0</v>
      </c>
      <c r="B478" s="2" t="s">
        <v>1426</v>
      </c>
      <c r="C478" s="2" t="s">
        <v>1427</v>
      </c>
      <c r="D478" s="2" t="s">
        <v>285</v>
      </c>
      <c r="E478" s="2" t="s">
        <v>20</v>
      </c>
      <c r="F478" s="2" t="s">
        <v>15</v>
      </c>
      <c r="G478" s="2" t="s">
        <v>1428</v>
      </c>
      <c r="H478" s="2" t="s">
        <v>216</v>
      </c>
      <c r="I478" s="2" t="str">
        <f>IFERROR(__xludf.DUMMYFUNCTION("GOOGLETRANSLATE(C478,""fr"",""en"")"),"Good insurance but a little expensive for a mutual.")</f>
        <v>Good insurance but a little expensive for a mutual.</v>
      </c>
    </row>
    <row r="479" ht="15.75" customHeight="1">
      <c r="A479" s="2">
        <v>4.0</v>
      </c>
      <c r="B479" s="2" t="s">
        <v>1429</v>
      </c>
      <c r="C479" s="2" t="s">
        <v>1430</v>
      </c>
      <c r="D479" s="2" t="s">
        <v>19</v>
      </c>
      <c r="E479" s="2" t="s">
        <v>20</v>
      </c>
      <c r="F479" s="2" t="s">
        <v>15</v>
      </c>
      <c r="G479" s="2" t="s">
        <v>1431</v>
      </c>
      <c r="H479" s="2" t="s">
        <v>21</v>
      </c>
      <c r="I479" s="2" t="str">
        <f>IFERROR(__xludf.DUMMYFUNCTION("GOOGLETRANSLATE(C479,""fr"",""en"")"),"I am satisfied with the service.
You are of good advice.
Your prices are interesting.
You are reactive in relation to the requests that I have made to you")</f>
        <v>I am satisfied with the service.
You are of good advice.
Your prices are interesting.
You are reactive in relation to the requests that I have made to you</v>
      </c>
    </row>
    <row r="480" ht="15.75" customHeight="1">
      <c r="A480" s="2">
        <v>3.0</v>
      </c>
      <c r="B480" s="2" t="s">
        <v>1432</v>
      </c>
      <c r="C480" s="2" t="s">
        <v>1433</v>
      </c>
      <c r="D480" s="2" t="s">
        <v>559</v>
      </c>
      <c r="E480" s="2" t="s">
        <v>214</v>
      </c>
      <c r="F480" s="2" t="s">
        <v>15</v>
      </c>
      <c r="G480" s="2" t="s">
        <v>1434</v>
      </c>
      <c r="H480" s="2" t="s">
        <v>154</v>
      </c>
      <c r="I480" s="2" t="str">
        <f>IFERROR(__xludf.DUMMYFUNCTION("GOOGLETRANSLATE(C480,""fr"",""en"")"),"Compagnie Menssongère, after having contributed 7 years on an obsolete pension contract, this company arresses the levy themselves, impossible to dialogue so that they restore their mistakes, 5 months after without reaction from their shares I had to ask "&amp;"for the buyout that was verser 10 days after the request, in short, they contributed to us and before the end of the contract they make sure that there are errors for us disgusted and asking for the buyout which of course are for their profit, therefore d"&amp;"istrust see eliminated")</f>
        <v>Compagnie Menssongère, after having contributed 7 years on an obsolete pension contract, this company arresses the levy themselves, impossible to dialogue so that they restore their mistakes, 5 months after without reaction from their shares I had to ask for the buyout that was verser 10 days after the request, in short, they contributed to us and before the end of the contract they make sure that there are errors for us disgusted and asking for the buyout which of course are for their profit, therefore distrust see eliminated</v>
      </c>
    </row>
    <row r="481" ht="15.75" customHeight="1">
      <c r="A481" s="2">
        <v>1.0</v>
      </c>
      <c r="B481" s="2" t="s">
        <v>1435</v>
      </c>
      <c r="C481" s="2" t="s">
        <v>1436</v>
      </c>
      <c r="D481" s="2" t="s">
        <v>19</v>
      </c>
      <c r="E481" s="2" t="s">
        <v>20</v>
      </c>
      <c r="F481" s="2" t="s">
        <v>15</v>
      </c>
      <c r="G481" s="2" t="s">
        <v>1236</v>
      </c>
      <c r="H481" s="2" t="s">
        <v>21</v>
      </c>
      <c r="I481" s="2" t="str">
        <f>IFERROR(__xludf.DUMMYFUNCTION("GOOGLETRANSLATE(C481,""fr"",""en"")"),"In reality, binding and rigid: no occasional driver. Hand changes of advisers who do not listen or do not understand. In terms of price, you have chosen your type of customers (without risk of course) and are not so competitive as you want to let it hear")</f>
        <v>In reality, binding and rigid: no occasional driver. Hand changes of advisers who do not listen or do not understand. In terms of price, you have chosen your type of customers (without risk of course) and are not so competitive as you want to let it hear</v>
      </c>
    </row>
    <row r="482" ht="15.75" customHeight="1">
      <c r="A482" s="2">
        <v>5.0</v>
      </c>
      <c r="B482" s="2" t="s">
        <v>1437</v>
      </c>
      <c r="C482" s="2" t="s">
        <v>1438</v>
      </c>
      <c r="D482" s="2" t="s">
        <v>19</v>
      </c>
      <c r="E482" s="2" t="s">
        <v>20</v>
      </c>
      <c r="F482" s="2" t="s">
        <v>15</v>
      </c>
      <c r="G482" s="2" t="s">
        <v>1439</v>
      </c>
      <c r="H482" s="2" t="s">
        <v>79</v>
      </c>
      <c r="I482" s="2" t="str">
        <f>IFERROR(__xludf.DUMMYFUNCTION("GOOGLETRANSLATE(C482,""fr"",""en"")"),"Totally satisfied. Practicitis, rapidity and optimum file follow -up. Professional telephonic reception and very pleasant interlocutor. Finally, we signed a second car contract.")</f>
        <v>Totally satisfied. Practicitis, rapidity and optimum file follow -up. Professional telephonic reception and very pleasant interlocutor. Finally, we signed a second car contract.</v>
      </c>
    </row>
    <row r="483" ht="15.75" customHeight="1">
      <c r="A483" s="2">
        <v>1.0</v>
      </c>
      <c r="B483" s="2" t="s">
        <v>1440</v>
      </c>
      <c r="C483" s="2" t="s">
        <v>1441</v>
      </c>
      <c r="D483" s="2" t="s">
        <v>56</v>
      </c>
      <c r="E483" s="2" t="s">
        <v>122</v>
      </c>
      <c r="F483" s="2" t="s">
        <v>15</v>
      </c>
      <c r="G483" s="2" t="s">
        <v>1442</v>
      </c>
      <c r="H483" s="2" t="s">
        <v>701</v>
      </c>
      <c r="I483" s="2" t="str">
        <f>IFERROR(__xludf.DUMMYFUNCTION("GOOGLETRANSLATE(C483,""fr"",""en"")"),"To avoid absolutely we regret being part of Axa, moreover, we have returned because the interlocutor of Pacifica my retorted and well if you are not happy leave he well, it was done in fact Pacifica In fact to pay you but you should not have a disaster a "&amp;"advice do not change your insurance without reading the comments and yet we had 4 contracts")</f>
        <v>To avoid absolutely we regret being part of Axa, moreover, we have returned because the interlocutor of Pacifica my retorted and well if you are not happy leave he well, it was done in fact Pacifica In fact to pay you but you should not have a disaster a advice do not change your insurance without reading the comments and yet we had 4 contracts</v>
      </c>
    </row>
    <row r="484" ht="15.75" customHeight="1">
      <c r="A484" s="2">
        <v>3.0</v>
      </c>
      <c r="B484" s="2" t="s">
        <v>1443</v>
      </c>
      <c r="C484" s="2" t="s">
        <v>1444</v>
      </c>
      <c r="D484" s="2" t="s">
        <v>19</v>
      </c>
      <c r="E484" s="2" t="s">
        <v>20</v>
      </c>
      <c r="F484" s="2" t="s">
        <v>15</v>
      </c>
      <c r="G484" s="2" t="s">
        <v>971</v>
      </c>
      <c r="H484" s="2" t="s">
        <v>21</v>
      </c>
      <c r="I484" s="2" t="str">
        <f>IFERROR(__xludf.DUMMYFUNCTION("GOOGLETRANSLATE(C484,""fr"",""en"")"),"Over time, I was thinking of paying for my cheaper insurance but its rest at the same price.
Customer level, I remain satisfied in the whole.
Cordially")</f>
        <v>Over time, I was thinking of paying for my cheaper insurance but its rest at the same price.
Customer level, I remain satisfied in the whole.
Cordially</v>
      </c>
    </row>
    <row r="485" ht="15.75" customHeight="1">
      <c r="A485" s="2">
        <v>1.0</v>
      </c>
      <c r="B485" s="2" t="s">
        <v>1445</v>
      </c>
      <c r="C485" s="2" t="s">
        <v>1446</v>
      </c>
      <c r="D485" s="2" t="s">
        <v>43</v>
      </c>
      <c r="E485" s="2" t="s">
        <v>20</v>
      </c>
      <c r="F485" s="2" t="s">
        <v>15</v>
      </c>
      <c r="G485" s="2" t="s">
        <v>1447</v>
      </c>
      <c r="H485" s="2" t="s">
        <v>1281</v>
      </c>
      <c r="I485" s="2" t="str">
        <f>IFERROR(__xludf.DUMMYFUNCTION("GOOGLETRANSLATE(C485,""fr"",""en"")"),"Following a claim, the expert completely rejected the fault on me.
It was necessary to fight with the expert, to obtain satisfaction.
Being any risk, if I would have let myself go, € 9,000 repair to pay full jar in my pocket !!!
To take your money, no "&amp;"worries, on the other hand, in the event of a claim, we try to compensate you as little as possible.")</f>
        <v>Following a claim, the expert completely rejected the fault on me.
It was necessary to fight with the expert, to obtain satisfaction.
Being any risk, if I would have let myself go, € 9,000 repair to pay full jar in my pocket !!!
To take your money, no worries, on the other hand, in the event of a claim, we try to compensate you as little as possible.</v>
      </c>
    </row>
    <row r="486" ht="15.75" customHeight="1">
      <c r="A486" s="2">
        <v>1.0</v>
      </c>
      <c r="B486" s="2" t="s">
        <v>1448</v>
      </c>
      <c r="C486" s="2" t="s">
        <v>1449</v>
      </c>
      <c r="D486" s="2" t="s">
        <v>60</v>
      </c>
      <c r="E486" s="2" t="s">
        <v>61</v>
      </c>
      <c r="F486" s="2" t="s">
        <v>15</v>
      </c>
      <c r="G486" s="2" t="s">
        <v>239</v>
      </c>
      <c r="H486" s="2" t="s">
        <v>239</v>
      </c>
      <c r="I486" s="2" t="str">
        <f>IFERROR(__xludf.DUMMYFUNCTION("GOOGLETRANSLATE(C486,""fr"",""en"")"),"Nullissime .... The website never works, it refuses the identifiers all the time, even by changing the password via ""forgotten password"" it refuses it by following.
No one answers the phone and when miraculously responds, he says that the request is ta"&amp;"ken into account and that I will have an answer ..... answer that never comes, neither by email, nor by mail or by phone....
To be fleeing absolutely if you can, but, for the mutual insurance company compulsory and subscribed by the employer, we are trap"&amp;"ped in their goodwill ....
Their new excuse is covid and telework that explains the delay. Except for 8 years, it has always been this kind of problem.
It is a completely shabby provident mutual service.")</f>
        <v>Nullissime .... The website never works, it refuses the identifiers all the time, even by changing the password via "forgotten password" it refuses it by following.
No one answers the phone and when miraculously responds, he says that the request is taken into account and that I will have an answer ..... answer that never comes, neither by email, nor by mail or by phone....
To be fleeing absolutely if you can, but, for the mutual insurance company compulsory and subscribed by the employer, we are trapped in their goodwill ....
Their new excuse is covid and telework that explains the delay. Except for 8 years, it has always been this kind of problem.
It is a completely shabby provident mutual service.</v>
      </c>
    </row>
    <row r="487" ht="15.75" customHeight="1">
      <c r="A487" s="2">
        <v>5.0</v>
      </c>
      <c r="B487" s="2" t="s">
        <v>1450</v>
      </c>
      <c r="C487" s="2" t="s">
        <v>1451</v>
      </c>
      <c r="D487" s="2" t="s">
        <v>35</v>
      </c>
      <c r="E487" s="2" t="s">
        <v>20</v>
      </c>
      <c r="F487" s="2" t="s">
        <v>15</v>
      </c>
      <c r="G487" s="2" t="s">
        <v>1452</v>
      </c>
      <c r="H487" s="2" t="s">
        <v>74</v>
      </c>
      <c r="I487" s="2" t="str">
        <f>IFERROR(__xludf.DUMMYFUNCTION("GOOGLETRANSLATE(C487,""fr"",""en"")"),"I am satisfied with the services offered whether it is the prices where the telephone service I am a customer satisfied nothing to say other than satisfaction")</f>
        <v>I am satisfied with the services offered whether it is the prices where the telephone service I am a customer satisfied nothing to say other than satisfaction</v>
      </c>
    </row>
    <row r="488" ht="15.75" customHeight="1">
      <c r="A488" s="2">
        <v>2.0</v>
      </c>
      <c r="B488" s="2" t="s">
        <v>1453</v>
      </c>
      <c r="C488" s="2" t="s">
        <v>1454</v>
      </c>
      <c r="D488" s="2" t="s">
        <v>86</v>
      </c>
      <c r="E488" s="2" t="s">
        <v>61</v>
      </c>
      <c r="F488" s="2" t="s">
        <v>15</v>
      </c>
      <c r="G488" s="2" t="s">
        <v>573</v>
      </c>
      <c r="H488" s="2" t="s">
        <v>74</v>
      </c>
      <c r="I488" s="2" t="str">
        <f>IFERROR(__xludf.DUMMYFUNCTION("GOOGLETRANSLATE(C488,""fr"",""en"")"),"Hello,
Following telephone conversation with Widad I had all the information I needed was very professional it's perfect
Nadine")</f>
        <v>Hello,
Following telephone conversation with Widad I had all the information I needed was very professional it's perfect
Nadine</v>
      </c>
    </row>
    <row r="489" ht="15.75" customHeight="1">
      <c r="A489" s="2">
        <v>2.0</v>
      </c>
      <c r="B489" s="2" t="s">
        <v>1455</v>
      </c>
      <c r="C489" s="2" t="s">
        <v>1456</v>
      </c>
      <c r="D489" s="2" t="s">
        <v>269</v>
      </c>
      <c r="E489" s="2" t="s">
        <v>61</v>
      </c>
      <c r="F489" s="2" t="s">
        <v>15</v>
      </c>
      <c r="G489" s="2" t="s">
        <v>338</v>
      </c>
      <c r="H489" s="2" t="s">
        <v>256</v>
      </c>
      <c r="I489" s="2" t="str">
        <f>IFERROR(__xludf.DUMMYFUNCTION("GOOGLETRANSLATE(C489,""fr"",""en"")"),"Hospital care not received by the clinic, I had to pay the bill. For 3 weeks after sending this invoice, no refund has been made !!!")</f>
        <v>Hospital care not received by the clinic, I had to pay the bill. For 3 weeks after sending this invoice, no refund has been made !!!</v>
      </c>
    </row>
    <row r="490" ht="15.75" customHeight="1">
      <c r="A490" s="2">
        <v>5.0</v>
      </c>
      <c r="B490" s="2" t="s">
        <v>1457</v>
      </c>
      <c r="C490" s="2" t="s">
        <v>1458</v>
      </c>
      <c r="D490" s="2" t="s">
        <v>48</v>
      </c>
      <c r="E490" s="2" t="s">
        <v>14</v>
      </c>
      <c r="F490" s="2" t="s">
        <v>15</v>
      </c>
      <c r="G490" s="2" t="s">
        <v>1057</v>
      </c>
      <c r="H490" s="2" t="s">
        <v>108</v>
      </c>
      <c r="I490" s="2" t="str">
        <f>IFERROR(__xludf.DUMMYFUNCTION("GOOGLETRANSLATE(C490,""fr"",""en"")"),"For now 2 years insured at AMV I have never had any problems whether with customer service by phone or by email it was always very clear I am more than satisfied I highly recommend them for motorcycle insurance")</f>
        <v>For now 2 years insured at AMV I have never had any problems whether with customer service by phone or by email it was always very clear I am more than satisfied I highly recommend them for motorcycle insurance</v>
      </c>
    </row>
    <row r="491" ht="15.75" customHeight="1">
      <c r="A491" s="2">
        <v>4.0</v>
      </c>
      <c r="B491" s="2" t="s">
        <v>1459</v>
      </c>
      <c r="C491" s="2" t="s">
        <v>1460</v>
      </c>
      <c r="D491" s="2" t="s">
        <v>35</v>
      </c>
      <c r="E491" s="2" t="s">
        <v>20</v>
      </c>
      <c r="F491" s="2" t="s">
        <v>15</v>
      </c>
      <c r="G491" s="2" t="s">
        <v>636</v>
      </c>
      <c r="H491" s="2" t="s">
        <v>131</v>
      </c>
      <c r="I491" s="2" t="str">
        <f>IFERROR(__xludf.DUMMYFUNCTION("GOOGLETRANSLATE(C491,""fr"",""en"")"),"The contributions prices are very interesting, the telephone service is pleasant and explains the different points to know when subscribing to an insurer.")</f>
        <v>The contributions prices are very interesting, the telephone service is pleasant and explains the different points to know when subscribing to an insurer.</v>
      </c>
    </row>
    <row r="492" ht="15.75" customHeight="1">
      <c r="A492" s="2">
        <v>4.0</v>
      </c>
      <c r="B492" s="2" t="s">
        <v>1461</v>
      </c>
      <c r="C492" s="2" t="s">
        <v>1462</v>
      </c>
      <c r="D492" s="2" t="s">
        <v>35</v>
      </c>
      <c r="E492" s="2" t="s">
        <v>20</v>
      </c>
      <c r="F492" s="2" t="s">
        <v>15</v>
      </c>
      <c r="G492" s="2" t="s">
        <v>1463</v>
      </c>
      <c r="H492" s="2" t="s">
        <v>21</v>
      </c>
      <c r="I492" s="2" t="str">
        <f>IFERROR(__xludf.DUMMYFUNCTION("GOOGLETRANSLATE(C492,""fr"",""en"")"),"The information is very clear, the prices very attractive. The interlocutor answered all my questions. The approach is fast and without problems. Satisfied.")</f>
        <v>The information is very clear, the prices very attractive. The interlocutor answered all my questions. The approach is fast and without problems. Satisfied.</v>
      </c>
    </row>
    <row r="493" ht="15.75" customHeight="1">
      <c r="A493" s="2">
        <v>2.0</v>
      </c>
      <c r="B493" s="2" t="s">
        <v>1464</v>
      </c>
      <c r="C493" s="2" t="s">
        <v>1465</v>
      </c>
      <c r="D493" s="2" t="s">
        <v>56</v>
      </c>
      <c r="E493" s="2" t="s">
        <v>20</v>
      </c>
      <c r="F493" s="2" t="s">
        <v>15</v>
      </c>
      <c r="G493" s="2" t="s">
        <v>1466</v>
      </c>
      <c r="H493" s="2" t="s">
        <v>202</v>
      </c>
      <c r="I493" s="2" t="str">
        <f>IFERROR(__xludf.DUMMYFUNCTION("GOOGLETRANSLATE(C493,""fr"",""en"")"),"Pacifica is good insurance. I have been insured for more than fifteen years.")</f>
        <v>Pacifica is good insurance. I have been insured for more than fifteen years.</v>
      </c>
    </row>
    <row r="494" ht="15.75" customHeight="1">
      <c r="A494" s="2">
        <v>4.0</v>
      </c>
      <c r="B494" s="2" t="s">
        <v>1467</v>
      </c>
      <c r="C494" s="2" t="s">
        <v>1468</v>
      </c>
      <c r="D494" s="2" t="s">
        <v>43</v>
      </c>
      <c r="E494" s="2" t="s">
        <v>20</v>
      </c>
      <c r="F494" s="2" t="s">
        <v>15</v>
      </c>
      <c r="G494" s="2" t="s">
        <v>1469</v>
      </c>
      <c r="H494" s="2" t="s">
        <v>45</v>
      </c>
      <c r="I494" s="2" t="str">
        <f>IFERROR(__xludf.DUMMYFUNCTION("GOOGLETRANSLATE(C494,""fr"",""en"")"),"I am satisfied with my GMF space (easy to use for the printing of certificates) however I am not happy for my GMF insurance specific risk because no internet account access.")</f>
        <v>I am satisfied with my GMF space (easy to use for the printing of certificates) however I am not happy for my GMF insurance specific risk because no internet account access.</v>
      </c>
    </row>
    <row r="495" ht="15.75" customHeight="1">
      <c r="A495" s="2">
        <v>2.0</v>
      </c>
      <c r="B495" s="2" t="s">
        <v>1470</v>
      </c>
      <c r="C495" s="2" t="s">
        <v>1471</v>
      </c>
      <c r="D495" s="2" t="s">
        <v>884</v>
      </c>
      <c r="E495" s="2" t="s">
        <v>206</v>
      </c>
      <c r="F495" s="2" t="s">
        <v>15</v>
      </c>
      <c r="G495" s="2" t="s">
        <v>82</v>
      </c>
      <c r="H495" s="2" t="s">
        <v>83</v>
      </c>
      <c r="I495" s="2" t="str">
        <f>IFERROR(__xludf.DUMMYFUNCTION("GOOGLETRANSLATE(C495,""fr"",""en"")"),"Catastrophic !!! The monthly payment increased by 66% and advisers of the quality service, as their manager does not even bother to deal with the problem, worse ... they hang up on if you ask for a manager")</f>
        <v>Catastrophic !!! The monthly payment increased by 66% and advisers of the quality service, as their manager does not even bother to deal with the problem, worse ... they hang up on if you ask for a manager</v>
      </c>
    </row>
    <row r="496" ht="15.75" customHeight="1">
      <c r="A496" s="2">
        <v>3.0</v>
      </c>
      <c r="B496" s="2" t="s">
        <v>1472</v>
      </c>
      <c r="C496" s="2" t="s">
        <v>1473</v>
      </c>
      <c r="D496" s="2" t="s">
        <v>19</v>
      </c>
      <c r="E496" s="2" t="s">
        <v>20</v>
      </c>
      <c r="F496" s="2" t="s">
        <v>15</v>
      </c>
      <c r="G496" s="2" t="s">
        <v>1143</v>
      </c>
      <c r="H496" s="2" t="s">
        <v>108</v>
      </c>
      <c r="I496" s="2" t="str">
        <f>IFERROR(__xludf.DUMMYFUNCTION("GOOGLETRANSLATE(C496,""fr"",""en"")"),"Thank you satisfied for the moment hoping not to have a surprise and I assure you that I would be very careful not to have accidents under my responsibility thank you")</f>
        <v>Thank you satisfied for the moment hoping not to have a surprise and I assure you that I would be very careful not to have accidents under my responsibility thank you</v>
      </c>
    </row>
    <row r="497" ht="15.75" customHeight="1">
      <c r="A497" s="2">
        <v>3.0</v>
      </c>
      <c r="B497" s="2" t="s">
        <v>1474</v>
      </c>
      <c r="C497" s="2" t="s">
        <v>1475</v>
      </c>
      <c r="D497" s="2" t="s">
        <v>86</v>
      </c>
      <c r="E497" s="2" t="s">
        <v>61</v>
      </c>
      <c r="F497" s="2" t="s">
        <v>15</v>
      </c>
      <c r="G497" s="2" t="s">
        <v>1476</v>
      </c>
      <c r="H497" s="2" t="s">
        <v>247</v>
      </c>
      <c r="I497" s="2" t="str">
        <f>IFERROR(__xludf.DUMMYFUNCTION("GOOGLETRANSLATE(C497,""fr"",""en"")"),"Overall I am quite Satsfait of this mutual, just that it must grab the update of their computer software as quickly as possible because since January 2018 I have been up to date with all my contributions But on the member of the member he puts that I am a"&amp;" debtor and indeed on the phone they confirm a problem of computer software and that they were going to do what is necessary to correct this.")</f>
        <v>Overall I am quite Satsfait of this mutual, just that it must grab the update of their computer software as quickly as possible because since January 2018 I have been up to date with all my contributions But on the member of the member he puts that I am a debtor and indeed on the phone they confirm a problem of computer software and that they were going to do what is necessary to correct this.</v>
      </c>
    </row>
    <row r="498" ht="15.75" customHeight="1">
      <c r="A498" s="2">
        <v>2.0</v>
      </c>
      <c r="B498" s="2" t="s">
        <v>1477</v>
      </c>
      <c r="C498" s="2" t="s">
        <v>1478</v>
      </c>
      <c r="D498" s="2" t="s">
        <v>35</v>
      </c>
      <c r="E498" s="2" t="s">
        <v>20</v>
      </c>
      <c r="F498" s="2" t="s">
        <v>15</v>
      </c>
      <c r="G498" s="2" t="s">
        <v>1479</v>
      </c>
      <c r="H498" s="2" t="s">
        <v>1281</v>
      </c>
      <c r="I498" s="2" t="str">
        <f>IFERROR(__xludf.DUMMYFUNCTION("GOOGLETRANSLATE(C498,""fr"",""en"")"),"I made an amendment to my contract, they had indicated to me that my annual rate was now € 570 / year .. excluding it was in fact the price integrating the pro-rat, the advisor just made me become aware 6 months later. I therefore recalculate that my new "&amp;"annual rate should therefore be € 670 / year. Outside, what surprise, I just received a maturity notice of € 870 /year, on the pretext that I had a non -responsible accident (a lady opened her door on my vehicle, and we filled a constant.) Total misunders"&amp;"tanding and total opacity during my exchange with customer service on this subject.")</f>
        <v>I made an amendment to my contract, they had indicated to me that my annual rate was now € 570 / year .. excluding it was in fact the price integrating the pro-rat, the advisor just made me become aware 6 months later. I therefore recalculate that my new annual rate should therefore be € 670 / year. Outside, what surprise, I just received a maturity notice of € 870 /year, on the pretext that I had a non -responsible accident (a lady opened her door on my vehicle, and we filled a constant.) Total misunderstanding and total opacity during my exchange with customer service on this subject.</v>
      </c>
    </row>
    <row r="499" ht="15.75" customHeight="1">
      <c r="A499" s="2">
        <v>3.0</v>
      </c>
      <c r="B499" s="2" t="s">
        <v>1480</v>
      </c>
      <c r="C499" s="2" t="s">
        <v>1481</v>
      </c>
      <c r="D499" s="2" t="s">
        <v>19</v>
      </c>
      <c r="E499" s="2" t="s">
        <v>20</v>
      </c>
      <c r="F499" s="2" t="s">
        <v>15</v>
      </c>
      <c r="G499" s="2" t="s">
        <v>1482</v>
      </c>
      <c r="H499" s="2" t="s">
        <v>21</v>
      </c>
      <c r="I499" s="2" t="str">
        <f>IFERROR(__xludf.DUMMYFUNCTION("GOOGLETRANSLATE(C499,""fr"",""en"")"),"I am satisfied with the service yet. I have not had confirmation of the contract yet. The person was kind. The emails arrive quickly. Nothing more to report")</f>
        <v>I am satisfied with the service yet. I have not had confirmation of the contract yet. The person was kind. The emails arrive quickly. Nothing more to report</v>
      </c>
    </row>
    <row r="500" ht="15.75" customHeight="1">
      <c r="A500" s="2">
        <v>1.0</v>
      </c>
      <c r="B500" s="2" t="s">
        <v>1483</v>
      </c>
      <c r="C500" s="2" t="s">
        <v>1484</v>
      </c>
      <c r="D500" s="2" t="s">
        <v>100</v>
      </c>
      <c r="E500" s="2" t="s">
        <v>20</v>
      </c>
      <c r="F500" s="2" t="s">
        <v>15</v>
      </c>
      <c r="G500" s="2" t="s">
        <v>1485</v>
      </c>
      <c r="H500" s="2" t="s">
        <v>714</v>
      </c>
      <c r="I500" s="2" t="str">
        <f>IFERROR(__xludf.DUMMYFUNCTION("GOOGLETRANSLATE(C500,""fr"",""en"")"),"Not complicated problem: send a new green card following a change of registration. 1 month 1/2 that I expect. I call every week, I am answered that it will happen, I receive emails like what the shipment is done but still nothing in my mailbox!
It is how"&amp;"ever not complicated: print a document, put it in an envelope and send it.
I have never seen such an incompetent service !!! I dare to imagine your solutions if I have an accident ????
By cons to harass you on the phone, 15 times/week to sell you other "&amp;"insurances, there they are strong!
In short, flee !!!")</f>
        <v>Not complicated problem: send a new green card following a change of registration. 1 month 1/2 that I expect. I call every week, I am answered that it will happen, I receive emails like what the shipment is done but still nothing in my mailbox!
It is however not complicated: print a document, put it in an envelope and send it.
I have never seen such an incompetent service !!! I dare to imagine your solutions if I have an accident ????
By cons to harass you on the phone, 15 times/week to sell you other insurances, there they are strong!
In short, flee !!!</v>
      </c>
    </row>
    <row r="501" ht="15.75" customHeight="1">
      <c r="A501" s="2">
        <v>1.0</v>
      </c>
      <c r="B501" s="2" t="s">
        <v>1486</v>
      </c>
      <c r="C501" s="2" t="s">
        <v>1487</v>
      </c>
      <c r="D501" s="2" t="s">
        <v>378</v>
      </c>
      <c r="E501" s="2" t="s">
        <v>61</v>
      </c>
      <c r="F501" s="2" t="s">
        <v>15</v>
      </c>
      <c r="G501" s="2" t="s">
        <v>1488</v>
      </c>
      <c r="H501" s="2" t="s">
        <v>1489</v>
      </c>
      <c r="I501" s="2" t="str">
        <f>IFERROR(__xludf.DUMMYFUNCTION("GOOGLETRANSLATE(C501,""fr"",""en"")"),"Today I wanted to call an advisor to make a complementary health quote (Optimum option)")</f>
        <v>Today I wanted to call an advisor to make a complementary health quote (Optimum option)</v>
      </c>
    </row>
    <row r="502" ht="15.75" customHeight="1">
      <c r="A502" s="2">
        <v>1.0</v>
      </c>
      <c r="B502" s="2" t="s">
        <v>1490</v>
      </c>
      <c r="C502" s="2" t="s">
        <v>1491</v>
      </c>
      <c r="D502" s="2" t="s">
        <v>285</v>
      </c>
      <c r="E502" s="2" t="s">
        <v>20</v>
      </c>
      <c r="F502" s="2" t="s">
        <v>15</v>
      </c>
      <c r="G502" s="2" t="s">
        <v>1492</v>
      </c>
      <c r="H502" s="2" t="s">
        <v>247</v>
      </c>
      <c r="I502" s="2" t="str">
        <f>IFERROR(__xludf.DUMMYFUNCTION("GOOGLETRANSLATE(C502,""fr"",""en"")"),"A expensive eccessing insurance for a beginner with a 95 hp car, I had a less powerful car bought. And the Macif agent had slipped me into the contract without telling me a death warranty and home insurance, It was a nightmare to remove it.")</f>
        <v>A expensive eccessing insurance for a beginner with a 95 hp car, I had a less powerful car bought. And the Macif agent had slipped me into the contract without telling me a death warranty and home insurance, It was a nightmare to remove it.</v>
      </c>
    </row>
    <row r="503" ht="15.75" customHeight="1">
      <c r="A503" s="2">
        <v>2.0</v>
      </c>
      <c r="B503" s="2" t="s">
        <v>1493</v>
      </c>
      <c r="C503" s="2" t="s">
        <v>1494</v>
      </c>
      <c r="D503" s="2" t="s">
        <v>19</v>
      </c>
      <c r="E503" s="2" t="s">
        <v>20</v>
      </c>
      <c r="F503" s="2" t="s">
        <v>15</v>
      </c>
      <c r="G503" s="2" t="s">
        <v>1495</v>
      </c>
      <c r="H503" s="2" t="s">
        <v>45</v>
      </c>
      <c r="I503" s="2" t="str">
        <f>IFERROR(__xludf.DUMMYFUNCTION("GOOGLETRANSLATE(C503,""fr"",""en"")"),"A little expensive for young drivers who decides to take a recent car with power, otherwise customer and super service.
Thanks see you soon")</f>
        <v>A little expensive for young drivers who decides to take a recent car with power, otherwise customer and super service.
Thanks see you soon</v>
      </c>
    </row>
    <row r="504" ht="15.75" customHeight="1">
      <c r="A504" s="2">
        <v>1.0</v>
      </c>
      <c r="B504" s="2" t="s">
        <v>1496</v>
      </c>
      <c r="C504" s="2" t="s">
        <v>1497</v>
      </c>
      <c r="D504" s="2" t="s">
        <v>35</v>
      </c>
      <c r="E504" s="2" t="s">
        <v>20</v>
      </c>
      <c r="F504" s="2" t="s">
        <v>15</v>
      </c>
      <c r="G504" s="2" t="s">
        <v>869</v>
      </c>
      <c r="H504" s="2" t="s">
        <v>108</v>
      </c>
      <c r="I504" s="2" t="str">
        <f>IFERROR(__xludf.DUMMYFUNCTION("GOOGLETRANSLATE(C504,""fr"",""en"")"),"I received my deadline, and surprise +€ 220 while I have 50% bonuses and no claim. Call to customer service who has no response to me but who wants to give me a discount of € 110. Goodbye the olive tree and forever ... Small advice monitored your deadline"&amp;"s!")</f>
        <v>I received my deadline, and surprise +€ 220 while I have 50% bonuses and no claim. Call to customer service who has no response to me but who wants to give me a discount of € 110. Goodbye the olive tree and forever ... Small advice monitored your deadlines!</v>
      </c>
    </row>
    <row r="505" ht="15.75" customHeight="1">
      <c r="A505" s="2">
        <v>2.0</v>
      </c>
      <c r="B505" s="2" t="s">
        <v>1498</v>
      </c>
      <c r="C505" s="2" t="s">
        <v>1499</v>
      </c>
      <c r="D505" s="2" t="s">
        <v>35</v>
      </c>
      <c r="E505" s="2" t="s">
        <v>20</v>
      </c>
      <c r="F505" s="2" t="s">
        <v>15</v>
      </c>
      <c r="G505" s="2" t="s">
        <v>1500</v>
      </c>
      <c r="H505" s="2" t="s">
        <v>416</v>
      </c>
      <c r="I505" s="2" t="str">
        <f>IFERROR(__xludf.DUMMYFUNCTION("GOOGLETRANSLATE(C505,""fr"",""en"")"),"Paying completely, sent all docs except proof. Proof of penalties sent late but the Max bonus, no claims. In time of time I received UM Mail which says ""No action is necessary on your side the ball is in our camp. We will prevent you as soon as your requ"&amp;"est your documents have been processed. ” They ignored emails asking for my contract and certificate, contacts on the ""my personal space"" and did not respond to the phone. Yesterday, I phoned and a man answered, I asked questions about my contract he sa"&amp;"id ""for a moment"" and let me hear a recorded message for 35 minutes and did not come back. I tried to call again for 40 minutes to listen to the recorded message without response from the advisor. Then I looked at my contract on their site and he says c"&amp;"ontract endorsement. I received an email saying that my fact had changed and was attached a new form completed to sign with exactly the same information as December except for the date, and they want another annual payment the same that I made in December"&amp;". My facts are exactly the same as last year. My wife and that I have led cars insured for 50 years, own licenses, without claims. Why was I treated like this? My advice if you are considering the insurance of the olive tree, not to contract 10801413388")</f>
        <v>Paying completely, sent all docs except proof. Proof of penalties sent late but the Max bonus, no claims. In time of time I received UM Mail which says "No action is necessary on your side the ball is in our camp. We will prevent you as soon as your request your documents have been processed. ” They ignored emails asking for my contract and certificate, contacts on the "my personal space" and did not respond to the phone. Yesterday, I phoned and a man answered, I asked questions about my contract he said "for a moment" and let me hear a recorded message for 35 minutes and did not come back. I tried to call again for 40 minutes to listen to the recorded message without response from the advisor. Then I looked at my contract on their site and he says contract endorsement. I received an email saying that my fact had changed and was attached a new form completed to sign with exactly the same information as December except for the date, and they want another annual payment the same that I made in December. My facts are exactly the same as last year. My wife and that I have led cars insured for 50 years, own licenses, without claims. Why was I treated like this? My advice if you are considering the insurance of the olive tree, not to contract 10801413388</v>
      </c>
    </row>
    <row r="506" ht="15.75" customHeight="1">
      <c r="A506" s="2">
        <v>3.0</v>
      </c>
      <c r="B506" s="2" t="s">
        <v>1501</v>
      </c>
      <c r="C506" s="2" t="s">
        <v>1502</v>
      </c>
      <c r="D506" s="2" t="s">
        <v>285</v>
      </c>
      <c r="E506" s="2" t="s">
        <v>20</v>
      </c>
      <c r="F506" s="2" t="s">
        <v>15</v>
      </c>
      <c r="G506" s="2" t="s">
        <v>144</v>
      </c>
      <c r="H506" s="2" t="s">
        <v>92</v>
      </c>
      <c r="I506" s="2" t="str">
        <f>IFERROR(__xludf.DUMMYFUNCTION("GOOGLETRANSLATE(C506,""fr"",""en"")"),"I was looking for all -risk car insurance, but at the mileage because we are no longer riding a lot - with tact and in -depth knowledge of her products, the lady I had online demonstrated effectively that he was preferable to keep our insurance All curren"&amp;"t risks - compliments for its professionalism and kindness - if not, I have in progress a dispute not very high in terms of the reimbursements to be granted, I very much wish that the health insurance service service is also effective - it is me said that"&amp;" the drop -down televisions are not taken care of by the Macif while I read the opposite on your contract ??? I would like to understand - especially since you are going to go back to the responsible for the manager ...- nevertheless, if that should happe"&amp;"n to us again for the more expensive living room television, I would like to know if, yes or not the Housing insurance covers this kind of thing - otherwise we are old customers, almost thirty years of seniority almost ... and we never had to complain abo"&amp;"ut the Macif - good day better feelings Mme Goix Bernard Member 0766044")</f>
        <v>I was looking for all -risk car insurance, but at the mileage because we are no longer riding a lot - with tact and in -depth knowledge of her products, the lady I had online demonstrated effectively that he was preferable to keep our insurance All current risks - compliments for its professionalism and kindness - if not, I have in progress a dispute not very high in terms of the reimbursements to be granted, I very much wish that the health insurance service service is also effective - it is me said that the drop -down televisions are not taken care of by the Macif while I read the opposite on your contract ??? I would like to understand - especially since you are going to go back to the responsible for the manager ...- nevertheless, if that should happen to us again for the more expensive living room television, I would like to know if, yes or not the Housing insurance covers this kind of thing - otherwise we are old customers, almost thirty years of seniority almost ... and we never had to complain about the Macif - good day better feelings Mme Goix Bernard Member 0766044</v>
      </c>
    </row>
    <row r="507" ht="15.75" customHeight="1">
      <c r="A507" s="2">
        <v>4.0</v>
      </c>
      <c r="B507" s="2" t="s">
        <v>1503</v>
      </c>
      <c r="C507" s="2" t="s">
        <v>1504</v>
      </c>
      <c r="D507" s="2" t="s">
        <v>254</v>
      </c>
      <c r="E507" s="2" t="s">
        <v>61</v>
      </c>
      <c r="F507" s="2" t="s">
        <v>15</v>
      </c>
      <c r="G507" s="2" t="s">
        <v>1219</v>
      </c>
      <c r="H507" s="2" t="s">
        <v>256</v>
      </c>
      <c r="I507" s="2" t="str">
        <f>IFERROR(__xludf.DUMMYFUNCTION("GOOGLETRANSLATE(C507,""fr"",""en"")"),"I am satisfied with this mutual. Pleasant and competent customer service. Very practical website for sending documents. Reasonable price compared to the amounts of reimbursements.")</f>
        <v>I am satisfied with this mutual. Pleasant and competent customer service. Very practical website for sending documents. Reasonable price compared to the amounts of reimbursements.</v>
      </c>
    </row>
    <row r="508" ht="15.75" customHeight="1">
      <c r="A508" s="2">
        <v>3.0</v>
      </c>
      <c r="B508" s="2" t="s">
        <v>1505</v>
      </c>
      <c r="C508" s="2" t="s">
        <v>1506</v>
      </c>
      <c r="D508" s="2" t="s">
        <v>100</v>
      </c>
      <c r="E508" s="2" t="s">
        <v>20</v>
      </c>
      <c r="F508" s="2" t="s">
        <v>15</v>
      </c>
      <c r="G508" s="2" t="s">
        <v>1507</v>
      </c>
      <c r="H508" s="2" t="s">
        <v>1113</v>
      </c>
      <c r="I508" s="2" t="str">
        <f>IFERROR(__xludf.DUMMYFUNCTION("GOOGLETRANSLATE(C508,""fr"",""en"")"),"The lowest price on the market for a zero relational quality.")</f>
        <v>The lowest price on the market for a zero relational quality.</v>
      </c>
    </row>
    <row r="509" ht="15.75" customHeight="1">
      <c r="A509" s="2">
        <v>1.0</v>
      </c>
      <c r="B509" s="2" t="s">
        <v>1508</v>
      </c>
      <c r="C509" s="2" t="s">
        <v>1509</v>
      </c>
      <c r="D509" s="2" t="s">
        <v>35</v>
      </c>
      <c r="E509" s="2" t="s">
        <v>20</v>
      </c>
      <c r="F509" s="2" t="s">
        <v>15</v>
      </c>
      <c r="G509" s="2" t="s">
        <v>1510</v>
      </c>
      <c r="H509" s="2" t="s">
        <v>332</v>
      </c>
      <c r="I509" s="2" t="str">
        <f>IFERROR(__xludf.DUMMYFUNCTION("GOOGLETRANSLATE(C509,""fr"",""en"")"),"Hello,
I want to warn all future customers of the olive tree regarding their very aggressive pricing policy.
Indeed, they offer very advantageous prices on all the comparators on the net ... but be very careful with the increase in your premiums and d"&amp;"eductibles in the event of a disaster.
For example, here is my personal case: I subscribe last April to their homes with a bonus of 50%. Unfortunately in the year, I have a listed disaster and a break of ice.
My franchises and insurance premium have sim"&amp;"ply doubled this year !! And yes, everything is multiplied by 2 !!!
I was just expecting to be sanctioned by the increase in my penalty, but no, the basic contribution and the deductibles are cheerfully revised upwards (times 2)
In short ... think we"&amp;"ll before signing!
")</f>
        <v>Hello,
I want to warn all future customers of the olive tree regarding their very aggressive pricing policy.
Indeed, they offer very advantageous prices on all the comparators on the net ... but be very careful with the increase in your premiums and deductibles in the event of a disaster.
For example, here is my personal case: I subscribe last April to their homes with a bonus of 50%. Unfortunately in the year, I have a listed disaster and a break of ice.
My franchises and insurance premium have simply doubled this year !! And yes, everything is multiplied by 2 !!!
I was just expecting to be sanctioned by the increase in my penalty, but no, the basic contribution and the deductibles are cheerfully revised upwards (times 2)
In short ... think well before signing!
</v>
      </c>
    </row>
    <row r="510" ht="15.75" customHeight="1">
      <c r="A510" s="2">
        <v>1.0</v>
      </c>
      <c r="B510" s="2" t="s">
        <v>1511</v>
      </c>
      <c r="C510" s="2" t="s">
        <v>1512</v>
      </c>
      <c r="D510" s="2" t="s">
        <v>285</v>
      </c>
      <c r="E510" s="2" t="s">
        <v>20</v>
      </c>
      <c r="F510" s="2" t="s">
        <v>15</v>
      </c>
      <c r="G510" s="2" t="s">
        <v>593</v>
      </c>
      <c r="H510" s="2" t="s">
        <v>108</v>
      </c>
      <c r="I510" s="2" t="str">
        <f>IFERROR(__xludf.DUMMYFUNCTION("GOOGLETRANSLATE(C510,""fr"",""en"")"),"Hello
I broke down in Portugal, and what experience! I put my vehicle at the garage on Tuesday September 14 I called I had to call the Macif assistance and insisted for the opening of a file: F 1E25 98 40 and then that's it! No care return home not the r"&amp;"ight to take charge of the return to the vacation location, no replacement vehicle!
I recovered my vehicle on Friday 14, it is understood that the garage invoiced me four days of rental (did I have the choice?)
Then I called the assistance of my Visa Pr"&amp;"emier Bank Card of the BCP (perhaps Mondial Assistance) and after a good hour of a service telephone ride in service, after having someone on the phone who noted the Registration of my vehicle The communication cut! Charming experience!
If you don't need"&amp;" anything, and time to lose call them !!
")</f>
        <v>Hello
I broke down in Portugal, and what experience! I put my vehicle at the garage on Tuesday September 14 I called I had to call the Macif assistance and insisted for the opening of a file: F 1E25 98 40 and then that's it! No care return home not the right to take charge of the return to the vacation location, no replacement vehicle!
I recovered my vehicle on Friday 14, it is understood that the garage invoiced me four days of rental (did I have the choice?)
Then I called the assistance of my Visa Premier Bank Card of the BCP (perhaps Mondial Assistance) and after a good hour of a service telephone ride in service, after having someone on the phone who noted the Registration of my vehicle The communication cut! Charming experience!
If you don't need anything, and time to lose call them !!
</v>
      </c>
    </row>
    <row r="511" ht="15.75" customHeight="1">
      <c r="A511" s="2">
        <v>1.0</v>
      </c>
      <c r="B511" s="2" t="s">
        <v>1513</v>
      </c>
      <c r="C511" s="2" t="s">
        <v>1514</v>
      </c>
      <c r="D511" s="2" t="s">
        <v>95</v>
      </c>
      <c r="E511" s="2" t="s">
        <v>122</v>
      </c>
      <c r="F511" s="2" t="s">
        <v>15</v>
      </c>
      <c r="G511" s="2" t="s">
        <v>1515</v>
      </c>
      <c r="H511" s="2" t="s">
        <v>567</v>
      </c>
      <c r="I511" s="2" t="str">
        <f>IFERROR(__xludf.DUMMYFUNCTION("GOOGLETRANSLATE(C511,""fr"",""en"")"),"The service is practically unreachable")</f>
        <v>The service is practically unreachable</v>
      </c>
    </row>
    <row r="512" ht="15.75" customHeight="1">
      <c r="A512" s="2">
        <v>2.0</v>
      </c>
      <c r="B512" s="2" t="s">
        <v>1516</v>
      </c>
      <c r="C512" s="2" t="s">
        <v>1517</v>
      </c>
      <c r="D512" s="2" t="s">
        <v>24</v>
      </c>
      <c r="E512" s="2" t="s">
        <v>20</v>
      </c>
      <c r="F512" s="2" t="s">
        <v>15</v>
      </c>
      <c r="G512" s="2" t="s">
        <v>1518</v>
      </c>
      <c r="H512" s="2" t="s">
        <v>287</v>
      </c>
      <c r="I512" s="2" t="str">
        <f>IFERROR(__xludf.DUMMYFUNCTION("GOOGLETRANSLATE(C512,""fr"",""en"")"),"Hello to you ; I do not know how you act to get a statement of information when you have to terminate your contract (for incompetence of AXA) but I do not know how to do it! L R sent on 9/05, received 15/05
Always in an answer at 10/06. Yes Yes
Axa Fran"&amp;"ce Iard
313 Ark terrace
92727 Nanterre Cedex
I decide to change my car which gives me you consult you about the price of insurance, I called 6 times (0970821010) to continually hear the same '' black '' type 1 then re 1 etc ... … ..15mn of waiting …… A"&amp;"t 23mn the last time I said to myself '' I stop '' maybe there are more respectful insurance companies or more easily contactable ?? I still have remorse (it is true that I have been assured at Axa Partner since 1977) I do 0173180979 and yes bad luck she "&amp;"is not at all aware of my file and can do nothing.
I send a request for pricing on 04/21 by giving all the coordinates of the car, everything, I always wait ????? I try 0164734388, I am disgusted
The new car has arrived ……. Axa managed to wear me.
So m"&amp;"any others my envoys their quote without any problem perhaps they are a little more expensive ?????????? But helpful and in a phone call (the dream) I assure myself in another company contactable to go get my car, no choice, I still have no answer !!!!!! "&amp;"On nothing.
Ah I forgot, I asked on 26/04 a statement of info which is always without follow -up, ………. Normal depending on what I have just explained. This letter is also a request to send it to me by return of mail
All this to explain to you the termin"&amp;"ation of the cited contract with reference and the request to rebate of the unused premium (3 days) within 15 days of the acknowledgment of receipt then I would take care of informing my friends as well as all the people likely to be interested.
To this "&amp;"is joined a preceding disaster of clause ‘’ defense and appeal ’’ r.c. managed miserably with a regulation that has dragged in your desktops for a short month, answered by lie for this justified
")</f>
        <v>Hello to you ; I do not know how you act to get a statement of information when you have to terminate your contract (for incompetence of AXA) but I do not know how to do it! L R sent on 9/05, received 15/05
Always in an answer at 10/06. Yes Yes
Axa France Iard
313 Ark terrace
92727 Nanterre Cedex
I decide to change my car which gives me you consult you about the price of insurance, I called 6 times (0970821010) to continually hear the same '' black '' type 1 then re 1 etc ... … ..15mn of waiting …… At 23mn the last time I said to myself '' I stop '' maybe there are more respectful insurance companies or more easily contactable ?? I still have remorse (it is true that I have been assured at Axa Partner since 1977) I do 0173180979 and yes bad luck she is not at all aware of my file and can do nothing.
I send a request for pricing on 04/21 by giving all the coordinates of the car, everything, I always wait ????? I try 0164734388, I am disgusted
The new car has arrived ……. Axa managed to wear me.
So many others my envoys their quote without any problem perhaps they are a little more expensive ?????????? But helpful and in a phone call (the dream) I assure myself in another company contactable to go get my car, no choice, I still have no answer !!!!!! On nothing.
Ah I forgot, I asked on 26/04 a statement of info which is always without follow -up, ………. Normal depending on what I have just explained. This letter is also a request to send it to me by return of mail
All this to explain to you the termination of the cited contract with reference and the request to rebate of the unused premium (3 days) within 15 days of the acknowledgment of receipt then I would take care of informing my friends as well as all the people likely to be interested.
To this is joined a preceding disaster of clause ‘’ defense and appeal ’’ r.c. managed miserably with a regulation that has dragged in your desktops for a short month, answered by lie for this justified
</v>
      </c>
    </row>
    <row r="513" ht="15.75" customHeight="1">
      <c r="A513" s="2">
        <v>1.0</v>
      </c>
      <c r="B513" s="2" t="s">
        <v>1519</v>
      </c>
      <c r="C513" s="2" t="s">
        <v>1520</v>
      </c>
      <c r="D513" s="2" t="s">
        <v>111</v>
      </c>
      <c r="E513" s="2" t="s">
        <v>214</v>
      </c>
      <c r="F513" s="2" t="s">
        <v>15</v>
      </c>
      <c r="G513" s="2" t="s">
        <v>1521</v>
      </c>
      <c r="H513" s="2" t="s">
        <v>347</v>
      </c>
      <c r="I513" s="2" t="str">
        <f>IFERROR(__xludf.DUMMYFUNCTION("GOOGLETRANSLATE(C513,""fr"",""en"")"),"Inadmissible, on stop since September 26, I still expect my additional salary. At each call, my file is under study. I am asked for my daily compensation statements but the fact of the envoys postpone the processing of the 3 week file. No calls on their p"&amp;"art, no email. If we don't call, we don't know anything.")</f>
        <v>Inadmissible, on stop since September 26, I still expect my additional salary. At each call, my file is under study. I am asked for my daily compensation statements but the fact of the envoys postpone the processing of the 3 week file. No calls on their part, no email. If we don't call, we don't know anything.</v>
      </c>
    </row>
    <row r="514" ht="15.75" customHeight="1">
      <c r="A514" s="2">
        <v>1.0</v>
      </c>
      <c r="B514" s="2" t="s">
        <v>1522</v>
      </c>
      <c r="C514" s="2" t="s">
        <v>1523</v>
      </c>
      <c r="D514" s="2" t="s">
        <v>60</v>
      </c>
      <c r="E514" s="2" t="s">
        <v>61</v>
      </c>
      <c r="F514" s="2" t="s">
        <v>15</v>
      </c>
      <c r="G514" s="2" t="s">
        <v>1482</v>
      </c>
      <c r="H514" s="2" t="s">
        <v>21</v>
      </c>
      <c r="I514" s="2" t="str">
        <f>IFERROR(__xludf.DUMMYFUNCTION("GOOGLETRANSLATE(C514,""fr"",""en"")"),"Since January 20, 2021 I have been waiting for care for hearing aids. I received an email accusing me receiving my request. To date on March 7, 21 still no response despite three calls to the complaints service with the promise of an imminent answer each "&amp;"time.
Mutual to flee absolutely and as quickly as possible.
")</f>
        <v>Since January 20, 2021 I have been waiting for care for hearing aids. I received an email accusing me receiving my request. To date on March 7, 21 still no response despite three calls to the complaints service with the promise of an imminent answer each time.
Mutual to flee absolutely and as quickly as possible.
</v>
      </c>
    </row>
    <row r="515" ht="15.75" customHeight="1">
      <c r="A515" s="2">
        <v>5.0</v>
      </c>
      <c r="B515" s="2" t="s">
        <v>1524</v>
      </c>
      <c r="C515" s="2" t="s">
        <v>1525</v>
      </c>
      <c r="D515" s="2" t="s">
        <v>86</v>
      </c>
      <c r="E515" s="2" t="s">
        <v>61</v>
      </c>
      <c r="F515" s="2" t="s">
        <v>15</v>
      </c>
      <c r="G515" s="2" t="s">
        <v>1526</v>
      </c>
      <c r="H515" s="2" t="s">
        <v>74</v>
      </c>
      <c r="I515" s="2" t="str">
        <f>IFERROR(__xludf.DUMMYFUNCTION("GOOGLETRANSLATE(C515,""fr"",""en"")"),"Newly ensured very satisfied with my exchange with Emeline
Clear explanations effective and very friendly worker is reassuring")</f>
        <v>Newly ensured very satisfied with my exchange with Emeline
Clear explanations effective and very friendly worker is reassuring</v>
      </c>
    </row>
    <row r="516" ht="15.75" customHeight="1">
      <c r="A516" s="2">
        <v>3.0</v>
      </c>
      <c r="B516" s="2" t="s">
        <v>1527</v>
      </c>
      <c r="C516" s="2" t="s">
        <v>1528</v>
      </c>
      <c r="D516" s="2" t="s">
        <v>35</v>
      </c>
      <c r="E516" s="2" t="s">
        <v>20</v>
      </c>
      <c r="F516" s="2" t="s">
        <v>15</v>
      </c>
      <c r="G516" s="2" t="s">
        <v>108</v>
      </c>
      <c r="H516" s="2" t="s">
        <v>108</v>
      </c>
      <c r="I516" s="2" t="str">
        <f>IFERROR(__xludf.DUMMYFUNCTION("GOOGLETRANSLATE(C516,""fr"",""en"")"),"I find that the case fees are really excessive € 100 to subscribe is slightly exaggerated and € 15 to change your address while it takes 30 seconds too but no choice to pay")</f>
        <v>I find that the case fees are really excessive € 100 to subscribe is slightly exaggerated and € 15 to change your address while it takes 30 seconds too but no choice to pay</v>
      </c>
    </row>
    <row r="517" ht="15.75" customHeight="1">
      <c r="A517" s="2">
        <v>4.0</v>
      </c>
      <c r="B517" s="2" t="s">
        <v>1529</v>
      </c>
      <c r="C517" s="2" t="s">
        <v>1530</v>
      </c>
      <c r="D517" s="2" t="s">
        <v>19</v>
      </c>
      <c r="E517" s="2" t="s">
        <v>20</v>
      </c>
      <c r="F517" s="2" t="s">
        <v>15</v>
      </c>
      <c r="G517" s="2" t="s">
        <v>639</v>
      </c>
      <c r="H517" s="2" t="s">
        <v>74</v>
      </c>
      <c r="I517" s="2" t="str">
        <f>IFERROR(__xludf.DUMMYFUNCTION("GOOGLETRANSLATE(C517,""fr"",""en"")"),"I am satisfied with the service. I appreciate the simplicity and speed of responses in the processing of certificates requests. Good advice.")</f>
        <v>I am satisfied with the service. I appreciate the simplicity and speed of responses in the processing of certificates requests. Good advice.</v>
      </c>
    </row>
    <row r="518" ht="15.75" customHeight="1">
      <c r="A518" s="2">
        <v>5.0</v>
      </c>
      <c r="B518" s="2" t="s">
        <v>1531</v>
      </c>
      <c r="C518" s="2" t="s">
        <v>1532</v>
      </c>
      <c r="D518" s="2" t="s">
        <v>19</v>
      </c>
      <c r="E518" s="2" t="s">
        <v>20</v>
      </c>
      <c r="F518" s="2" t="s">
        <v>15</v>
      </c>
      <c r="G518" s="2" t="s">
        <v>1526</v>
      </c>
      <c r="H518" s="2" t="s">
        <v>74</v>
      </c>
      <c r="I518" s="2" t="str">
        <f>IFERROR(__xludf.DUMMYFUNCTION("GOOGLETRANSLATE(C518,""fr"",""en"")"),"hello very satisfied with the prayers say by direct insurance and to the person who advisor to car insurance and the home thank you to direct insurance")</f>
        <v>hello very satisfied with the prayers say by direct insurance and to the person who advisor to car insurance and the home thank you to direct insurance</v>
      </c>
    </row>
    <row r="519" ht="15.75" customHeight="1">
      <c r="A519" s="2">
        <v>4.0</v>
      </c>
      <c r="B519" s="2" t="s">
        <v>1533</v>
      </c>
      <c r="C519" s="2" t="s">
        <v>1534</v>
      </c>
      <c r="D519" s="2" t="s">
        <v>19</v>
      </c>
      <c r="E519" s="2" t="s">
        <v>20</v>
      </c>
      <c r="F519" s="2" t="s">
        <v>15</v>
      </c>
      <c r="G519" s="2" t="s">
        <v>930</v>
      </c>
      <c r="H519" s="2" t="s">
        <v>45</v>
      </c>
      <c r="I519" s="2" t="str">
        <f>IFERROR(__xludf.DUMMYFUNCTION("GOOGLETRANSLATE(C519,""fr"",""en"")"),"Simple effective and affordable but some server concerns that has corrected for more fluidity. Otherwise the site and very explicit and it is easy for anyone to subscribe to you")</f>
        <v>Simple effective and affordable but some server concerns that has corrected for more fluidity. Otherwise the site and very explicit and it is easy for anyone to subscribe to you</v>
      </c>
    </row>
    <row r="520" ht="15.75" customHeight="1">
      <c r="A520" s="2">
        <v>5.0</v>
      </c>
      <c r="B520" s="2" t="s">
        <v>1535</v>
      </c>
      <c r="C520" s="2" t="s">
        <v>1536</v>
      </c>
      <c r="D520" s="2" t="s">
        <v>35</v>
      </c>
      <c r="E520" s="2" t="s">
        <v>20</v>
      </c>
      <c r="F520" s="2" t="s">
        <v>15</v>
      </c>
      <c r="G520" s="2" t="s">
        <v>1537</v>
      </c>
      <c r="H520" s="2" t="s">
        <v>164</v>
      </c>
      <c r="I520" s="2" t="str">
        <f>IFERROR(__xludf.DUMMYFUNCTION("GOOGLETRANSLATE(C520,""fr"",""en"")"),"Very satisfied with the method of being assured! If only all insurance could be so simple. Thank you again very good prices and simplicity to ensure.")</f>
        <v>Very satisfied with the method of being assured! If only all insurance could be so simple. Thank you again very good prices and simplicity to ensure.</v>
      </c>
    </row>
    <row r="521" ht="15.75" customHeight="1">
      <c r="A521" s="2">
        <v>5.0</v>
      </c>
      <c r="B521" s="2" t="s">
        <v>1538</v>
      </c>
      <c r="C521" s="2" t="s">
        <v>1539</v>
      </c>
      <c r="D521" s="2" t="s">
        <v>35</v>
      </c>
      <c r="E521" s="2" t="s">
        <v>20</v>
      </c>
      <c r="F521" s="2" t="s">
        <v>15</v>
      </c>
      <c r="G521" s="2" t="s">
        <v>1219</v>
      </c>
      <c r="H521" s="2" t="s">
        <v>256</v>
      </c>
      <c r="I521" s="2" t="str">
        <f>IFERROR(__xludf.DUMMYFUNCTION("GOOGLETRANSLATE(C521,""fr"",""en"")"),"Tented by the GMF following 3 non -responsible claims in 2 years I was advised the Olivier Insurance. After an internet quote and a telephone conversation with an operator I signed without hesitation ... Price substantially identical to GMF for practicall"&amp;"y equivalent guarantees even if the franchises are a little high. Me who thought he had trouble finding an insurer and having a huge surprise ...")</f>
        <v>Tented by the GMF following 3 non -responsible claims in 2 years I was advised the Olivier Insurance. After an internet quote and a telephone conversation with an operator I signed without hesitation ... Price substantially identical to GMF for practically equivalent guarantees even if the franchises are a little high. Me who thought he had trouble finding an insurer and having a huge surprise ...</v>
      </c>
    </row>
    <row r="522" ht="15.75" customHeight="1">
      <c r="A522" s="2">
        <v>2.0</v>
      </c>
      <c r="B522" s="2" t="s">
        <v>1540</v>
      </c>
      <c r="C522" s="2" t="s">
        <v>1541</v>
      </c>
      <c r="D522" s="2" t="s">
        <v>95</v>
      </c>
      <c r="E522" s="2" t="s">
        <v>20</v>
      </c>
      <c r="F522" s="2" t="s">
        <v>15</v>
      </c>
      <c r="G522" s="2" t="s">
        <v>1542</v>
      </c>
      <c r="H522" s="2" t="s">
        <v>501</v>
      </c>
      <c r="I522" s="2" t="str">
        <f>IFERROR(__xludf.DUMMYFUNCTION("GOOGLETRANSLATE(C522,""fr"",""en"")"),"Suprise begins :-) What is behind this Maaf ad?
A friend advice above all does not take care of the maaf, car or other ...
kindness = 0
advise = 0
sense of service = 0
So the note is 0/20
Thank you for this stupid ad that makes me laugh, with exempl"&amp;"ary stupidity! Bravo the maaf, to forget very quickly.")</f>
        <v>Suprise begins :-) What is behind this Maaf ad?
A friend advice above all does not take care of the maaf, car or other ...
kindness = 0
advise = 0
sense of service = 0
So the note is 0/20
Thank you for this stupid ad that makes me laugh, with exemplary stupidity! Bravo the maaf, to forget very quickly.</v>
      </c>
    </row>
    <row r="523" ht="15.75" customHeight="1">
      <c r="A523" s="2">
        <v>4.0</v>
      </c>
      <c r="B523" s="2" t="s">
        <v>1543</v>
      </c>
      <c r="C523" s="2" t="s">
        <v>1544</v>
      </c>
      <c r="D523" s="2" t="s">
        <v>254</v>
      </c>
      <c r="E523" s="2" t="s">
        <v>61</v>
      </c>
      <c r="F523" s="2" t="s">
        <v>15</v>
      </c>
      <c r="G523" s="2" t="s">
        <v>1236</v>
      </c>
      <c r="H523" s="2" t="s">
        <v>21</v>
      </c>
      <c r="I523" s="2" t="str">
        <f>IFERROR(__xludf.DUMMYFUNCTION("GOOGLETRANSLATE(C523,""fr"",""en"")"),"Hello everyone,
I have been very satisfied with my mutual, the MGP for over forty years; rapid reimbursements; telephone contacts in the event of problems or need for information, very satisfactory; Listening and precise interlocutors in their answers! N"&amp;"o complaints !!!")</f>
        <v>Hello everyone,
I have been very satisfied with my mutual, the MGP for over forty years; rapid reimbursements; telephone contacts in the event of problems or need for information, very satisfactory; Listening and precise interlocutors in their answers! No complaints !!!</v>
      </c>
    </row>
    <row r="524" ht="15.75" customHeight="1">
      <c r="A524" s="2">
        <v>4.0</v>
      </c>
      <c r="B524" s="2" t="s">
        <v>1545</v>
      </c>
      <c r="C524" s="2" t="s">
        <v>1546</v>
      </c>
      <c r="D524" s="2" t="s">
        <v>35</v>
      </c>
      <c r="E524" s="2" t="s">
        <v>20</v>
      </c>
      <c r="F524" s="2" t="s">
        <v>15</v>
      </c>
      <c r="G524" s="2" t="s">
        <v>1547</v>
      </c>
      <c r="H524" s="2" t="s">
        <v>45</v>
      </c>
      <c r="I524" s="2" t="str">
        <f>IFERROR(__xludf.DUMMYFUNCTION("GOOGLETRANSLATE(C524,""fr"",""en"")"),"Very fast and simple
For the realization of a contract as for any other question
I highly recommend
Never had any concern
And competitive price")</f>
        <v>Very fast and simple
For the realization of a contract as for any other question
I highly recommend
Never had any concern
And competitive price</v>
      </c>
    </row>
    <row r="525" ht="15.75" customHeight="1">
      <c r="A525" s="2">
        <v>3.0</v>
      </c>
      <c r="B525" s="2" t="s">
        <v>1548</v>
      </c>
      <c r="C525" s="2" t="s">
        <v>1549</v>
      </c>
      <c r="D525" s="2" t="s">
        <v>24</v>
      </c>
      <c r="E525" s="2" t="s">
        <v>122</v>
      </c>
      <c r="F525" s="2" t="s">
        <v>15</v>
      </c>
      <c r="G525" s="2" t="s">
        <v>1550</v>
      </c>
      <c r="H525" s="2" t="s">
        <v>216</v>
      </c>
      <c r="I525" s="2" t="str">
        <f>IFERROR(__xludf.DUMMYFUNCTION("GOOGLETRANSLATE(C525,""fr"",""en"")"),"Lack of responsiveness, ineffectiveness of customer service, extraordinary delays in expertise after damage, reminders ever made ...")</f>
        <v>Lack of responsiveness, ineffectiveness of customer service, extraordinary delays in expertise after damage, reminders ever made ...</v>
      </c>
    </row>
    <row r="526" ht="15.75" customHeight="1">
      <c r="A526" s="2">
        <v>4.0</v>
      </c>
      <c r="B526" s="2" t="s">
        <v>1551</v>
      </c>
      <c r="C526" s="2" t="s">
        <v>1552</v>
      </c>
      <c r="D526" s="2" t="s">
        <v>19</v>
      </c>
      <c r="E526" s="2" t="s">
        <v>20</v>
      </c>
      <c r="F526" s="2" t="s">
        <v>15</v>
      </c>
      <c r="G526" s="2" t="s">
        <v>222</v>
      </c>
      <c r="H526" s="2" t="s">
        <v>108</v>
      </c>
      <c r="I526" s="2" t="str">
        <f>IFERROR(__xludf.DUMMYFUNCTION("GOOGLETRANSLATE(C526,""fr"",""en"")"),"Simple and practical, already assured at home for the first time, I come back to you again because very satisfied with your services. I recommend you to those around me")</f>
        <v>Simple and practical, already assured at home for the first time, I come back to you again because very satisfied with your services. I recommend you to those around me</v>
      </c>
    </row>
    <row r="527" ht="15.75" customHeight="1">
      <c r="A527" s="2">
        <v>4.0</v>
      </c>
      <c r="B527" s="2" t="s">
        <v>1553</v>
      </c>
      <c r="C527" s="2" t="s">
        <v>1554</v>
      </c>
      <c r="D527" s="2" t="s">
        <v>35</v>
      </c>
      <c r="E527" s="2" t="s">
        <v>20</v>
      </c>
      <c r="F527" s="2" t="s">
        <v>15</v>
      </c>
      <c r="G527" s="2" t="s">
        <v>1555</v>
      </c>
      <c r="H527" s="2" t="s">
        <v>45</v>
      </c>
      <c r="I527" s="2" t="str">
        <f>IFERROR(__xludf.DUMMYFUNCTION("GOOGLETRANSLATE(C527,""fr"",""en"")"),"Site that beug beautiful but fast when it works.
Perhaps the explorer who was not the right one.
Fairly intuitive and fast tool.
Overall satisfied without the beug")</f>
        <v>Site that beug beautiful but fast when it works.
Perhaps the explorer who was not the right one.
Fairly intuitive and fast tool.
Overall satisfied without the beug</v>
      </c>
    </row>
    <row r="528" ht="15.75" customHeight="1">
      <c r="A528" s="2">
        <v>4.0</v>
      </c>
      <c r="B528" s="2" t="s">
        <v>1556</v>
      </c>
      <c r="C528" s="2" t="s">
        <v>1557</v>
      </c>
      <c r="D528" s="2" t="s">
        <v>171</v>
      </c>
      <c r="E528" s="2" t="s">
        <v>14</v>
      </c>
      <c r="F528" s="2" t="s">
        <v>15</v>
      </c>
      <c r="G528" s="2" t="s">
        <v>1558</v>
      </c>
      <c r="H528" s="2" t="s">
        <v>164</v>
      </c>
      <c r="I528" s="2" t="str">
        <f>IFERROR(__xludf.DUMMYFUNCTION("GOOGLETRANSLATE(C528,""fr"",""en"")"),"I am satisfied with the site to make my request/proposal and the fast contact to be able to discuss this proposal following telephone contact")</f>
        <v>I am satisfied with the site to make my request/proposal and the fast contact to be able to discuss this proposal following telephone contact</v>
      </c>
    </row>
    <row r="529" ht="15.75" customHeight="1">
      <c r="A529" s="2">
        <v>3.0</v>
      </c>
      <c r="B529" s="2" t="s">
        <v>1559</v>
      </c>
      <c r="C529" s="2" t="s">
        <v>1560</v>
      </c>
      <c r="D529" s="2" t="s">
        <v>19</v>
      </c>
      <c r="E529" s="2" t="s">
        <v>20</v>
      </c>
      <c r="F529" s="2" t="s">
        <v>15</v>
      </c>
      <c r="G529" s="2" t="s">
        <v>1561</v>
      </c>
      <c r="H529" s="2" t="s">
        <v>21</v>
      </c>
      <c r="I529" s="2" t="str">
        <f>IFERROR(__xludf.DUMMYFUNCTION("GOOGLETRANSLATE(C529,""fr"",""en"")"),"I think we can do even better knowing that I had already made a quote a few months ago and I was 48 euros by me instead of 55 today")</f>
        <v>I think we can do even better knowing that I had already made a quote a few months ago and I was 48 euros by me instead of 55 today</v>
      </c>
    </row>
    <row r="530" ht="15.75" customHeight="1">
      <c r="A530" s="2">
        <v>3.0</v>
      </c>
      <c r="B530" s="2" t="s">
        <v>1562</v>
      </c>
      <c r="C530" s="2" t="s">
        <v>1563</v>
      </c>
      <c r="D530" s="2" t="s">
        <v>111</v>
      </c>
      <c r="E530" s="2" t="s">
        <v>61</v>
      </c>
      <c r="F530" s="2" t="s">
        <v>15</v>
      </c>
      <c r="G530" s="2" t="s">
        <v>1564</v>
      </c>
      <c r="H530" s="2" t="s">
        <v>190</v>
      </c>
      <c r="I530" s="2" t="str">
        <f>IFERROR(__xludf.DUMMYFUNCTION("GOOGLETRANSLATE(C530,""fr"",""en"")"),"I have been at AG2R for years under the cover of my employer")</f>
        <v>I have been at AG2R for years under the cover of my employer</v>
      </c>
    </row>
    <row r="531" ht="15.75" customHeight="1">
      <c r="A531" s="2">
        <v>1.0</v>
      </c>
      <c r="B531" s="2" t="s">
        <v>1565</v>
      </c>
      <c r="C531" s="2" t="s">
        <v>1566</v>
      </c>
      <c r="D531" s="2" t="s">
        <v>100</v>
      </c>
      <c r="E531" s="2" t="s">
        <v>20</v>
      </c>
      <c r="F531" s="2" t="s">
        <v>15</v>
      </c>
      <c r="G531" s="2" t="s">
        <v>1567</v>
      </c>
      <c r="H531" s="2" t="s">
        <v>1113</v>
      </c>
      <c r="I531" s="2" t="str">
        <f>IFERROR(__xludf.DUMMYFUNCTION("GOOGLETRANSLATE(C531,""fr"",""en"")"),"Hello Flee they offer you the least quote and as soon as you get involved with them it is where the trouble begins: after paying a 3 -month response and received the provisional insurance certificate they terminated the contract by recommended (the day af"&amp;"ter the subscription I go on vacation and when I return I get the registeredder and surprise they did not assure me because on my information statement it is missing 3 days ... Normal I had no more cars because I sold it and bought another 3 days later, f"&amp;"ortunately that I did not have any seeds because I was not insured !!!!.")</f>
        <v>Hello Flee they offer you the least quote and as soon as you get involved with them it is where the trouble begins: after paying a 3 -month response and received the provisional insurance certificate they terminated the contract by recommended (the day after the subscription I go on vacation and when I return I get the registeredder and surprise they did not assure me because on my information statement it is missing 3 days ... Normal I had no more cars because I sold it and bought another 3 days later, fortunately that I did not have any seeds because I was not insured !!!!.</v>
      </c>
    </row>
    <row r="532" ht="15.75" customHeight="1">
      <c r="A532" s="2">
        <v>4.0</v>
      </c>
      <c r="B532" s="2" t="s">
        <v>1568</v>
      </c>
      <c r="C532" s="2" t="s">
        <v>1569</v>
      </c>
      <c r="D532" s="2" t="s">
        <v>19</v>
      </c>
      <c r="E532" s="2" t="s">
        <v>20</v>
      </c>
      <c r="F532" s="2" t="s">
        <v>15</v>
      </c>
      <c r="G532" s="2" t="s">
        <v>1057</v>
      </c>
      <c r="H532" s="2" t="s">
        <v>108</v>
      </c>
      <c r="I532" s="2" t="str">
        <f>IFERROR(__xludf.DUMMYFUNCTION("GOOGLETRANSLATE(C532,""fr"",""en"")"),"Very satisfied with the contract and services. Advise very attentive and no problem encountered. Attractive price, insurance company to recommend")</f>
        <v>Very satisfied with the contract and services. Advise very attentive and no problem encountered. Attractive price, insurance company to recommend</v>
      </c>
    </row>
    <row r="533" ht="15.75" customHeight="1">
      <c r="A533" s="2">
        <v>1.0</v>
      </c>
      <c r="B533" s="2" t="s">
        <v>1570</v>
      </c>
      <c r="C533" s="2" t="s">
        <v>1571</v>
      </c>
      <c r="D533" s="2" t="s">
        <v>285</v>
      </c>
      <c r="E533" s="2" t="s">
        <v>20</v>
      </c>
      <c r="F533" s="2" t="s">
        <v>15</v>
      </c>
      <c r="G533" s="2" t="s">
        <v>1572</v>
      </c>
      <c r="H533" s="2" t="s">
        <v>422</v>
      </c>
      <c r="I533" s="2" t="str">
        <f>IFERROR(__xludf.DUMMYFUNCTION("GOOGLETRANSLATE(C533,""fr"",""en"")"),"Family member for over 10 years they have found no solution following a road accident. Commercial service without great responsiveness.
I got wrapped for more than two weeks to ultimately have my file refused.
As usual when everything is going well it t"&amp;"akes and when it doesn't go any more no one follows.
I do not recommend the Macif")</f>
        <v>Family member for over 10 years they have found no solution following a road accident. Commercial service without great responsiveness.
I got wrapped for more than two weeks to ultimately have my file refused.
As usual when everything is going well it takes and when it doesn't go any more no one follows.
I do not recommend the Macif</v>
      </c>
    </row>
    <row r="534" ht="15.75" customHeight="1">
      <c r="A534" s="2">
        <v>5.0</v>
      </c>
      <c r="B534" s="2" t="s">
        <v>1573</v>
      </c>
      <c r="C534" s="2" t="s">
        <v>1574</v>
      </c>
      <c r="D534" s="2" t="s">
        <v>171</v>
      </c>
      <c r="E534" s="2" t="s">
        <v>14</v>
      </c>
      <c r="F534" s="2" t="s">
        <v>15</v>
      </c>
      <c r="G534" s="2" t="s">
        <v>1575</v>
      </c>
      <c r="H534" s="2" t="s">
        <v>481</v>
      </c>
      <c r="I534" s="2" t="str">
        <f>IFERROR(__xludf.DUMMYFUNCTION("GOOGLETRANSLATE(C534,""fr"",""en"")"),"I am satisfied with this insurance The prices are just incredible
Easy and simple to make your quote
I really recommend April Moto Moto
You would not be decreed")</f>
        <v>I am satisfied with this insurance The prices are just incredible
Easy and simple to make your quote
I really recommend April Moto Moto
You would not be decreed</v>
      </c>
    </row>
    <row r="535" ht="15.75" customHeight="1">
      <c r="A535" s="2">
        <v>2.0</v>
      </c>
      <c r="B535" s="2" t="s">
        <v>1576</v>
      </c>
      <c r="C535" s="2" t="s">
        <v>1577</v>
      </c>
      <c r="D535" s="2" t="s">
        <v>111</v>
      </c>
      <c r="E535" s="2" t="s">
        <v>214</v>
      </c>
      <c r="F535" s="2" t="s">
        <v>15</v>
      </c>
      <c r="G535" s="2" t="s">
        <v>1578</v>
      </c>
      <c r="H535" s="2" t="s">
        <v>860</v>
      </c>
      <c r="I535" s="2" t="str">
        <f>IFERROR(__xludf.DUMMYFUNCTION("GOOGLETRANSLATE(C535,""fr"",""en"")"),"Provident suffered since in temporary workers at the AT of my husband. At the beginning paid regularly, since 2019 every 3 months and again, messages sent remain unanswered, on the phone you are told that they are on time, in short to avoid ------- Fuee")</f>
        <v>Provident suffered since in temporary workers at the AT of my husband. At the beginning paid regularly, since 2019 every 3 months and again, messages sent remain unanswered, on the phone you are told that they are on time, in short to avoid ------- Fuee</v>
      </c>
    </row>
    <row r="536" ht="15.75" customHeight="1">
      <c r="A536" s="2">
        <v>1.0</v>
      </c>
      <c r="B536" s="2" t="s">
        <v>1579</v>
      </c>
      <c r="C536" s="2" t="s">
        <v>1580</v>
      </c>
      <c r="D536" s="2" t="s">
        <v>56</v>
      </c>
      <c r="E536" s="2" t="s">
        <v>20</v>
      </c>
      <c r="F536" s="2" t="s">
        <v>15</v>
      </c>
      <c r="G536" s="2" t="s">
        <v>1581</v>
      </c>
      <c r="H536" s="2" t="s">
        <v>131</v>
      </c>
      <c r="I536" s="2" t="str">
        <f>IFERROR(__xludf.DUMMYFUNCTION("GOOGLETRANSLATE(C536,""fr"",""en"")"),"The worst insurer of all time never put your feet at home, otherwise your nerves suffer, they wander from service to service never answer on the phone in addition to not knowing what they are talking about catastrophic !!!!! !")</f>
        <v>The worst insurer of all time never put your feet at home, otherwise your nerves suffer, they wander from service to service never answer on the phone in addition to not knowing what they are talking about catastrophic !!!!! !</v>
      </c>
    </row>
    <row r="537" ht="15.75" customHeight="1">
      <c r="A537" s="2">
        <v>4.0</v>
      </c>
      <c r="B537" s="2" t="s">
        <v>1582</v>
      </c>
      <c r="C537" s="2" t="s">
        <v>1583</v>
      </c>
      <c r="D537" s="2" t="s">
        <v>19</v>
      </c>
      <c r="E537" s="2" t="s">
        <v>20</v>
      </c>
      <c r="F537" s="2" t="s">
        <v>15</v>
      </c>
      <c r="G537" s="2" t="s">
        <v>681</v>
      </c>
      <c r="H537" s="2" t="s">
        <v>108</v>
      </c>
      <c r="I537" s="2" t="str">
        <f>IFERROR(__xludf.DUMMYFUNCTION("GOOGLETRANSLATE(C537,""fr"",""en"")"),"Hello,
Good telephone contact
However, it lacks the possibility of modifying the online deductible
Or it is I who do not know how to do.
Advantageous service /price")</f>
        <v>Hello,
Good telephone contact
However, it lacks the possibility of modifying the online deductible
Or it is I who do not know how to do.
Advantageous service /price</v>
      </c>
    </row>
    <row r="538" ht="15.75" customHeight="1">
      <c r="A538" s="2">
        <v>3.0</v>
      </c>
      <c r="B538" s="2" t="s">
        <v>1584</v>
      </c>
      <c r="C538" s="2" t="s">
        <v>1585</v>
      </c>
      <c r="D538" s="2" t="s">
        <v>35</v>
      </c>
      <c r="E538" s="2" t="s">
        <v>20</v>
      </c>
      <c r="F538" s="2" t="s">
        <v>15</v>
      </c>
      <c r="G538" s="2" t="s">
        <v>461</v>
      </c>
      <c r="H538" s="2" t="s">
        <v>164</v>
      </c>
      <c r="I538" s="2" t="str">
        <f>IFERROR(__xludf.DUMMYFUNCTION("GOOGLETRANSLATE(C538,""fr"",""en"")"),"I am satisfied with the service the price suits me simple and practical and too expensive and very easy to contact you on the website and very simple")</f>
        <v>I am satisfied with the service the price suits me simple and practical and too expensive and very easy to contact you on the website and very simple</v>
      </c>
    </row>
    <row r="539" ht="15.75" customHeight="1">
      <c r="A539" s="2">
        <v>4.0</v>
      </c>
      <c r="B539" s="2" t="s">
        <v>1586</v>
      </c>
      <c r="C539" s="2" t="s">
        <v>1587</v>
      </c>
      <c r="D539" s="2" t="s">
        <v>35</v>
      </c>
      <c r="E539" s="2" t="s">
        <v>20</v>
      </c>
      <c r="F539" s="2" t="s">
        <v>15</v>
      </c>
      <c r="G539" s="2" t="s">
        <v>1588</v>
      </c>
      <c r="H539" s="2" t="s">
        <v>32</v>
      </c>
      <c r="I539" s="2" t="str">
        <f>IFERROR(__xludf.DUMMYFUNCTION("GOOGLETRANSLATE(C539,""fr"",""en"")"),"I am satisfied with the contact I had with the advisor. A little problem with the site to succeed in going to the end but everything was finally done on the phone.
To see in time what this insurance gives.")</f>
        <v>I am satisfied with the contact I had with the advisor. A little problem with the site to succeed in going to the end but everything was finally done on the phone.
To see in time what this insurance gives.</v>
      </c>
    </row>
    <row r="540" ht="15.75" customHeight="1">
      <c r="A540" s="2">
        <v>1.0</v>
      </c>
      <c r="B540" s="2" t="s">
        <v>1589</v>
      </c>
      <c r="C540" s="2" t="s">
        <v>1590</v>
      </c>
      <c r="D540" s="2" t="s">
        <v>254</v>
      </c>
      <c r="E540" s="2" t="s">
        <v>61</v>
      </c>
      <c r="F540" s="2" t="s">
        <v>15</v>
      </c>
      <c r="G540" s="2" t="s">
        <v>1466</v>
      </c>
      <c r="H540" s="2" t="s">
        <v>202</v>
      </c>
      <c r="I540" s="2" t="str">
        <f>IFERROR(__xludf.DUMMYFUNCTION("GOOGLETRANSLATE(C540,""fr"",""en"")"),"I have just left the MGP since January 1, 2017 after 44 years minus a month of membership. A year and a half ago I suffered an important operation with severe infection and I had a home nurse for more than two months. It was impossible that it was reimbur"&amp;"sed because I did not advance anything, unlike the MFP which reimbursed its services on the field. It was necessary to send 4 invoices to the MGP including two in R with AR, and it took a 5th. The wait lasted more than four months. A national and local ad"&amp;"ministrator who treats you lower than Earth. It is not his job to intervene for members. I was still wearing panties. An administrator of social affairs who says the opposite: the National fought fiercely for me. Staff in Créteil hidden from offices, you "&amp;"can't have anyone.")</f>
        <v>I have just left the MGP since January 1, 2017 after 44 years minus a month of membership. A year and a half ago I suffered an important operation with severe infection and I had a home nurse for more than two months. It was impossible that it was reimbursed because I did not advance anything, unlike the MFP which reimbursed its services on the field. It was necessary to send 4 invoices to the MGP including two in R with AR, and it took a 5th. The wait lasted more than four months. A national and local administrator who treats you lower than Earth. It is not his job to intervene for members. I was still wearing panties. An administrator of social affairs who says the opposite: the National fought fiercely for me. Staff in Créteil hidden from offices, you can't have anyone.</v>
      </c>
    </row>
    <row r="541" ht="15.75" customHeight="1">
      <c r="A541" s="2">
        <v>2.0</v>
      </c>
      <c r="B541" s="2" t="s">
        <v>1591</v>
      </c>
      <c r="C541" s="2" t="s">
        <v>1592</v>
      </c>
      <c r="D541" s="2" t="s">
        <v>86</v>
      </c>
      <c r="E541" s="2" t="s">
        <v>61</v>
      </c>
      <c r="F541" s="2" t="s">
        <v>15</v>
      </c>
      <c r="G541" s="2" t="s">
        <v>1593</v>
      </c>
      <c r="H541" s="2" t="s">
        <v>127</v>
      </c>
      <c r="I541" s="2" t="str">
        <f>IFERROR(__xludf.DUMMYFUNCTION("GOOGLETRANSLATE(C541,""fr"",""en"")"),"The conventional chamber price that would have been taken care of was not applied because Neoliane did not sign the agreement with the clinics. No support for the private room supplement ... I terminated the following annual deadline.")</f>
        <v>The conventional chamber price that would have been taken care of was not applied because Neoliane did not sign the agreement with the clinics. No support for the private room supplement ... I terminated the following annual deadline.</v>
      </c>
    </row>
    <row r="542" ht="15.75" customHeight="1">
      <c r="A542" s="2">
        <v>4.0</v>
      </c>
      <c r="B542" s="2" t="s">
        <v>1594</v>
      </c>
      <c r="C542" s="2" t="s">
        <v>1595</v>
      </c>
      <c r="D542" s="2" t="s">
        <v>19</v>
      </c>
      <c r="E542" s="2" t="s">
        <v>20</v>
      </c>
      <c r="F542" s="2" t="s">
        <v>15</v>
      </c>
      <c r="G542" s="2" t="s">
        <v>1596</v>
      </c>
      <c r="H542" s="2" t="s">
        <v>21</v>
      </c>
      <c r="I542" s="2" t="str">
        <f>IFERROR(__xludf.DUMMYFUNCTION("GOOGLETRANSLATE(C542,""fr"",""en"")"),"I am satisfied with the price and the ease of access to the site as well as the registration of the file and the procedures for the payment for the coming year.")</f>
        <v>I am satisfied with the price and the ease of access to the site as well as the registration of the file and the procedures for the payment for the coming year.</v>
      </c>
    </row>
    <row r="543" ht="15.75" customHeight="1">
      <c r="A543" s="2">
        <v>4.0</v>
      </c>
      <c r="B543" s="2" t="s">
        <v>1597</v>
      </c>
      <c r="C543" s="2" t="s">
        <v>1598</v>
      </c>
      <c r="D543" s="2" t="s">
        <v>1599</v>
      </c>
      <c r="E543" s="2" t="s">
        <v>30</v>
      </c>
      <c r="F543" s="2" t="s">
        <v>15</v>
      </c>
      <c r="G543" s="2" t="s">
        <v>1600</v>
      </c>
      <c r="H543" s="2" t="s">
        <v>108</v>
      </c>
      <c r="I543" s="2" t="str">
        <f>IFERROR(__xludf.DUMMYFUNCTION("GOOGLETRANSLATE(C543,""fr"",""en"")"),"Apart from the increase in my 36.54 % car contract which surprised me this month, although I had 1 loss material minor responsible in late June ... preceded by 1 against 1 deer in 09/20! ...
But received by my advisor. He told me that she was punctual an"&amp;"d probably due to a modification of the general conditions ...? And that it would go back to normal next October ... But probably I would have an increase in March during the annual deadline? ... to see, even if my bonus 0.50 has been maintained ... That "&amp;"said that as soon as I am very satisfied with their welcome and processing and regulation of claim files ... and it must be recognized that they are By far the best placed at the price level and level of services!
")</f>
        <v>Apart from the increase in my 36.54 % car contract which surprised me this month, although I had 1 loss material minor responsible in late June ... preceded by 1 against 1 deer in 09/20! ...
But received by my advisor. He told me that she was punctual and probably due to a modification of the general conditions ...? And that it would go back to normal next October ... But probably I would have an increase in March during the annual deadline? ... to see, even if my bonus 0.50 has been maintained ... That said that as soon as I am very satisfied with their welcome and processing and regulation of claim files ... and it must be recognized that they are By far the best placed at the price level and level of services!
</v>
      </c>
    </row>
    <row r="544" ht="15.75" customHeight="1">
      <c r="A544" s="2">
        <v>3.0</v>
      </c>
      <c r="B544" s="2" t="s">
        <v>1601</v>
      </c>
      <c r="C544" s="2" t="s">
        <v>1602</v>
      </c>
      <c r="D544" s="2" t="s">
        <v>19</v>
      </c>
      <c r="E544" s="2" t="s">
        <v>122</v>
      </c>
      <c r="F544" s="2" t="s">
        <v>15</v>
      </c>
      <c r="G544" s="2" t="s">
        <v>1603</v>
      </c>
      <c r="H544" s="2" t="s">
        <v>216</v>
      </c>
      <c r="I544" s="2" t="str">
        <f>IFERROR(__xludf.DUMMYFUNCTION("GOOGLETRANSLATE(C544,""fr"",""en"")"),"I just took insurance from EU and was burgled. Not having closed all the locks I underwent a 50%abbement. The question was whether the abbey was held before or after the deduction of the franchise (75 euros difference).
The advisor went against the exper"&amp;"t's opinion (who did not take into account an invoice provided) to pay me the missing 75 euros.
Since this site only lists the negative opinions of all insurance, I told myself that it was necessary to have some positive opinions, to change ...")</f>
        <v>I just took insurance from EU and was burgled. Not having closed all the locks I underwent a 50%abbement. The question was whether the abbey was held before or after the deduction of the franchise (75 euros difference).
The advisor went against the expert's opinion (who did not take into account an invoice provided) to pay me the missing 75 euros.
Since this site only lists the negative opinions of all insurance, I told myself that it was necessary to have some positive opinions, to change ...</v>
      </c>
    </row>
    <row r="545" ht="15.75" customHeight="1">
      <c r="A545" s="2">
        <v>3.0</v>
      </c>
      <c r="B545" s="2" t="s">
        <v>1604</v>
      </c>
      <c r="C545" s="2" t="s">
        <v>1605</v>
      </c>
      <c r="D545" s="2" t="s">
        <v>19</v>
      </c>
      <c r="E545" s="2" t="s">
        <v>20</v>
      </c>
      <c r="F545" s="2" t="s">
        <v>15</v>
      </c>
      <c r="G545" s="2" t="s">
        <v>144</v>
      </c>
      <c r="H545" s="2" t="s">
        <v>92</v>
      </c>
      <c r="I545" s="2" t="str">
        <f>IFERROR(__xludf.DUMMYFUNCTION("GOOGLETRANSLATE(C545,""fr"",""en"")"),"Satisfied to have been able to review my price with a telephone advisor on the other hand, it announced a reduction of 10% or then I receive by email a reduction of only 9%. Shame...")</f>
        <v>Satisfied to have been able to review my price with a telephone advisor on the other hand, it announced a reduction of 10% or then I receive by email a reduction of only 9%. Shame...</v>
      </c>
    </row>
    <row r="546" ht="15.75" customHeight="1">
      <c r="A546" s="2">
        <v>1.0</v>
      </c>
      <c r="B546" s="2" t="s">
        <v>1606</v>
      </c>
      <c r="C546" s="2" t="s">
        <v>1607</v>
      </c>
      <c r="D546" s="2" t="s">
        <v>285</v>
      </c>
      <c r="E546" s="2" t="s">
        <v>122</v>
      </c>
      <c r="F546" s="2" t="s">
        <v>15</v>
      </c>
      <c r="G546" s="2" t="s">
        <v>1608</v>
      </c>
      <c r="H546" s="2" t="s">
        <v>190</v>
      </c>
      <c r="I546" s="2" t="str">
        <f>IFERROR(__xludf.DUMMYFUNCTION("GOOGLETRANSLATE(C546,""fr"",""en"")"),"Deplorable and disrespectful customer service !!!!!!!!!!!!!!!! 2 months that I am waiting for someone to contact me !!!! And I don't count the reminders. I strongly advise against.")</f>
        <v>Deplorable and disrespectful customer service !!!!!!!!!!!!!!!! 2 months that I am waiting for someone to contact me !!!! And I don't count the reminders. I strongly advise against.</v>
      </c>
    </row>
    <row r="547" ht="15.75" customHeight="1">
      <c r="A547" s="2">
        <v>2.0</v>
      </c>
      <c r="B547" s="2" t="s">
        <v>1609</v>
      </c>
      <c r="C547" s="2" t="s">
        <v>1610</v>
      </c>
      <c r="D547" s="2" t="s">
        <v>19</v>
      </c>
      <c r="E547" s="2" t="s">
        <v>20</v>
      </c>
      <c r="F547" s="2" t="s">
        <v>15</v>
      </c>
      <c r="G547" s="2" t="s">
        <v>1611</v>
      </c>
      <c r="H547" s="2" t="s">
        <v>26</v>
      </c>
      <c r="I547" s="2" t="str">
        <f>IFERROR(__xludf.DUMMYFUNCTION("GOOGLETRANSLATE(C547,""fr"",""en"")"),"I had an accident on October 2 I wanted to choose my garage (honda) which was not the case against my opinion I waited 2 months to recover my vehicle (December 2) and I had to call Honda France to obtain the parts ... I couldn't have a courtesy vehicle li"&amp;"ving at 750 km
I had to pay taxis for my races and various dentist visits.
They told me that I would have compensation which was refused to me once the vehicle repaired")</f>
        <v>I had an accident on October 2 I wanted to choose my garage (honda) which was not the case against my opinion I waited 2 months to recover my vehicle (December 2) and I had to call Honda France to obtain the parts ... I couldn't have a courtesy vehicle living at 750 km
I had to pay taxis for my races and various dentist visits.
They told me that I would have compensation which was refused to me once the vehicle repaired</v>
      </c>
    </row>
    <row r="548" ht="15.75" customHeight="1">
      <c r="A548" s="2">
        <v>3.0</v>
      </c>
      <c r="B548" s="2" t="s">
        <v>1612</v>
      </c>
      <c r="C548" s="2" t="s">
        <v>1613</v>
      </c>
      <c r="D548" s="2" t="s">
        <v>19</v>
      </c>
      <c r="E548" s="2" t="s">
        <v>20</v>
      </c>
      <c r="F548" s="2" t="s">
        <v>15</v>
      </c>
      <c r="G548" s="2" t="s">
        <v>613</v>
      </c>
      <c r="H548" s="2" t="s">
        <v>92</v>
      </c>
      <c r="I548" s="2" t="str">
        <f>IFERROR(__xludf.DUMMYFUNCTION("GOOGLETRANSLATE(C548,""fr"",""en"")"),"I am satisfied with Direct Insurance but I had a bad telephone contact -in telephone contact but I am still satisfied with direct insurance")</f>
        <v>I am satisfied with Direct Insurance but I had a bad telephone contact -in telephone contact but I am still satisfied with direct insurance</v>
      </c>
    </row>
    <row r="549" ht="15.75" customHeight="1">
      <c r="A549" s="2">
        <v>4.0</v>
      </c>
      <c r="B549" s="2" t="s">
        <v>1614</v>
      </c>
      <c r="C549" s="2" t="s">
        <v>1615</v>
      </c>
      <c r="D549" s="2" t="s">
        <v>245</v>
      </c>
      <c r="E549" s="2" t="s">
        <v>61</v>
      </c>
      <c r="F549" s="2" t="s">
        <v>15</v>
      </c>
      <c r="G549" s="2" t="s">
        <v>859</v>
      </c>
      <c r="H549" s="2" t="s">
        <v>860</v>
      </c>
      <c r="I549" s="2" t="str">
        <f>IFERROR(__xludf.DUMMYFUNCTION("GOOGLETRANSLATE(C549,""fr"",""en"")"),"The person I had in such very kind and friendly")</f>
        <v>The person I had in such very kind and friendly</v>
      </c>
    </row>
    <row r="550" ht="15.75" customHeight="1">
      <c r="A550" s="2">
        <v>1.0</v>
      </c>
      <c r="B550" s="2" t="s">
        <v>1616</v>
      </c>
      <c r="C550" s="2" t="s">
        <v>1617</v>
      </c>
      <c r="D550" s="2" t="s">
        <v>43</v>
      </c>
      <c r="E550" s="2" t="s">
        <v>122</v>
      </c>
      <c r="F550" s="2" t="s">
        <v>15</v>
      </c>
      <c r="G550" s="2" t="s">
        <v>1618</v>
      </c>
      <c r="H550" s="2" t="s">
        <v>50</v>
      </c>
      <c r="I550" s="2" t="str">
        <f>IFERROR(__xludf.DUMMYFUNCTION("GOOGLETRANSLATE(C550,""fr"",""en"")"),"Milling on a placo and water wall which flows from electrical sockets, noted by a plumber, temporary leak and whose origin has remained unknown.
A neighbor who has undergone the water damage at the same time was covered by his insurer.")</f>
        <v>Milling on a placo and water wall which flows from electrical sockets, noted by a plumber, temporary leak and whose origin has remained unknown.
A neighbor who has undergone the water damage at the same time was covered by his insurer.</v>
      </c>
    </row>
    <row r="551" ht="15.75" customHeight="1">
      <c r="A551" s="2">
        <v>2.0</v>
      </c>
      <c r="B551" s="2" t="s">
        <v>1619</v>
      </c>
      <c r="C551" s="2" t="s">
        <v>1620</v>
      </c>
      <c r="D551" s="2" t="s">
        <v>193</v>
      </c>
      <c r="E551" s="2" t="s">
        <v>20</v>
      </c>
      <c r="F551" s="2" t="s">
        <v>15</v>
      </c>
      <c r="G551" s="2" t="s">
        <v>1374</v>
      </c>
      <c r="H551" s="2" t="s">
        <v>79</v>
      </c>
      <c r="I551" s="2" t="str">
        <f>IFERROR(__xludf.DUMMYFUNCTION("GOOGLETRANSLATE(C551,""fr"",""en"")"),"Member for 52 years (membership in 1968) fired as a malpropre because 3 or 4 claims in 5 years. I have all my insurances at home (2 cars 3 home insurance or apartments 1 electric bicycle insurance) to who serves insurance if it is not to help us in the ev"&amp;"ent of problems, to garner our contributions and then save who can?")</f>
        <v>Member for 52 years (membership in 1968) fired as a malpropre because 3 or 4 claims in 5 years. I have all my insurances at home (2 cars 3 home insurance or apartments 1 electric bicycle insurance) to who serves insurance if it is not to help us in the event of problems, to garner our contributions and then save who can?</v>
      </c>
    </row>
    <row r="552" ht="15.75" customHeight="1">
      <c r="A552" s="2">
        <v>4.0</v>
      </c>
      <c r="B552" s="2" t="s">
        <v>1621</v>
      </c>
      <c r="C552" s="2" t="s">
        <v>1622</v>
      </c>
      <c r="D552" s="2" t="s">
        <v>19</v>
      </c>
      <c r="E552" s="2" t="s">
        <v>20</v>
      </c>
      <c r="F552" s="2" t="s">
        <v>15</v>
      </c>
      <c r="G552" s="2" t="s">
        <v>1060</v>
      </c>
      <c r="H552" s="2" t="s">
        <v>74</v>
      </c>
      <c r="I552" s="2" t="str">
        <f>IFERROR(__xludf.DUMMYFUNCTION("GOOGLETRANSLATE(C552,""fr"",""en"")"),"I am very satisfied with my choice, moreover, the Direct Insurance advisers are always very pleasant and very available for any questions concerning my insurance contracts, as proof I will take out a 5th car contract in sponsorship.")</f>
        <v>I am very satisfied with my choice, moreover, the Direct Insurance advisers are always very pleasant and very available for any questions concerning my insurance contracts, as proof I will take out a 5th car contract in sponsorship.</v>
      </c>
    </row>
    <row r="553" ht="15.75" customHeight="1">
      <c r="A553" s="2">
        <v>2.0</v>
      </c>
      <c r="B553" s="2" t="s">
        <v>1623</v>
      </c>
      <c r="C553" s="2" t="s">
        <v>1624</v>
      </c>
      <c r="D553" s="2" t="s">
        <v>285</v>
      </c>
      <c r="E553" s="2" t="s">
        <v>122</v>
      </c>
      <c r="F553" s="2" t="s">
        <v>15</v>
      </c>
      <c r="G553" s="2" t="s">
        <v>1625</v>
      </c>
      <c r="H553" s="2" t="s">
        <v>332</v>
      </c>
      <c r="I553" s="2" t="str">
        <f>IFERROR(__xludf.DUMMYFUNCTION("GOOGLETRANSLATE(C553,""fr"",""en"")"),"Hello
If Macif assures a cheaper I don't change him. To start and finally with Macif no problem ,,,,, I am very satisfied")</f>
        <v>Hello
If Macif assures a cheaper I don't change him. To start and finally with Macif no problem ,,,,, I am very satisfied</v>
      </c>
    </row>
    <row r="554" ht="15.75" customHeight="1">
      <c r="A554" s="2">
        <v>4.0</v>
      </c>
      <c r="B554" s="2" t="s">
        <v>1626</v>
      </c>
      <c r="C554" s="2" t="s">
        <v>1627</v>
      </c>
      <c r="D554" s="2" t="s">
        <v>35</v>
      </c>
      <c r="E554" s="2" t="s">
        <v>20</v>
      </c>
      <c r="F554" s="2" t="s">
        <v>15</v>
      </c>
      <c r="G554" s="2" t="s">
        <v>639</v>
      </c>
      <c r="H554" s="2" t="s">
        <v>74</v>
      </c>
      <c r="I554" s="2" t="str">
        <f>IFERROR(__xludf.DUMMYFUNCTION("GOOGLETRANSLATE(C554,""fr"",""en"")"),"The prices are correct and excellent welcome I highly recommend
Very good explanation on the phone and the advisor is listening to the prices are attractive")</f>
        <v>The prices are correct and excellent welcome I highly recommend
Very good explanation on the phone and the advisor is listening to the prices are attractive</v>
      </c>
    </row>
    <row r="555" ht="15.75" customHeight="1">
      <c r="A555" s="2">
        <v>5.0</v>
      </c>
      <c r="B555" s="2" t="s">
        <v>1628</v>
      </c>
      <c r="C555" s="2" t="s">
        <v>1629</v>
      </c>
      <c r="D555" s="2" t="s">
        <v>35</v>
      </c>
      <c r="E555" s="2" t="s">
        <v>20</v>
      </c>
      <c r="F555" s="2" t="s">
        <v>15</v>
      </c>
      <c r="G555" s="2" t="s">
        <v>322</v>
      </c>
      <c r="H555" s="2" t="s">
        <v>323</v>
      </c>
      <c r="I555" s="2" t="str">
        <f>IFERROR(__xludf.DUMMYFUNCTION("GOOGLETRANSLATE(C555,""fr"",""en"")"),"Having read a lot of bad criticisms, I still decided to test this insurance for myself.
Well for the moment that good, really correct price, the advisers available (for those who groan on time of expectations, there is a grid with the hours to favor so a"&amp;"s not to wait ... if if looking well)
I was helped by Marion to decipher my information statement. And strangely no problem of price change between the quote and the final price, like what ... so again for the groves sent your info statements. In advance"&amp;" and you will not have a surprise.
Last point my final green card sent in less than a week, great.
For the moment nothing to say about this insurance, I cannot judge on reimbursements or other being new customer.
But I realize that people this complain"&amp;"ant are those who ""forget to declare"" claims.
This is to say when it is not okay, but when everything goes well it must be said too.")</f>
        <v>Having read a lot of bad criticisms, I still decided to test this insurance for myself.
Well for the moment that good, really correct price, the advisers available (for those who groan on time of expectations, there is a grid with the hours to favor so as not to wait ... if if looking well)
I was helped by Marion to decipher my information statement. And strangely no problem of price change between the quote and the final price, like what ... so again for the groves sent your info statements. In advance and you will not have a surprise.
Last point my final green card sent in less than a week, great.
For the moment nothing to say about this insurance, I cannot judge on reimbursements or other being new customer.
But I realize that people this complainant are those who "forget to declare" claims.
This is to say when it is not okay, but when everything goes well it must be said too.</v>
      </c>
    </row>
    <row r="556" ht="15.75" customHeight="1">
      <c r="A556" s="2">
        <v>4.0</v>
      </c>
      <c r="B556" s="2" t="s">
        <v>1630</v>
      </c>
      <c r="C556" s="2" t="s">
        <v>1631</v>
      </c>
      <c r="D556" s="2" t="s">
        <v>35</v>
      </c>
      <c r="E556" s="2" t="s">
        <v>20</v>
      </c>
      <c r="F556" s="2" t="s">
        <v>15</v>
      </c>
      <c r="G556" s="2" t="s">
        <v>670</v>
      </c>
      <c r="H556" s="2" t="s">
        <v>74</v>
      </c>
      <c r="I556" s="2" t="str">
        <f>IFERROR(__xludf.DUMMYFUNCTION("GOOGLETRANSLATE(C556,""fr"",""en"")"),"Telephone service is perfect! The price is one of the lowest I have found. I am very satisfied to have signed my car insurance contract here.")</f>
        <v>Telephone service is perfect! The price is one of the lowest I have found. I am very satisfied to have signed my car insurance contract here.</v>
      </c>
    </row>
    <row r="557" ht="15.75" customHeight="1">
      <c r="A557" s="2">
        <v>5.0</v>
      </c>
      <c r="B557" s="2" t="s">
        <v>1632</v>
      </c>
      <c r="C557" s="2" t="s">
        <v>1633</v>
      </c>
      <c r="D557" s="2" t="s">
        <v>19</v>
      </c>
      <c r="E557" s="2" t="s">
        <v>20</v>
      </c>
      <c r="F557" s="2" t="s">
        <v>15</v>
      </c>
      <c r="G557" s="2" t="s">
        <v>1358</v>
      </c>
      <c r="H557" s="2" t="s">
        <v>21</v>
      </c>
      <c r="I557" s="2" t="str">
        <f>IFERROR(__xludf.DUMMYFUNCTION("GOOGLETRANSLATE(C557,""fr"",""en"")"),"I am very satisfied with the services and very accommodating in the event of difficulties of payments with this health crisis that we are going through!
The advisers are always in our listening and finds solutions that suits all worlds and the prices are"&amp;" really great!")</f>
        <v>I am very satisfied with the services and very accommodating in the event of difficulties of payments with this health crisis that we are going through!
The advisers are always in our listening and finds solutions that suits all worlds and the prices are really great!</v>
      </c>
    </row>
    <row r="558" ht="15.75" customHeight="1">
      <c r="A558" s="2">
        <v>1.0</v>
      </c>
      <c r="B558" s="2" t="s">
        <v>1634</v>
      </c>
      <c r="C558" s="2" t="s">
        <v>1635</v>
      </c>
      <c r="D558" s="2" t="s">
        <v>171</v>
      </c>
      <c r="E558" s="2" t="s">
        <v>14</v>
      </c>
      <c r="F558" s="2" t="s">
        <v>15</v>
      </c>
      <c r="G558" s="2" t="s">
        <v>45</v>
      </c>
      <c r="H558" s="2" t="s">
        <v>45</v>
      </c>
      <c r="I558" s="2" t="str">
        <f>IFERROR(__xludf.DUMMYFUNCTION("GOOGLETRANSLATE(C558,""fr"",""en"")"),"... for the moment the bag on the phone is we do not see the continuation if this insurance suits me
She is rather well placed in prices so it's very good")</f>
        <v>... for the moment the bag on the phone is we do not see the continuation if this insurance suits me
She is rather well placed in prices so it's very good</v>
      </c>
    </row>
    <row r="559" ht="15.75" customHeight="1">
      <c r="A559" s="2">
        <v>1.0</v>
      </c>
      <c r="B559" s="2" t="s">
        <v>1636</v>
      </c>
      <c r="C559" s="2" t="s">
        <v>1637</v>
      </c>
      <c r="D559" s="2" t="s">
        <v>494</v>
      </c>
      <c r="E559" s="2" t="s">
        <v>122</v>
      </c>
      <c r="F559" s="2" t="s">
        <v>15</v>
      </c>
      <c r="G559" s="2" t="s">
        <v>1638</v>
      </c>
      <c r="H559" s="2" t="s">
        <v>53</v>
      </c>
      <c r="I559" s="2" t="str">
        <f>IFERROR(__xludf.DUMMYFUNCTION("GOOGLETRANSLATE(C559,""fr"",""en"")"),"Following damage caused by a storm on our home, we did the necessary for the declaration and the expertise. After more than 6 months, multiple calls without follow -up and against information, we are still awaiting regulations. There is no consideration f"&amp;"or the insured and we pay the high price for membership, this insurance is to be reconsidered in its operation")</f>
        <v>Following damage caused by a storm on our home, we did the necessary for the declaration and the expertise. After more than 6 months, multiple calls without follow -up and against information, we are still awaiting regulations. There is no consideration for the insured and we pay the high price for membership, this insurance is to be reconsidered in its operation</v>
      </c>
    </row>
    <row r="560" ht="15.75" customHeight="1">
      <c r="A560" s="2">
        <v>1.0</v>
      </c>
      <c r="B560" s="2" t="s">
        <v>1639</v>
      </c>
      <c r="C560" s="2" t="s">
        <v>1640</v>
      </c>
      <c r="D560" s="2" t="s">
        <v>19</v>
      </c>
      <c r="E560" s="2" t="s">
        <v>20</v>
      </c>
      <c r="F560" s="2" t="s">
        <v>15</v>
      </c>
      <c r="G560" s="2" t="s">
        <v>1641</v>
      </c>
      <c r="H560" s="2" t="s">
        <v>40</v>
      </c>
      <c r="I560" s="2" t="str">
        <f>IFERROR(__xludf.DUMMYFUNCTION("GOOGLETRANSLATE(C560,""fr"",""en"")"),"A price that increases as the bonus progresses, and without claims! Advisers who justify (probable) lies: the claims rate would have increased by ... 25% in my department, but impossible to obtain the slightest official source")</f>
        <v>A price that increases as the bonus progresses, and without claims! Advisers who justify (probable) lies: the claims rate would have increased by ... 25% in my department, but impossible to obtain the slightest official source</v>
      </c>
    </row>
    <row r="561" ht="15.75" customHeight="1">
      <c r="A561" s="2">
        <v>5.0</v>
      </c>
      <c r="B561" s="2" t="s">
        <v>1642</v>
      </c>
      <c r="C561" s="2" t="s">
        <v>1643</v>
      </c>
      <c r="D561" s="2" t="s">
        <v>19</v>
      </c>
      <c r="E561" s="2" t="s">
        <v>20</v>
      </c>
      <c r="F561" s="2" t="s">
        <v>15</v>
      </c>
      <c r="G561" s="2" t="s">
        <v>131</v>
      </c>
      <c r="H561" s="2" t="s">
        <v>131</v>
      </c>
      <c r="I561" s="2" t="str">
        <f>IFERROR(__xludf.DUMMYFUNCTION("GOOGLETRANSLATE(C561,""fr"",""en"")"),"Simple and practical membership because all our contracts are centralized in the same place, attractive price and available and friendly team, happiness what !!!")</f>
        <v>Simple and practical membership because all our contracts are centralized in the same place, attractive price and available and friendly team, happiness what !!!</v>
      </c>
    </row>
    <row r="562" ht="15.75" customHeight="1">
      <c r="A562" s="2">
        <v>4.0</v>
      </c>
      <c r="B562" s="2" t="s">
        <v>1644</v>
      </c>
      <c r="C562" s="2" t="s">
        <v>1645</v>
      </c>
      <c r="D562" s="2" t="s">
        <v>171</v>
      </c>
      <c r="E562" s="2" t="s">
        <v>14</v>
      </c>
      <c r="F562" s="2" t="s">
        <v>15</v>
      </c>
      <c r="G562" s="2" t="s">
        <v>1452</v>
      </c>
      <c r="H562" s="2" t="s">
        <v>74</v>
      </c>
      <c r="I562" s="2" t="str">
        <f>IFERROR(__xludf.DUMMYFUNCTION("GOOGLETRANSLATE(C562,""fr"",""en"")"),"The service with the seller and well and pleasant the seller listens to Bine what we ask he informs us well and after he level price these good overall nothing to say")</f>
        <v>The service with the seller and well and pleasant the seller listens to Bine what we ask he informs us well and after he level price these good overall nothing to say</v>
      </c>
    </row>
    <row r="563" ht="15.75" customHeight="1">
      <c r="A563" s="2">
        <v>1.0</v>
      </c>
      <c r="B563" s="2" t="s">
        <v>1646</v>
      </c>
      <c r="C563" s="2" t="s">
        <v>1647</v>
      </c>
      <c r="D563" s="2" t="s">
        <v>56</v>
      </c>
      <c r="E563" s="2" t="s">
        <v>20</v>
      </c>
      <c r="F563" s="2" t="s">
        <v>15</v>
      </c>
      <c r="G563" s="2" t="s">
        <v>1292</v>
      </c>
      <c r="H563" s="2" t="s">
        <v>116</v>
      </c>
      <c r="I563" s="2" t="str">
        <f>IFERROR(__xludf.DUMMYFUNCTION("GOOGLETRANSLATE(C563,""fr"",""en"")"),"It is insurance to flee, the price is horribly expensive, everything is done remotely, the prices increase and it is difficult to terminate.
I paid € 740 per year for a Ford S-Max. I now pay € 500 from another company with the same guarantees.")</f>
        <v>It is insurance to flee, the price is horribly expensive, everything is done remotely, the prices increase and it is difficult to terminate.
I paid € 740 per year for a Ford S-Max. I now pay € 500 from another company with the same guarantees.</v>
      </c>
    </row>
    <row r="564" ht="15.75" customHeight="1">
      <c r="A564" s="2">
        <v>3.0</v>
      </c>
      <c r="B564" s="2" t="s">
        <v>1648</v>
      </c>
      <c r="C564" s="2" t="s">
        <v>1649</v>
      </c>
      <c r="D564" s="2" t="s">
        <v>35</v>
      </c>
      <c r="E564" s="2" t="s">
        <v>20</v>
      </c>
      <c r="F564" s="2" t="s">
        <v>15</v>
      </c>
      <c r="G564" s="2" t="s">
        <v>596</v>
      </c>
      <c r="H564" s="2" t="s">
        <v>131</v>
      </c>
      <c r="I564" s="2" t="str">
        <f>IFERROR(__xludf.DUMMYFUNCTION("GOOGLETRANSLATE(C564,""fr"",""en"")"),"The documents are a bit vague on the online signature but still readable otherwise no problem, the prices are reasonable and the time to have the final green card more than effective")</f>
        <v>The documents are a bit vague on the online signature but still readable otherwise no problem, the prices are reasonable and the time to have the final green card more than effective</v>
      </c>
    </row>
    <row r="565" ht="15.75" customHeight="1">
      <c r="A565" s="2">
        <v>1.0</v>
      </c>
      <c r="B565" s="2" t="s">
        <v>1650</v>
      </c>
      <c r="C565" s="2" t="s">
        <v>1651</v>
      </c>
      <c r="D565" s="2" t="s">
        <v>476</v>
      </c>
      <c r="E565" s="2" t="s">
        <v>122</v>
      </c>
      <c r="F565" s="2" t="s">
        <v>15</v>
      </c>
      <c r="G565" s="2" t="s">
        <v>1652</v>
      </c>
      <c r="H565" s="2" t="s">
        <v>1113</v>
      </c>
      <c r="I565" s="2" t="str">
        <f>IFERROR(__xludf.DUMMYFUNCTION("GOOGLETRANSLATE(C565,""fr"",""en"")"),"The salespeople only respond very difficult to and are unable to offer insurance that comes out of their small narrow executive.")</f>
        <v>The salespeople only respond very difficult to and are unable to offer insurance that comes out of their small narrow executive.</v>
      </c>
    </row>
    <row r="566" ht="15.75" customHeight="1">
      <c r="A566" s="2">
        <v>1.0</v>
      </c>
      <c r="B566" s="2" t="s">
        <v>1653</v>
      </c>
      <c r="C566" s="2" t="s">
        <v>1654</v>
      </c>
      <c r="D566" s="2" t="s">
        <v>24</v>
      </c>
      <c r="E566" s="2" t="s">
        <v>122</v>
      </c>
      <c r="F566" s="2" t="s">
        <v>15</v>
      </c>
      <c r="G566" s="2" t="s">
        <v>1655</v>
      </c>
      <c r="H566" s="2" t="s">
        <v>271</v>
      </c>
      <c r="I566" s="2" t="str">
        <f>IFERROR(__xludf.DUMMYFUNCTION("GOOGLETRANSLATE(C566,""fr"",""en"")"),"To avoid AXA insurance especially home")</f>
        <v>To avoid AXA insurance especially home</v>
      </c>
    </row>
    <row r="567" ht="15.75" customHeight="1">
      <c r="A567" s="2">
        <v>1.0</v>
      </c>
      <c r="B567" s="2" t="s">
        <v>1656</v>
      </c>
      <c r="C567" s="2" t="s">
        <v>1657</v>
      </c>
      <c r="D567" s="2" t="s">
        <v>56</v>
      </c>
      <c r="E567" s="2" t="s">
        <v>20</v>
      </c>
      <c r="F567" s="2" t="s">
        <v>15</v>
      </c>
      <c r="G567" s="2" t="s">
        <v>1658</v>
      </c>
      <c r="H567" s="2" t="s">
        <v>332</v>
      </c>
      <c r="I567" s="2" t="str">
        <f>IFERROR(__xludf.DUMMYFUNCTION("GOOGLETRANSLATE(C567,""fr"",""en"")"),"Very bad customer service, the platform that manages customers does not have access to your exchange of mail with Pacifica, which complicates things in the event of problems with the company. For my part, following a bank change (from LCL to the CND), the"&amp;" RIB provides was never treated, then, after sending a regularization check and again a RIB, I was simply put Upon brewing the 25DEC 2018! So I could not make sure to another insurance company for breach of my information statement. I am currently without"&amp;" insurance on my vehicle, and I still have not received an up -to -date information statement! We are early March 2019! This insurance company is really to be avoided!")</f>
        <v>Very bad customer service, the platform that manages customers does not have access to your exchange of mail with Pacifica, which complicates things in the event of problems with the company. For my part, following a bank change (from LCL to the CND), the RIB provides was never treated, then, after sending a regularization check and again a RIB, I was simply put Upon brewing the 25DEC 2018! So I could not make sure to another insurance company for breach of my information statement. I am currently without insurance on my vehicle, and I still have not received an up -to -date information statement! We are early March 2019! This insurance company is really to be avoided!</v>
      </c>
    </row>
    <row r="568" ht="15.75" customHeight="1">
      <c r="A568" s="2">
        <v>1.0</v>
      </c>
      <c r="B568" s="2" t="s">
        <v>1659</v>
      </c>
      <c r="C568" s="2" t="s">
        <v>1660</v>
      </c>
      <c r="D568" s="2" t="s">
        <v>1661</v>
      </c>
      <c r="E568" s="2" t="s">
        <v>214</v>
      </c>
      <c r="F568" s="2" t="s">
        <v>15</v>
      </c>
      <c r="G568" s="2" t="s">
        <v>1662</v>
      </c>
      <c r="H568" s="2" t="s">
        <v>45</v>
      </c>
      <c r="I568" s="2" t="str">
        <f>IFERROR(__xludf.DUMMYFUNCTION("GOOGLETRANSLATE(C568,""fr"",""en"")"),"Very disappointed, mutual to flee, advisers unable to respond to requests. For my share, invalidity file in progress for almost 1 year !!!. I call regularly and always the same answers: it does not depend on us, your file is at the medical service !!!
Di"&amp;"sgusted with this mutual!")</f>
        <v>Very disappointed, mutual to flee, advisers unable to respond to requests. For my share, invalidity file in progress for almost 1 year !!!. I call regularly and always the same answers: it does not depend on us, your file is at the medical service !!!
Disgusted with this mutual!</v>
      </c>
    </row>
    <row r="569" ht="15.75" customHeight="1">
      <c r="A569" s="2">
        <v>5.0</v>
      </c>
      <c r="B569" s="2" t="s">
        <v>1663</v>
      </c>
      <c r="C569" s="2" t="s">
        <v>1664</v>
      </c>
      <c r="D569" s="2" t="s">
        <v>35</v>
      </c>
      <c r="E569" s="2" t="s">
        <v>20</v>
      </c>
      <c r="F569" s="2" t="s">
        <v>15</v>
      </c>
      <c r="G569" s="2" t="s">
        <v>1665</v>
      </c>
      <c r="H569" s="2" t="s">
        <v>74</v>
      </c>
      <c r="I569" s="2" t="str">
        <f>IFERROR(__xludf.DUMMYFUNCTION("GOOGLETRANSLATE(C569,""fr"",""en"")"),"Online service very easy to use and very attractive price.
The online quote is quickly validated by contract.
I am ready to open another contract later.")</f>
        <v>Online service very easy to use and very attractive price.
The online quote is quickly validated by contract.
I am ready to open another contract later.</v>
      </c>
    </row>
    <row r="570" ht="15.75" customHeight="1">
      <c r="A570" s="2">
        <v>2.0</v>
      </c>
      <c r="B570" s="2" t="s">
        <v>1666</v>
      </c>
      <c r="C570" s="2" t="s">
        <v>1667</v>
      </c>
      <c r="D570" s="2" t="s">
        <v>43</v>
      </c>
      <c r="E570" s="2" t="s">
        <v>20</v>
      </c>
      <c r="F570" s="2" t="s">
        <v>15</v>
      </c>
      <c r="G570" s="2" t="s">
        <v>1668</v>
      </c>
      <c r="H570" s="2" t="s">
        <v>53</v>
      </c>
      <c r="I570" s="2" t="str">
        <f>IFERROR(__xludf.DUMMYFUNCTION("GOOGLETRANSLATE(C570,""fr"",""en"")"),"The worst auto &amp; legal insurance that I have never been able to subscribe to my life. The teleservice is deplorable. Unable to reach my insurance by phone; We wait for very long minutes at the telephone standard; When we are finally lucky to have an inter"&amp;"locutor, we are ejected from the telephone standard. When after a good number of attempts we manage to stay online we are transferred to another service before being ejected again from the telephone standard.
Currently, after 3 months I am still waiting "&amp;"for an urgent paper from my insurance. I think they did not understand the definition of emergency.
Insurance is supposed to support us I especially feel that at the GMF we are put in sticks in the wheels.
I advise against.")</f>
        <v>The worst auto &amp; legal insurance that I have never been able to subscribe to my life. The teleservice is deplorable. Unable to reach my insurance by phone; We wait for very long minutes at the telephone standard; When we are finally lucky to have an interlocutor, we are ejected from the telephone standard. When after a good number of attempts we manage to stay online we are transferred to another service before being ejected again from the telephone standard.
Currently, after 3 months I am still waiting for an urgent paper from my insurance. I think they did not understand the definition of emergency.
Insurance is supposed to support us I especially feel that at the GMF we are put in sticks in the wheels.
I advise against.</v>
      </c>
    </row>
    <row r="571" ht="15.75" customHeight="1">
      <c r="A571" s="2">
        <v>4.0</v>
      </c>
      <c r="B571" s="2" t="s">
        <v>1669</v>
      </c>
      <c r="C571" s="2" t="s">
        <v>1670</v>
      </c>
      <c r="D571" s="2" t="s">
        <v>19</v>
      </c>
      <c r="E571" s="2" t="s">
        <v>20</v>
      </c>
      <c r="F571" s="2" t="s">
        <v>15</v>
      </c>
      <c r="G571" s="2" t="s">
        <v>1671</v>
      </c>
      <c r="H571" s="2" t="s">
        <v>32</v>
      </c>
      <c r="I571" s="2" t="str">
        <f>IFERROR(__xludf.DUMMYFUNCTION("GOOGLETRANSLATE(C571,""fr"",""en"")"),"Nothing to say, but I have the impression that there is an increase?
I had no problems so could not really call on services, but until now everything is fine")</f>
        <v>Nothing to say, but I have the impression that there is an increase?
I had no problems so could not really call on services, but until now everything is fine</v>
      </c>
    </row>
    <row r="572" ht="15.75" customHeight="1">
      <c r="A572" s="2">
        <v>2.0</v>
      </c>
      <c r="B572" s="2" t="s">
        <v>1672</v>
      </c>
      <c r="C572" s="2" t="s">
        <v>1673</v>
      </c>
      <c r="D572" s="2" t="s">
        <v>56</v>
      </c>
      <c r="E572" s="2" t="s">
        <v>20</v>
      </c>
      <c r="F572" s="2" t="s">
        <v>15</v>
      </c>
      <c r="G572" s="2" t="s">
        <v>789</v>
      </c>
      <c r="H572" s="2" t="s">
        <v>83</v>
      </c>
      <c r="I572" s="2" t="str">
        <f>IFERROR(__xludf.DUMMYFUNCTION("GOOGLETRANSLATE(C572,""fr"",""en"")"),"Due to the loss of car keys, with the gray card inside the car, I asked for a scan of the gray card in Pacifica. This paper was provided to them to take out insurance.
Their response :
""I got back from my management center.
We do not disassum docu"&amp;"ments for personal convenience.
In addition, they clarified me that the requested document was received in 2014, and that therefore disarchivation would not be done quickly.
I remain at your disposal if necessary.
Looking forward to chat with you"&amp;", ""
In summary, if you want to pay insurance that will not try to help you out when you need it subscribe to Pacifica, otherwise I recommend another insurance company.")</f>
        <v>Due to the loss of car keys, with the gray card inside the car, I asked for a scan of the gray card in Pacifica. This paper was provided to them to take out insurance.
Their response :
"I got back from my management center.
We do not disassum documents for personal convenience.
In addition, they clarified me that the requested document was received in 2014, and that therefore disarchivation would not be done quickly.
I remain at your disposal if necessary.
Looking forward to chat with you, "
In summary, if you want to pay insurance that will not try to help you out when you need it subscribe to Pacifica, otherwise I recommend another insurance company.</v>
      </c>
    </row>
    <row r="573" ht="15.75" customHeight="1">
      <c r="A573" s="2">
        <v>2.0</v>
      </c>
      <c r="B573" s="2" t="s">
        <v>1674</v>
      </c>
      <c r="C573" s="2" t="s">
        <v>1675</v>
      </c>
      <c r="D573" s="2" t="s">
        <v>193</v>
      </c>
      <c r="E573" s="2" t="s">
        <v>122</v>
      </c>
      <c r="F573" s="2" t="s">
        <v>15</v>
      </c>
      <c r="G573" s="2" t="s">
        <v>1676</v>
      </c>
      <c r="H573" s="2" t="s">
        <v>567</v>
      </c>
      <c r="I573" s="2" t="str">
        <f>IFERROR(__xludf.DUMMYFUNCTION("GOOGLETRANSLATE(C573,""fr"",""en"")"),"For more than 30 years at the Matmut I have just lost confidence in the mutual which I believed did not include like the other insurance
We taught it to our depending on our first claim
We had been warned that insurance still sought to avoid reimbur"&amp;"sement 'these members
We were the victim of lightning and saves us a trip to our insurer as well as the invoicing of the first hour by combining the maintenance of our boiler with the repair. And when we asked for a commercial gesture to lighten our fr"&amp;"anchise we got a refusal it is really unpleasant")</f>
        <v>For more than 30 years at the Matmut I have just lost confidence in the mutual which I believed did not include like the other insurance
We taught it to our depending on our first claim
We had been warned that insurance still sought to avoid reimbursement 'these members
We were the victim of lightning and saves us a trip to our insurer as well as the invoicing of the first hour by combining the maintenance of our boiler with the repair. And when we asked for a commercial gesture to lighten our franchise we got a refusal it is really unpleasant</v>
      </c>
    </row>
    <row r="574" ht="15.75" customHeight="1">
      <c r="A574" s="2">
        <v>1.0</v>
      </c>
      <c r="B574" s="2" t="s">
        <v>1677</v>
      </c>
      <c r="C574" s="2" t="s">
        <v>1678</v>
      </c>
      <c r="D574" s="2" t="s">
        <v>200</v>
      </c>
      <c r="E574" s="2" t="s">
        <v>135</v>
      </c>
      <c r="F574" s="2" t="s">
        <v>15</v>
      </c>
      <c r="G574" s="2" t="s">
        <v>73</v>
      </c>
      <c r="H574" s="2" t="s">
        <v>74</v>
      </c>
      <c r="I574" s="2" t="str">
        <f>IFERROR(__xludf.DUMMYFUNCTION("GOOGLETRANSLATE(C574,""fr"",""en"")"),"They invent everything and nothing to not reimburse life insurance in the beneficiary, I do not recommend this insurance to people. They are not recommended on social networks by thousands of people for the same reason and prosecuted at the TGI.")</f>
        <v>They invent everything and nothing to not reimburse life insurance in the beneficiary, I do not recommend this insurance to people. They are not recommended on social networks by thousands of people for the same reason and prosecuted at the TGI.</v>
      </c>
    </row>
    <row r="575" ht="15.75" customHeight="1">
      <c r="A575" s="2">
        <v>2.0</v>
      </c>
      <c r="B575" s="2" t="s">
        <v>1679</v>
      </c>
      <c r="C575" s="2" t="s">
        <v>1680</v>
      </c>
      <c r="D575" s="2" t="s">
        <v>56</v>
      </c>
      <c r="E575" s="2" t="s">
        <v>122</v>
      </c>
      <c r="F575" s="2" t="s">
        <v>15</v>
      </c>
      <c r="G575" s="2" t="s">
        <v>1681</v>
      </c>
      <c r="H575" s="2" t="s">
        <v>561</v>
      </c>
      <c r="I575" s="2" t="str">
        <f>IFERROR(__xludf.DUMMYFUNCTION("GOOGLETRANSLATE(C575,""fr"",""en"")"),"Impossible to terminate with Pacifica!
Four recommended letters + a handwritten letter required by Pacifica, while my contract does not mention it (return to the stone age) accompanied by the copy of my identity card. As much for Crédit Agricole, which, "&amp;"despite my request for levy stops, continues the pre -levials for the benefit of Pacifica.
Each time, it has lasted for a month, Pacifica and Crédit Agricole ask me for the same handwritten letter that they have nevertheless received (proofs of supportin"&amp;"g reception). And I respected the anniversary date.
I strongly advise against Pacifica insurance, unless you plan to stay for life with them and/or if you have no claim.")</f>
        <v>Impossible to terminate with Pacifica!
Four recommended letters + a handwritten letter required by Pacifica, while my contract does not mention it (return to the stone age) accompanied by the copy of my identity card. As much for Crédit Agricole, which, despite my request for levy stops, continues the pre -levials for the benefit of Pacifica.
Each time, it has lasted for a month, Pacifica and Crédit Agricole ask me for the same handwritten letter that they have nevertheless received (proofs of supporting reception). And I respected the anniversary date.
I strongly advise against Pacifica insurance, unless you plan to stay for life with them and/or if you have no claim.</v>
      </c>
    </row>
    <row r="576" ht="15.75" customHeight="1">
      <c r="A576" s="2">
        <v>2.0</v>
      </c>
      <c r="B576" s="2" t="s">
        <v>1682</v>
      </c>
      <c r="C576" s="2" t="s">
        <v>1683</v>
      </c>
      <c r="D576" s="2" t="s">
        <v>35</v>
      </c>
      <c r="E576" s="2" t="s">
        <v>20</v>
      </c>
      <c r="F576" s="2" t="s">
        <v>15</v>
      </c>
      <c r="G576" s="2" t="s">
        <v>1684</v>
      </c>
      <c r="H576" s="2" t="s">
        <v>79</v>
      </c>
      <c r="I576" s="2" t="str">
        <f>IFERROR(__xludf.DUMMYFUNCTION("GOOGLETRANSLATE(C576,""fr"",""en"")"),"After having undergone many errors (spelling errors of my name, inducing an impossibility of terminating in Hamon law my old insurance) I ended up terminating after 5 months because it was impossible to have my old insurance terminates (2 Automobiles + Ho"&amp;"using), I continued to pay my old insurance. Monitoring by catastrophic phone. No response to my various problems.
A horror. I spent hours on the phone with them without success.
Do not subscribe to them")</f>
        <v>After having undergone many errors (spelling errors of my name, inducing an impossibility of terminating in Hamon law my old insurance) I ended up terminating after 5 months because it was impossible to have my old insurance terminates (2 Automobiles + Housing), I continued to pay my old insurance. Monitoring by catastrophic phone. No response to my various problems.
A horror. I spent hours on the phone with them without success.
Do not subscribe to them</v>
      </c>
    </row>
    <row r="577" ht="15.75" customHeight="1">
      <c r="A577" s="2">
        <v>1.0</v>
      </c>
      <c r="B577" s="2" t="s">
        <v>1685</v>
      </c>
      <c r="C577" s="2" t="s">
        <v>1686</v>
      </c>
      <c r="D577" s="2" t="s">
        <v>225</v>
      </c>
      <c r="E577" s="2" t="s">
        <v>61</v>
      </c>
      <c r="F577" s="2" t="s">
        <v>15</v>
      </c>
      <c r="G577" s="2" t="s">
        <v>1687</v>
      </c>
      <c r="H577" s="2" t="s">
        <v>449</v>
      </c>
      <c r="I577" s="2" t="str">
        <f>IFERROR(__xludf.DUMMYFUNCTION("GOOGLETRANSLATE(C577,""fr"",""en"")"),"1: Despite a radiation at 31 12 2016 and a written request by registered mail of an automatic levy stop at the source (withholding) The fee for 2017 was deducted from our pension by the MGEN. The financial service of National Education has therefore also "&amp;"refused to take into account our request for a direct debit.
2: Despite a radiation at 31 12 2016 and a written request by registered mail to find out the amount of our provident/dependence capital and request its reimbursement, the MGEN has still not an"&amp;"swered us. Reminder: Unlike other health mutuals, the MGEN contribution automatically includes a percentage, the amount of which remains very opaque, for provident (payment of work stoppages greater than 3 months), disability up to 60 years and dependence"&amp;" (criteria drastic and different from the handicap applied for care after 60 years).
3: Following an accident at work and errors in charge of costs in health insurance, the MGEN managing only health insurance by delegation according to a contract with th"&amp;"e State, did not ask At the necessary moments of reimbursements to National Education managed itself the insurance of accidents at work. Refunds of packages, medical franchises, equipment purchases, ..., despite several letters and files deposited for 4 y"&amp;"ears of care, more recent care for 1 year and 3 months.
4: The unknown percentage of provident and dependence contribution automatically deducted for years for possible use can in no case compel the minimum reimbursements of the MGEN for health services "&amp;"which are much more common.
* The letters sent by registered mail to the president of the MGEN remained unanswered.")</f>
        <v>1: Despite a radiation at 31 12 2016 and a written request by registered mail of an automatic levy stop at the source (withholding) The fee for 2017 was deducted from our pension by the MGEN. The financial service of National Education has therefore also refused to take into account our request for a direct debit.
2: Despite a radiation at 31 12 2016 and a written request by registered mail to find out the amount of our provident/dependence capital and request its reimbursement, the MGEN has still not answered us. Reminder: Unlike other health mutuals, the MGEN contribution automatically includes a percentage, the amount of which remains very opaque, for provident (payment of work stoppages greater than 3 months), disability up to 60 years and dependence (criteria drastic and different from the handicap applied for care after 60 years).
3: Following an accident at work and errors in charge of costs in health insurance, the MGEN managing only health insurance by delegation according to a contract with the State, did not ask At the necessary moments of reimbursements to National Education managed itself the insurance of accidents at work. Refunds of packages, medical franchises, equipment purchases, ..., despite several letters and files deposited for 4 years of care, more recent care for 1 year and 3 months.
4: The unknown percentage of provident and dependence contribution automatically deducted for years for possible use can in no case compel the minimum reimbursements of the MGEN for health services which are much more common.
* The letters sent by registered mail to the president of the MGEN remained unanswered.</v>
      </c>
    </row>
    <row r="578" ht="15.75" customHeight="1">
      <c r="A578" s="2">
        <v>4.0</v>
      </c>
      <c r="B578" s="2" t="s">
        <v>1688</v>
      </c>
      <c r="C578" s="2" t="s">
        <v>1689</v>
      </c>
      <c r="D578" s="2" t="s">
        <v>86</v>
      </c>
      <c r="E578" s="2" t="s">
        <v>61</v>
      </c>
      <c r="F578" s="2" t="s">
        <v>15</v>
      </c>
      <c r="G578" s="2" t="s">
        <v>1690</v>
      </c>
      <c r="H578" s="2" t="s">
        <v>534</v>
      </c>
      <c r="I578" s="2" t="str">
        <f>IFERROR(__xludf.DUMMYFUNCTION("GOOGLETRANSLATE(C578,""fr"",""en"")"),"Following an adhesion by a broker cabinet and after reflection I decided to retract and follow up on a phone call my interlocutor of the name of Sami indicates the step to follow and indicates the whole procedure with a great calm and a flawless professio"&amp;"nalism despite my errors of seizure sami was very patient and its becomes rare of our.")</f>
        <v>Following an adhesion by a broker cabinet and after reflection I decided to retract and follow up on a phone call my interlocutor of the name of Sami indicates the step to follow and indicates the whole procedure with a great calm and a flawless professionalism despite my errors of seizure sami was very patient and its becomes rare of our.</v>
      </c>
    </row>
    <row r="579" ht="15.75" customHeight="1">
      <c r="A579" s="2">
        <v>5.0</v>
      </c>
      <c r="B579" s="2" t="s">
        <v>1691</v>
      </c>
      <c r="C579" s="2" t="s">
        <v>1692</v>
      </c>
      <c r="D579" s="2" t="s">
        <v>19</v>
      </c>
      <c r="E579" s="2" t="s">
        <v>20</v>
      </c>
      <c r="F579" s="2" t="s">
        <v>15</v>
      </c>
      <c r="G579" s="2" t="s">
        <v>519</v>
      </c>
      <c r="H579" s="2" t="s">
        <v>21</v>
      </c>
      <c r="I579" s="2" t="str">
        <f>IFERROR(__xludf.DUMMYFUNCTION("GOOGLETRANSLATE(C579,""fr"",""en"")"),"I am satisfied with prices as well as services.
However, I would like to know more about the advantage of benefiting from 5 euros from discounts when you make a carpooling trip.")</f>
        <v>I am satisfied with prices as well as services.
However, I would like to know more about the advantage of benefiting from 5 euros from discounts when you make a carpooling trip.</v>
      </c>
    </row>
    <row r="580" ht="15.75" customHeight="1">
      <c r="A580" s="2">
        <v>4.0</v>
      </c>
      <c r="B580" s="2" t="s">
        <v>1693</v>
      </c>
      <c r="C580" s="2" t="s">
        <v>1694</v>
      </c>
      <c r="D580" s="2" t="s">
        <v>19</v>
      </c>
      <c r="E580" s="2" t="s">
        <v>20</v>
      </c>
      <c r="F580" s="2" t="s">
        <v>15</v>
      </c>
      <c r="G580" s="2" t="s">
        <v>1695</v>
      </c>
      <c r="H580" s="2" t="s">
        <v>83</v>
      </c>
      <c r="I580" s="2" t="str">
        <f>IFERROR(__xludf.DUMMYFUNCTION("GOOGLETRANSLATE(C580,""fr"",""en"")"),"I am satisfied with the Servie. Prices are more than correct it is very fast and effective
Good insurance I was recommended insurance by several people")</f>
        <v>I am satisfied with the Servie. Prices are more than correct it is very fast and effective
Good insurance I was recommended insurance by several people</v>
      </c>
    </row>
    <row r="581" ht="15.75" customHeight="1">
      <c r="A581" s="2">
        <v>1.0</v>
      </c>
      <c r="B581" s="2" t="s">
        <v>1696</v>
      </c>
      <c r="C581" s="2" t="s">
        <v>1697</v>
      </c>
      <c r="D581" s="2" t="s">
        <v>19</v>
      </c>
      <c r="E581" s="2" t="s">
        <v>20</v>
      </c>
      <c r="F581" s="2" t="s">
        <v>15</v>
      </c>
      <c r="G581" s="2" t="s">
        <v>1698</v>
      </c>
      <c r="H581" s="2" t="s">
        <v>92</v>
      </c>
      <c r="I581" s="2" t="str">
        <f>IFERROR(__xludf.DUMMYFUNCTION("GOOGLETRANSLATE(C581,""fr"",""en"")"),"Increase in prices while the vehicle rolled very little in 2020. Covis and drop in accidents in France but the price increases by +10% !!!
I think I change quickly")</f>
        <v>Increase in prices while the vehicle rolled very little in 2020. Covis and drop in accidents in France but the price increases by +10% !!!
I think I change quickly</v>
      </c>
    </row>
    <row r="582" ht="15.75" customHeight="1">
      <c r="A582" s="2">
        <v>1.0</v>
      </c>
      <c r="B582" s="2" t="s">
        <v>1699</v>
      </c>
      <c r="C582" s="2" t="s">
        <v>1700</v>
      </c>
      <c r="D582" s="2" t="s">
        <v>337</v>
      </c>
      <c r="E582" s="2" t="s">
        <v>122</v>
      </c>
      <c r="F582" s="2" t="s">
        <v>15</v>
      </c>
      <c r="G582" s="2" t="s">
        <v>1701</v>
      </c>
      <c r="H582" s="2" t="s">
        <v>40</v>
      </c>
      <c r="I582" s="2" t="str">
        <f>IFERROR(__xludf.DUMMYFUNCTION("GOOGLETRANSLATE(C582,""fr"",""en"")"),"I declared a district of the waters of which I was not the manager and the file was long to be treated, no customer follow -up.
I was given a phone number to contact a person taking care of my file whose last figure was false.
The expert assembled ... b"&amp;"y phone!
Poor insurance!")</f>
        <v>I declared a district of the waters of which I was not the manager and the file was long to be treated, no customer follow -up.
I was given a phone number to contact a person taking care of my file whose last figure was false.
The expert assembled ... by phone!
Poor insurance!</v>
      </c>
    </row>
    <row r="583" ht="15.75" customHeight="1">
      <c r="A583" s="2">
        <v>5.0</v>
      </c>
      <c r="B583" s="2" t="s">
        <v>1702</v>
      </c>
      <c r="C583" s="2" t="s">
        <v>1703</v>
      </c>
      <c r="D583" s="2" t="s">
        <v>171</v>
      </c>
      <c r="E583" s="2" t="s">
        <v>14</v>
      </c>
      <c r="F583" s="2" t="s">
        <v>15</v>
      </c>
      <c r="G583" s="2" t="s">
        <v>1310</v>
      </c>
      <c r="H583" s="2" t="s">
        <v>108</v>
      </c>
      <c r="I583" s="2" t="str">
        <f>IFERROR(__xludf.DUMMYFUNCTION("GOOGLETRANSLATE(C583,""fr"",""en"")"),"I am satisfied with the price and the quality of the explanations I recommend very good value for money.
Do not hesitate to subscribe you will not find better !!")</f>
        <v>I am satisfied with the price and the quality of the explanations I recommend very good value for money.
Do not hesitate to subscribe you will not find better !!</v>
      </c>
    </row>
    <row r="584" ht="15.75" customHeight="1">
      <c r="A584" s="2">
        <v>4.0</v>
      </c>
      <c r="B584" s="2" t="s">
        <v>1704</v>
      </c>
      <c r="C584" s="2" t="s">
        <v>1705</v>
      </c>
      <c r="D584" s="2" t="s">
        <v>19</v>
      </c>
      <c r="E584" s="2" t="s">
        <v>20</v>
      </c>
      <c r="F584" s="2" t="s">
        <v>15</v>
      </c>
      <c r="G584" s="2" t="s">
        <v>1706</v>
      </c>
      <c r="H584" s="2" t="s">
        <v>74</v>
      </c>
      <c r="I584" s="2" t="str">
        <f>IFERROR(__xludf.DUMMYFUNCTION("GOOGLETRANSLATE(C584,""fr"",""en"")"),"I am satisfied with the service
Please think about paying the 20 euros of sponsorship of my brother Jule Citroen C4 II N ° 98069115
And my share of 20 euros too.
Thank you
Best regards
Mrs Gloria Sultan")</f>
        <v>I am satisfied with the service
Please think about paying the 20 euros of sponsorship of my brother Jule Citroen C4 II N ° 98069115
And my share of 20 euros too.
Thank you
Best regards
Mrs Gloria Sultan</v>
      </c>
    </row>
    <row r="585" ht="15.75" customHeight="1">
      <c r="A585" s="2">
        <v>3.0</v>
      </c>
      <c r="B585" s="2" t="s">
        <v>1707</v>
      </c>
      <c r="C585" s="2" t="s">
        <v>1708</v>
      </c>
      <c r="D585" s="2" t="s">
        <v>19</v>
      </c>
      <c r="E585" s="2" t="s">
        <v>20</v>
      </c>
      <c r="F585" s="2" t="s">
        <v>15</v>
      </c>
      <c r="G585" s="2" t="s">
        <v>1709</v>
      </c>
      <c r="H585" s="2" t="s">
        <v>179</v>
      </c>
      <c r="I585" s="2" t="str">
        <f>IFERROR(__xludf.DUMMYFUNCTION("GOOGLETRANSLATE(C585,""fr"",""en"")"),"Satisfied ! I was advised by my manager, at first glance for a quote, and for the purchase a first car, the price is suitable in theory ... remains to be seen in practice.")</f>
        <v>Satisfied ! I was advised by my manager, at first glance for a quote, and for the purchase a first car, the price is suitable in theory ... remains to be seen in practice.</v>
      </c>
    </row>
    <row r="586" ht="15.75" customHeight="1">
      <c r="A586" s="2">
        <v>1.0</v>
      </c>
      <c r="B586" s="2" t="s">
        <v>1710</v>
      </c>
      <c r="C586" s="2" t="s">
        <v>1711</v>
      </c>
      <c r="D586" s="2" t="s">
        <v>19</v>
      </c>
      <c r="E586" s="2" t="s">
        <v>20</v>
      </c>
      <c r="F586" s="2" t="s">
        <v>15</v>
      </c>
      <c r="G586" s="2" t="s">
        <v>1169</v>
      </c>
      <c r="H586" s="2" t="s">
        <v>32</v>
      </c>
      <c r="I586" s="2" t="str">
        <f>IFERROR(__xludf.DUMMYFUNCTION("GOOGLETRANSLATE(C586,""fr"",""en"")"),"The price has further increased for my housing contract.
The two auto contracts I have with you have also undergone the increases.
I fear that I will have to find cheaper elsewhere for the same levels of services:
- Among manufacturers,
- Bankers
- O"&amp;"r in hypermarkets!")</f>
        <v>The price has further increased for my housing contract.
The two auto contracts I have with you have also undergone the increases.
I fear that I will have to find cheaper elsewhere for the same levels of services:
- Among manufacturers,
- Bankers
- Or in hypermarkets!</v>
      </c>
    </row>
    <row r="587" ht="15.75" customHeight="1">
      <c r="A587" s="2">
        <v>5.0</v>
      </c>
      <c r="B587" s="2" t="s">
        <v>1712</v>
      </c>
      <c r="C587" s="2" t="s">
        <v>1713</v>
      </c>
      <c r="D587" s="2" t="s">
        <v>19</v>
      </c>
      <c r="E587" s="2" t="s">
        <v>20</v>
      </c>
      <c r="F587" s="2" t="s">
        <v>15</v>
      </c>
      <c r="G587" s="2" t="s">
        <v>1714</v>
      </c>
      <c r="H587" s="2" t="s">
        <v>164</v>
      </c>
      <c r="I587" s="2" t="str">
        <f>IFERROR(__xludf.DUMMYFUNCTION("GOOGLETRANSLATE(C587,""fr"",""en"")"),"Satisfied with the price service suit me. Very fast quote, efficient site
Customer service to review for understanding the conversation
Business")</f>
        <v>Satisfied with the price service suit me. Very fast quote, efficient site
Customer service to review for understanding the conversation
Business</v>
      </c>
    </row>
    <row r="588" ht="15.75" customHeight="1">
      <c r="A588" s="2">
        <v>1.0</v>
      </c>
      <c r="B588" s="2" t="s">
        <v>1715</v>
      </c>
      <c r="C588" s="2" t="s">
        <v>1716</v>
      </c>
      <c r="D588" s="2" t="s">
        <v>225</v>
      </c>
      <c r="E588" s="2" t="s">
        <v>61</v>
      </c>
      <c r="F588" s="2" t="s">
        <v>15</v>
      </c>
      <c r="G588" s="2" t="s">
        <v>1717</v>
      </c>
      <c r="H588" s="2" t="s">
        <v>216</v>
      </c>
      <c r="I588" s="2" t="str">
        <f>IFERROR(__xludf.DUMMYFUNCTION("GOOGLETRANSLATE(C588,""fr"",""en"")"),"Do not confuse Mgen Primary Caisse to which teachers are automatically attached and complementary MGEN that you are free to choose. Personally I left the MGEN be careful to have pension insurance")</f>
        <v>Do not confuse Mgen Primary Caisse to which teachers are automatically attached and complementary MGEN that you are free to choose. Personally I left the MGEN be careful to have pension insurance</v>
      </c>
    </row>
    <row r="589" ht="15.75" customHeight="1">
      <c r="A589" s="2">
        <v>2.0</v>
      </c>
      <c r="B589" s="2" t="s">
        <v>1718</v>
      </c>
      <c r="C589" s="2" t="s">
        <v>1719</v>
      </c>
      <c r="D589" s="2" t="s">
        <v>285</v>
      </c>
      <c r="E589" s="2" t="s">
        <v>122</v>
      </c>
      <c r="F589" s="2" t="s">
        <v>15</v>
      </c>
      <c r="G589" s="2" t="s">
        <v>1547</v>
      </c>
      <c r="H589" s="2" t="s">
        <v>45</v>
      </c>
      <c r="I589" s="2" t="str">
        <f>IFERROR(__xludf.DUMMYFUNCTION("GOOGLETRANSLATE(C589,""fr"",""en"")"),"We are in July, I live in Paris and I was robbed at night in my apartment. My shutters were lowered but the window opened ... MACIF insurance response: the windows must be locked for the flight to be compensable.
It seems that not all insurances have the"&amp;" same way of thinking. I let you imagine my desire to change your insurance!")</f>
        <v>We are in July, I live in Paris and I was robbed at night in my apartment. My shutters were lowered but the window opened ... MACIF insurance response: the windows must be locked for the flight to be compensable.
It seems that not all insurances have the same way of thinking. I let you imagine my desire to change your insurance!</v>
      </c>
    </row>
    <row r="590" ht="15.75" customHeight="1">
      <c r="A590" s="2">
        <v>4.0</v>
      </c>
      <c r="B590" s="2" t="s">
        <v>1720</v>
      </c>
      <c r="C590" s="2" t="s">
        <v>1721</v>
      </c>
      <c r="D590" s="2" t="s">
        <v>19</v>
      </c>
      <c r="E590" s="2" t="s">
        <v>20</v>
      </c>
      <c r="F590" s="2" t="s">
        <v>15</v>
      </c>
      <c r="G590" s="2" t="s">
        <v>681</v>
      </c>
      <c r="H590" s="2" t="s">
        <v>108</v>
      </c>
      <c r="I590" s="2" t="str">
        <f>IFERROR(__xludf.DUMMYFUNCTION("GOOGLETRANSLATE(C590,""fr"",""en"")"),"I am satisfied with the service, prices suit me. The online realization is simple and easy. Already ensuring for my accommodation, I remain faithful to this insurance.")</f>
        <v>I am satisfied with the service, prices suit me. The online realization is simple and easy. Already ensuring for my accommodation, I remain faithful to this insurance.</v>
      </c>
    </row>
    <row r="591" ht="15.75" customHeight="1">
      <c r="A591" s="2">
        <v>1.0</v>
      </c>
      <c r="B591" s="2" t="s">
        <v>1722</v>
      </c>
      <c r="C591" s="2" t="s">
        <v>1723</v>
      </c>
      <c r="D591" s="2" t="s">
        <v>285</v>
      </c>
      <c r="E591" s="2" t="s">
        <v>122</v>
      </c>
      <c r="F591" s="2" t="s">
        <v>15</v>
      </c>
      <c r="G591" s="2" t="s">
        <v>740</v>
      </c>
      <c r="H591" s="2" t="s">
        <v>239</v>
      </c>
      <c r="I591" s="2" t="str">
        <f>IFERROR(__xludf.DUMMYFUNCTION("GOOGLETRANSLATE(C591,""fr"",""en"")"),"As long as you pay and you do not have sinister, it goes well, but it spoils at the slightest problem, total absence of communication see employees who do not contact you, to believe that it is homemade politics!
No explanation on the decisions or measur"&amp;"es taken, total incompetence of the interlocutors when you manage to join them ...")</f>
        <v>As long as you pay and you do not have sinister, it goes well, but it spoils at the slightest problem, total absence of communication see employees who do not contact you, to believe that it is homemade politics!
No explanation on the decisions or measures taken, total incompetence of the interlocutors when you manage to join them ...</v>
      </c>
    </row>
    <row r="592" ht="15.75" customHeight="1">
      <c r="A592" s="2">
        <v>3.0</v>
      </c>
      <c r="B592" s="2" t="s">
        <v>1724</v>
      </c>
      <c r="C592" s="2" t="s">
        <v>1725</v>
      </c>
      <c r="D592" s="2" t="s">
        <v>35</v>
      </c>
      <c r="E592" s="2" t="s">
        <v>20</v>
      </c>
      <c r="F592" s="2" t="s">
        <v>15</v>
      </c>
      <c r="G592" s="2" t="s">
        <v>1726</v>
      </c>
      <c r="H592" s="2" t="s">
        <v>164</v>
      </c>
      <c r="I592" s="2" t="str">
        <f>IFERROR(__xludf.DUMMYFUNCTION("GOOGLETRANSLATE(C592,""fr"",""en"")"),"Fast and simple I recommend this insurance for young drivers for value for money I did not find better on the internet satisfied")</f>
        <v>Fast and simple I recommend this insurance for young drivers for value for money I did not find better on the internet satisfied</v>
      </c>
    </row>
    <row r="593" ht="15.75" customHeight="1">
      <c r="A593" s="2">
        <v>5.0</v>
      </c>
      <c r="B593" s="2" t="s">
        <v>1727</v>
      </c>
      <c r="C593" s="2" t="s">
        <v>1728</v>
      </c>
      <c r="D593" s="2" t="s">
        <v>171</v>
      </c>
      <c r="E593" s="2" t="s">
        <v>14</v>
      </c>
      <c r="F593" s="2" t="s">
        <v>15</v>
      </c>
      <c r="G593" s="2" t="s">
        <v>1729</v>
      </c>
      <c r="H593" s="2" t="s">
        <v>92</v>
      </c>
      <c r="I593" s="2" t="str">
        <f>IFERROR(__xludf.DUMMYFUNCTION("GOOGLETRANSLATE(C593,""fr"",""en"")"),"Service to join very fast, found through the ferrets, very satisfied for membership and hopes not to have to declare an accident")</f>
        <v>Service to join very fast, found through the ferrets, very satisfied for membership and hopes not to have to declare an accident</v>
      </c>
    </row>
    <row r="594" ht="15.75" customHeight="1">
      <c r="A594" s="2">
        <v>3.0</v>
      </c>
      <c r="B594" s="2" t="s">
        <v>1730</v>
      </c>
      <c r="C594" s="2" t="s">
        <v>1731</v>
      </c>
      <c r="D594" s="2" t="s">
        <v>193</v>
      </c>
      <c r="E594" s="2" t="s">
        <v>122</v>
      </c>
      <c r="F594" s="2" t="s">
        <v>15</v>
      </c>
      <c r="G594" s="2" t="s">
        <v>732</v>
      </c>
      <c r="H594" s="2" t="s">
        <v>567</v>
      </c>
      <c r="I594" s="2" t="str">
        <f>IFERROR(__xludf.DUMMYFUNCTION("GOOGLETRANSLATE(C594,""fr"",""en"")"),"I asked the Matmut to obtain legal aid. The apartment I bought 30 months ago (new) has faults in the two bathrooms ... I opened a procedure against the promoter, which makes the round back (guarantee damage works), with the help of a lawyer.
I questioned"&amp;" the Matmut for possible financial assistance because the expertise will be at my expense. In fact it is the SCMAC which carries legal insurance. Laconic response (fairly fast enough): legal insurance does not work for construction problems ...
In short."&amp;" Great, thank you.
This is my first request from the Matmut ... and most certainly the last. The following week I have taken out legal insurance with the GMF ... I now know what this legal contract is worth with SMAC.
Very disappointed especially that e"&amp;"verything seemed quite positive for me with this insurance, whether it was telephone contacts but also the quality / price ratio. My priority is now to switch to a competitor. I don't want to pay for insurance that politely said Niet in the first claim.")</f>
        <v>I asked the Matmut to obtain legal aid. The apartment I bought 30 months ago (new) has faults in the two bathrooms ... I opened a procedure against the promoter, which makes the round back (guarantee damage works), with the help of a lawyer.
I questioned the Matmut for possible financial assistance because the expertise will be at my expense. In fact it is the SCMAC which carries legal insurance. Laconic response (fairly fast enough): legal insurance does not work for construction problems ...
In short. Great, thank you.
This is my first request from the Matmut ... and most certainly the last. The following week I have taken out legal insurance with the GMF ... I now know what this legal contract is worth with SMAC.
Very disappointed especially that everything seemed quite positive for me with this insurance, whether it was telephone contacts but also the quality / price ratio. My priority is now to switch to a competitor. I don't want to pay for insurance that politely said Niet in the first claim.</v>
      </c>
    </row>
    <row r="595" ht="15.75" customHeight="1">
      <c r="A595" s="2">
        <v>3.0</v>
      </c>
      <c r="B595" s="2" t="s">
        <v>1732</v>
      </c>
      <c r="C595" s="2" t="s">
        <v>1733</v>
      </c>
      <c r="D595" s="2" t="s">
        <v>19</v>
      </c>
      <c r="E595" s="2" t="s">
        <v>20</v>
      </c>
      <c r="F595" s="2" t="s">
        <v>15</v>
      </c>
      <c r="G595" s="2" t="s">
        <v>1482</v>
      </c>
      <c r="H595" s="2" t="s">
        <v>21</v>
      </c>
      <c r="I595" s="2" t="str">
        <f>IFERROR(__xludf.DUMMYFUNCTION("GOOGLETRANSLATE(C595,""fr"",""en"")"),"Despite 3 months of confinement in 2020 I underwent an increase on my auto contracts I do not agree for this significant increase this represents around 8% of the annual price is scandalous I have referred to consumers")</f>
        <v>Despite 3 months of confinement in 2020 I underwent an increase on my auto contracts I do not agree for this significant increase this represents around 8% of the annual price is scandalous I have referred to consumers</v>
      </c>
    </row>
    <row r="596" ht="15.75" customHeight="1">
      <c r="A596" s="2">
        <v>2.0</v>
      </c>
      <c r="B596" s="2" t="s">
        <v>1734</v>
      </c>
      <c r="C596" s="2" t="s">
        <v>1735</v>
      </c>
      <c r="D596" s="2" t="s">
        <v>285</v>
      </c>
      <c r="E596" s="2" t="s">
        <v>20</v>
      </c>
      <c r="F596" s="2" t="s">
        <v>15</v>
      </c>
      <c r="G596" s="2" t="s">
        <v>1736</v>
      </c>
      <c r="H596" s="2" t="s">
        <v>449</v>
      </c>
      <c r="I596" s="2" t="str">
        <f>IFERROR(__xludf.DUMMYFUNCTION("GOOGLETRANSLATE(C596,""fr"",""en"")"),"Insured for more than 30 years, never an accident, the only one declared (a 2 wheels that hangs on a wing by dubbing while I was stopped at a stop) I deceive 50% liability !!!! A shame and no way to discuss the sharing of twists !!!")</f>
        <v>Insured for more than 30 years, never an accident, the only one declared (a 2 wheels that hangs on a wing by dubbing while I was stopped at a stop) I deceive 50% liability !!!! A shame and no way to discuss the sharing of twists !!!</v>
      </c>
    </row>
    <row r="597" ht="15.75" customHeight="1">
      <c r="A597" s="2">
        <v>5.0</v>
      </c>
      <c r="B597" s="2" t="s">
        <v>1737</v>
      </c>
      <c r="C597" s="2" t="s">
        <v>1738</v>
      </c>
      <c r="D597" s="2" t="s">
        <v>171</v>
      </c>
      <c r="E597" s="2" t="s">
        <v>14</v>
      </c>
      <c r="F597" s="2" t="s">
        <v>15</v>
      </c>
      <c r="G597" s="2" t="s">
        <v>593</v>
      </c>
      <c r="H597" s="2" t="s">
        <v>108</v>
      </c>
      <c r="I597" s="2" t="str">
        <f>IFERROR(__xludf.DUMMYFUNCTION("GOOGLETRANSLATE(C597,""fr"",""en"")"),"I am satisfied with the service, thank you for being able to make sure, I will recommend insurance to other biker friend who are in the process of passing the permit")</f>
        <v>I am satisfied with the service, thank you for being able to make sure, I will recommend insurance to other biker friend who are in the process of passing the permit</v>
      </c>
    </row>
    <row r="598" ht="15.75" customHeight="1">
      <c r="A598" s="2">
        <v>3.0</v>
      </c>
      <c r="B598" s="2" t="s">
        <v>1739</v>
      </c>
      <c r="C598" s="2" t="s">
        <v>1740</v>
      </c>
      <c r="D598" s="2" t="s">
        <v>171</v>
      </c>
      <c r="E598" s="2" t="s">
        <v>14</v>
      </c>
      <c r="F598" s="2" t="s">
        <v>15</v>
      </c>
      <c r="G598" s="2" t="s">
        <v>150</v>
      </c>
      <c r="H598" s="2" t="s">
        <v>45</v>
      </c>
      <c r="I598" s="2" t="str">
        <f>IFERROR(__xludf.DUMMYFUNCTION("GOOGLETRANSLATE(C598,""fr"",""en"")"),"I am satisfied with the responsiveness of telephone agents. Of the estimate of quotes I received a call to allow me to finalize my request")</f>
        <v>I am satisfied with the responsiveness of telephone agents. Of the estimate of quotes I received a call to allow me to finalize my request</v>
      </c>
    </row>
    <row r="599" ht="15.75" customHeight="1">
      <c r="A599" s="2">
        <v>4.0</v>
      </c>
      <c r="B599" s="2" t="s">
        <v>1741</v>
      </c>
      <c r="C599" s="2" t="s">
        <v>1742</v>
      </c>
      <c r="D599" s="2" t="s">
        <v>19</v>
      </c>
      <c r="E599" s="2" t="s">
        <v>20</v>
      </c>
      <c r="F599" s="2" t="s">
        <v>15</v>
      </c>
      <c r="G599" s="2" t="s">
        <v>1084</v>
      </c>
      <c r="H599" s="2" t="s">
        <v>108</v>
      </c>
      <c r="I599" s="2" t="str">
        <f>IFERROR(__xludf.DUMMYFUNCTION("GOOGLETRANSLATE(C599,""fr"",""en"")"),"For 3 euros more, I have all the most practical options. After comparing with the other insurances via the lynx and the ferrets, I chose Direct Assurance.")</f>
        <v>For 3 euros more, I have all the most practical options. After comparing with the other insurances via the lynx and the ferrets, I chose Direct Assurance.</v>
      </c>
    </row>
    <row r="600" ht="15.75" customHeight="1">
      <c r="A600" s="2">
        <v>1.0</v>
      </c>
      <c r="B600" s="2" t="s">
        <v>1743</v>
      </c>
      <c r="C600" s="2" t="s">
        <v>1744</v>
      </c>
      <c r="D600" s="2" t="s">
        <v>111</v>
      </c>
      <c r="E600" s="2" t="s">
        <v>61</v>
      </c>
      <c r="F600" s="2" t="s">
        <v>15</v>
      </c>
      <c r="G600" s="2" t="s">
        <v>1745</v>
      </c>
      <c r="H600" s="2" t="s">
        <v>216</v>
      </c>
      <c r="I600" s="2" t="str">
        <f>IFERROR(__xludf.DUMMYFUNCTION("GOOGLETRANSLATE(C600,""fr"",""en"")"),"AG2R was good when it was under MLB contract, now the merger was done with Viassance and it is a disaster, do not respond to letters and refuses to repay care that is in my contract, I am looking to change, moreover they are Dear.")</f>
        <v>AG2R was good when it was under MLB contract, now the merger was done with Viassance and it is a disaster, do not respond to letters and refuses to repay care that is in my contract, I am looking to change, moreover they are Dear.</v>
      </c>
    </row>
    <row r="601" ht="15.75" customHeight="1">
      <c r="A601" s="2">
        <v>4.0</v>
      </c>
      <c r="B601" s="2" t="s">
        <v>1746</v>
      </c>
      <c r="C601" s="2" t="s">
        <v>1747</v>
      </c>
      <c r="D601" s="2" t="s">
        <v>285</v>
      </c>
      <c r="E601" s="2" t="s">
        <v>20</v>
      </c>
      <c r="F601" s="2" t="s">
        <v>15</v>
      </c>
      <c r="G601" s="2" t="s">
        <v>274</v>
      </c>
      <c r="H601" s="2" t="s">
        <v>32</v>
      </c>
      <c r="I601" s="2" t="str">
        <f>IFERROR(__xludf.DUMMYFUNCTION("GOOGLETRANSLATE(C601,""fr"",""en"")"),"My car no longer wanted to start in front of my house, I called the assistance at 11 a.m.
My call was immediately taken into account and I was sent a convenience store in the hour that could do the necessary (battery problem). At 11:45 am, I was able to "&amp;"leave with my car. I am completely satisfied with the management of my breakdown and I congratulate the Macif for its responsiveness.")</f>
        <v>My car no longer wanted to start in front of my house, I called the assistance at 11 a.m.
My call was immediately taken into account and I was sent a convenience store in the hour that could do the necessary (battery problem). At 11:45 am, I was able to leave with my car. I am completely satisfied with the management of my breakdown and I congratulate the Macif for its responsiveness.</v>
      </c>
    </row>
    <row r="602" ht="15.75" customHeight="1">
      <c r="A602" s="2">
        <v>3.0</v>
      </c>
      <c r="B602" s="2" t="s">
        <v>1748</v>
      </c>
      <c r="C602" s="2" t="s">
        <v>1749</v>
      </c>
      <c r="D602" s="2" t="s">
        <v>19</v>
      </c>
      <c r="E602" s="2" t="s">
        <v>20</v>
      </c>
      <c r="F602" s="2" t="s">
        <v>15</v>
      </c>
      <c r="G602" s="2" t="s">
        <v>83</v>
      </c>
      <c r="H602" s="2" t="s">
        <v>83</v>
      </c>
      <c r="I602" s="2" t="str">
        <f>IFERROR(__xludf.DUMMYFUNCTION("GOOGLETRANSLATE(C602,""fr"",""en"")"),"Rather satisfied with your offers, the prices are correct.
To see in case of claims if the responsiveness is also present.
I am assured at home for my home, nothing to complain about.
")</f>
        <v>Rather satisfied with your offers, the prices are correct.
To see in case of claims if the responsiveness is also present.
I am assured at home for my home, nothing to complain about.
</v>
      </c>
    </row>
    <row r="603" ht="15.75" customHeight="1">
      <c r="A603" s="2">
        <v>4.0</v>
      </c>
      <c r="B603" s="2" t="s">
        <v>1750</v>
      </c>
      <c r="C603" s="2" t="s">
        <v>1751</v>
      </c>
      <c r="D603" s="2" t="s">
        <v>43</v>
      </c>
      <c r="E603" s="2" t="s">
        <v>20</v>
      </c>
      <c r="F603" s="2" t="s">
        <v>15</v>
      </c>
      <c r="G603" s="2" t="s">
        <v>803</v>
      </c>
      <c r="H603" s="2" t="s">
        <v>108</v>
      </c>
      <c r="I603" s="2" t="str">
        <f>IFERROR(__xludf.DUMMYFUNCTION("GOOGLETRANSLATE(C603,""fr"",""en"")"),"Very good service, good support for my file and my requests, speed in the answers provided and sending documents by email or by phone.")</f>
        <v>Very good service, good support for my file and my requests, speed in the answers provided and sending documents by email or by phone.</v>
      </c>
    </row>
    <row r="604" ht="15.75" customHeight="1">
      <c r="A604" s="2">
        <v>1.0</v>
      </c>
      <c r="B604" s="2" t="s">
        <v>1752</v>
      </c>
      <c r="C604" s="2" t="s">
        <v>1753</v>
      </c>
      <c r="D604" s="2" t="s">
        <v>269</v>
      </c>
      <c r="E604" s="2" t="s">
        <v>61</v>
      </c>
      <c r="F604" s="2" t="s">
        <v>15</v>
      </c>
      <c r="G604" s="2" t="s">
        <v>872</v>
      </c>
      <c r="H604" s="2" t="s">
        <v>32</v>
      </c>
      <c r="I604" s="2" t="str">
        <f>IFERROR(__xludf.DUMMYFUNCTION("GOOGLETRANSLATE(C604,""fr"",""en"")"),";;; it is written ... ""Our teams remain at your disposal ...."" but impossible to contact them by tel. I'm hanging up.
THAT'S NOT COOL
I'm disappointed.")</f>
        <v>;;; it is written ... "Our teams remain at your disposal ...." but impossible to contact them by tel. I'm hanging up.
THAT'S NOT COOL
I'm disappointed.</v>
      </c>
    </row>
    <row r="605" ht="15.75" customHeight="1">
      <c r="A605" s="2">
        <v>1.0</v>
      </c>
      <c r="B605" s="2" t="s">
        <v>1754</v>
      </c>
      <c r="C605" s="2" t="s">
        <v>1755</v>
      </c>
      <c r="D605" s="2" t="s">
        <v>532</v>
      </c>
      <c r="E605" s="2" t="s">
        <v>214</v>
      </c>
      <c r="F605" s="2" t="s">
        <v>15</v>
      </c>
      <c r="G605" s="2" t="s">
        <v>1756</v>
      </c>
      <c r="H605" s="2" t="s">
        <v>1757</v>
      </c>
      <c r="I605" s="2" t="str">
        <f>IFERROR(__xludf.DUMMYFUNCTION("GOOGLETRANSLATE(C605,""fr"",""en"")"),"Very well as long as you need nothing ...
After requesting an advance on life insurance I am informed that the funds have been fired on my account when it is not, the deadline is currently one week while legally everything must be carried out in a day "&amp;"worked (Monetary and Financial Code Art.133-13)")</f>
        <v>Very well as long as you need nothing ...
After requesting an advance on life insurance I am informed that the funds have been fired on my account when it is not, the deadline is currently one week while legally everything must be carried out in a day worked (Monetary and Financial Code Art.133-13)</v>
      </c>
    </row>
    <row r="606" ht="15.75" customHeight="1">
      <c r="A606" s="2">
        <v>1.0</v>
      </c>
      <c r="B606" s="2" t="s">
        <v>1758</v>
      </c>
      <c r="C606" s="2" t="s">
        <v>1759</v>
      </c>
      <c r="D606" s="2" t="s">
        <v>111</v>
      </c>
      <c r="E606" s="2" t="s">
        <v>214</v>
      </c>
      <c r="F606" s="2" t="s">
        <v>15</v>
      </c>
      <c r="G606" s="2" t="s">
        <v>1760</v>
      </c>
      <c r="H606" s="2" t="s">
        <v>45</v>
      </c>
      <c r="I606" s="2" t="str">
        <f>IFERROR(__xludf.DUMMYFUNCTION("GOOGLETRANSLATE(C606,""fr"",""en"")"),"Do not trust this company certainly managed by these new CEOs which feed on the money from the little ones in order to take advantage of their big daily desserts. You have to feed them these people there. I have been retiring since May 1 and I can assure "&amp;"you that I know what I'm talking about.")</f>
        <v>Do not trust this company certainly managed by these new CEOs which feed on the money from the little ones in order to take advantage of their big daily desserts. You have to feed them these people there. I have been retiring since May 1 and I can assure you that I know what I'm talking about.</v>
      </c>
    </row>
    <row r="607" ht="15.75" customHeight="1">
      <c r="A607" s="2">
        <v>2.0</v>
      </c>
      <c r="B607" s="2" t="s">
        <v>1761</v>
      </c>
      <c r="C607" s="2" t="s">
        <v>1762</v>
      </c>
      <c r="D607" s="2" t="s">
        <v>35</v>
      </c>
      <c r="E607" s="2" t="s">
        <v>20</v>
      </c>
      <c r="F607" s="2" t="s">
        <v>15</v>
      </c>
      <c r="G607" s="2" t="s">
        <v>1763</v>
      </c>
      <c r="H607" s="2" t="s">
        <v>26</v>
      </c>
      <c r="I607" s="2" t="str">
        <f>IFERROR(__xludf.DUMMYFUNCTION("GOOGLETRANSLATE(C607,""fr"",""en"")"),"It is on television but in reality zero service at each interlocutor different information zero follow -up we leave you with your bares it is really low -end it's not expensive but it's worth nothing")</f>
        <v>It is on television but in reality zero service at each interlocutor different information zero follow -up we leave you with your bares it is really low -end it's not expensive but it's worth nothing</v>
      </c>
    </row>
    <row r="608" ht="15.75" customHeight="1">
      <c r="A608" s="2">
        <v>5.0</v>
      </c>
      <c r="B608" s="2" t="s">
        <v>1764</v>
      </c>
      <c r="C608" s="2" t="s">
        <v>1765</v>
      </c>
      <c r="D608" s="2" t="s">
        <v>35</v>
      </c>
      <c r="E608" s="2" t="s">
        <v>20</v>
      </c>
      <c r="F608" s="2" t="s">
        <v>15</v>
      </c>
      <c r="G608" s="2" t="s">
        <v>36</v>
      </c>
      <c r="H608" s="2" t="s">
        <v>32</v>
      </c>
      <c r="I608" s="2" t="str">
        <f>IFERROR(__xludf.DUMMYFUNCTION("GOOGLETRANSLATE(C608,""fr"",""en"")"),"Very satisfied with this insurance, all the more for a first car, very honest price, good overall coverage offered by your services ....")</f>
        <v>Very satisfied with this insurance, all the more for a first car, very honest price, good overall coverage offered by your services ....</v>
      </c>
    </row>
    <row r="609" ht="15.75" customHeight="1">
      <c r="A609" s="2">
        <v>4.0</v>
      </c>
      <c r="B609" s="2" t="s">
        <v>1766</v>
      </c>
      <c r="C609" s="2" t="s">
        <v>1767</v>
      </c>
      <c r="D609" s="2" t="s">
        <v>19</v>
      </c>
      <c r="E609" s="2" t="s">
        <v>20</v>
      </c>
      <c r="F609" s="2" t="s">
        <v>15</v>
      </c>
      <c r="G609" s="2" t="s">
        <v>902</v>
      </c>
      <c r="H609" s="2" t="s">
        <v>164</v>
      </c>
      <c r="I609" s="2" t="str">
        <f>IFERROR(__xludf.DUMMYFUNCTION("GOOGLETRANSLATE(C609,""fr"",""en"")"),"Satisfactory price and guarantees
The online quote are easy to fill and materialize.
thanks again
Very good rapid insurance professionals and whose prices are very competitive
")</f>
        <v>Satisfactory price and guarantees
The online quote are easy to fill and materialize.
thanks again
Very good rapid insurance professionals and whose prices are very competitive
</v>
      </c>
    </row>
    <row r="610" ht="15.75" customHeight="1">
      <c r="A610" s="2">
        <v>4.0</v>
      </c>
      <c r="B610" s="2" t="s">
        <v>1768</v>
      </c>
      <c r="C610" s="2" t="s">
        <v>1769</v>
      </c>
      <c r="D610" s="2" t="s">
        <v>86</v>
      </c>
      <c r="E610" s="2" t="s">
        <v>61</v>
      </c>
      <c r="F610" s="2" t="s">
        <v>15</v>
      </c>
      <c r="G610" s="2" t="s">
        <v>1770</v>
      </c>
      <c r="H610" s="2" t="s">
        <v>567</v>
      </c>
      <c r="I610" s="2" t="str">
        <f>IFERROR(__xludf.DUMMYFUNCTION("GOOGLETRANSLATE(C610,""fr"",""en"")"),"Good customer support.
Quick subscription. The information given is very clear.")</f>
        <v>Good customer support.
Quick subscription. The information given is very clear.</v>
      </c>
    </row>
    <row r="611" ht="15.75" customHeight="1">
      <c r="A611" s="2">
        <v>3.0</v>
      </c>
      <c r="B611" s="2" t="s">
        <v>1771</v>
      </c>
      <c r="C611" s="2" t="s">
        <v>1772</v>
      </c>
      <c r="D611" s="2" t="s">
        <v>19</v>
      </c>
      <c r="E611" s="2" t="s">
        <v>20</v>
      </c>
      <c r="F611" s="2" t="s">
        <v>15</v>
      </c>
      <c r="G611" s="2" t="s">
        <v>83</v>
      </c>
      <c r="H611" s="2" t="s">
        <v>83</v>
      </c>
      <c r="I611" s="2" t="str">
        <f>IFERROR(__xludf.DUMMYFUNCTION("GOOGLETRANSLATE(C611,""fr"",""en"")"),"I am very satisfied with the speed of the Direct Assurance quote and I will not fail to recommend it to those around me
Very simple very detailed and the price is very correct")</f>
        <v>I am very satisfied with the speed of the Direct Assurance quote and I will not fail to recommend it to those around me
Very simple very detailed and the price is very correct</v>
      </c>
    </row>
    <row r="612" ht="15.75" customHeight="1">
      <c r="A612" s="2">
        <v>3.0</v>
      </c>
      <c r="B612" s="2" t="s">
        <v>1773</v>
      </c>
      <c r="C612" s="2" t="s">
        <v>1774</v>
      </c>
      <c r="D612" s="2" t="s">
        <v>19</v>
      </c>
      <c r="E612" s="2" t="s">
        <v>20</v>
      </c>
      <c r="F612" s="2" t="s">
        <v>15</v>
      </c>
      <c r="G612" s="2" t="s">
        <v>971</v>
      </c>
      <c r="H612" s="2" t="s">
        <v>21</v>
      </c>
      <c r="I612" s="2" t="str">
        <f>IFERROR(__xludf.DUMMYFUNCTION("GOOGLETRANSLATE(C612,""fr"",""en"")"),"I am satisfied with the prices but a discount by phone of 80 euros since I have 3 contracts with you (in commercial gesture) had to be done and there nobody has any trace by phone and therefore well I will not have these 80s Euros acted by a higher than t"&amp;"he phone. I find that it doesn't make it serious.")</f>
        <v>I am satisfied with the prices but a discount by phone of 80 euros since I have 3 contracts with you (in commercial gesture) had to be done and there nobody has any trace by phone and therefore well I will not have these 80s Euros acted by a higher than the phone. I find that it doesn't make it serious.</v>
      </c>
    </row>
    <row r="613" ht="15.75" customHeight="1">
      <c r="A613" s="2">
        <v>2.0</v>
      </c>
      <c r="B613" s="2" t="s">
        <v>1775</v>
      </c>
      <c r="C613" s="2" t="s">
        <v>1776</v>
      </c>
      <c r="D613" s="2" t="s">
        <v>494</v>
      </c>
      <c r="E613" s="2" t="s">
        <v>122</v>
      </c>
      <c r="F613" s="2" t="s">
        <v>15</v>
      </c>
      <c r="G613" s="2" t="s">
        <v>194</v>
      </c>
      <c r="H613" s="2" t="s">
        <v>116</v>
      </c>
      <c r="I613" s="2" t="str">
        <f>IFERROR(__xludf.DUMMYFUNCTION("GOOGLETRANSLATE(C613,""fr"",""en"")"),"Not really satisfied. I feel like I have in front of people who do not know how to read properly and think only to get rid of the files.")</f>
        <v>Not really satisfied. I feel like I have in front of people who do not know how to read properly and think only to get rid of the files.</v>
      </c>
    </row>
    <row r="614" ht="15.75" customHeight="1">
      <c r="A614" s="2">
        <v>4.0</v>
      </c>
      <c r="B614" s="2" t="s">
        <v>1777</v>
      </c>
      <c r="C614" s="2" t="s">
        <v>1778</v>
      </c>
      <c r="D614" s="2" t="s">
        <v>254</v>
      </c>
      <c r="E614" s="2" t="s">
        <v>61</v>
      </c>
      <c r="F614" s="2" t="s">
        <v>15</v>
      </c>
      <c r="G614" s="2" t="s">
        <v>1779</v>
      </c>
      <c r="H614" s="2" t="s">
        <v>116</v>
      </c>
      <c r="I614" s="2" t="str">
        <f>IFERROR(__xludf.DUMMYFUNCTION("GOOGLETRANSLATE(C614,""fr"",""en"")"),"The advisers are available and competent
The prices are interesting
Refunds are at a good level and are paid quickly
The general mutual of the police can be recommended because it works well")</f>
        <v>The advisers are available and competent
The prices are interesting
Refunds are at a good level and are paid quickly
The general mutual of the police can be recommended because it works well</v>
      </c>
    </row>
    <row r="615" ht="15.75" customHeight="1">
      <c r="A615" s="2">
        <v>1.0</v>
      </c>
      <c r="B615" s="2" t="s">
        <v>1780</v>
      </c>
      <c r="C615" s="2" t="s">
        <v>1781</v>
      </c>
      <c r="D615" s="2" t="s">
        <v>366</v>
      </c>
      <c r="E615" s="2" t="s">
        <v>122</v>
      </c>
      <c r="F615" s="2" t="s">
        <v>15</v>
      </c>
      <c r="G615" s="2" t="s">
        <v>1782</v>
      </c>
      <c r="H615" s="2" t="s">
        <v>16</v>
      </c>
      <c r="I615" s="2" t="str">
        <f>IFERROR(__xludf.DUMMYFUNCTION("GOOGLETRANSLATE(C615,""fr"",""en"")"),"a claim in 10 2019 of which I am not responsible
They drag me from site to an expert notice site which does not give up a train and which ultimately ceiling reimbursements only on email exchange
I am routed on a platform for the work that does not answe"&amp;"r and relaunched she split a text in bad French to tell me to manage what I do. Corona sudden two months. The claim is paid exactly 9 months after when I had a claim the same month on another good and Aviva settled me and paid within 15 days
Allianz in a"&amp;"ddition responds to my complaint does not apologize for the errors made by their attendants and the end of the end The broker has never been deigned to give me a phone call.
Morality go through online insurance. brokers are useless and make insurance mor"&amp;"e cherish. I do not leave my contact details so that the insurer responds to me he will recognize me and only have to answer my emails. Their inspector is in Lyon I believe")</f>
        <v>a claim in 10 2019 of which I am not responsible
They drag me from site to an expert notice site which does not give up a train and which ultimately ceiling reimbursements only on email exchange
I am routed on a platform for the work that does not answer and relaunched she split a text in bad French to tell me to manage what I do. Corona sudden two months. The claim is paid exactly 9 months after when I had a claim the same month on another good and Aviva settled me and paid within 15 days
Allianz in addition responds to my complaint does not apologize for the errors made by their attendants and the end of the end The broker has never been deigned to give me a phone call.
Morality go through online insurance. brokers are useless and make insurance more cherish. I do not leave my contact details so that the insurer responds to me he will recognize me and only have to answer my emails. Their inspector is in Lyon I believe</v>
      </c>
    </row>
    <row r="616" ht="15.75" customHeight="1">
      <c r="A616" s="2">
        <v>4.0</v>
      </c>
      <c r="B616" s="2" t="s">
        <v>1783</v>
      </c>
      <c r="C616" s="2" t="s">
        <v>1784</v>
      </c>
      <c r="D616" s="2" t="s">
        <v>19</v>
      </c>
      <c r="E616" s="2" t="s">
        <v>122</v>
      </c>
      <c r="F616" s="2" t="s">
        <v>15</v>
      </c>
      <c r="G616" s="2" t="s">
        <v>1785</v>
      </c>
      <c r="H616" s="2" t="s">
        <v>26</v>
      </c>
      <c r="I616" s="2" t="str">
        <f>IFERROR(__xludf.DUMMYFUNCTION("GOOGLETRANSLATE(C616,""fr"",""en"")"),"simple and practical
The prices are very advantageous
I am satisfied with this insurance because my son also has auto insurance at Direct Insurance and he is satisfied")</f>
        <v>simple and practical
The prices are very advantageous
I am satisfied with this insurance because my son also has auto insurance at Direct Insurance and he is satisfied</v>
      </c>
    </row>
    <row r="617" ht="15.75" customHeight="1">
      <c r="A617" s="2">
        <v>1.0</v>
      </c>
      <c r="B617" s="2" t="s">
        <v>1786</v>
      </c>
      <c r="C617" s="2" t="s">
        <v>1787</v>
      </c>
      <c r="D617" s="2" t="s">
        <v>285</v>
      </c>
      <c r="E617" s="2" t="s">
        <v>214</v>
      </c>
      <c r="F617" s="2" t="s">
        <v>15</v>
      </c>
      <c r="G617" s="2" t="s">
        <v>1788</v>
      </c>
      <c r="H617" s="2" t="s">
        <v>271</v>
      </c>
      <c r="I617" s="2" t="str">
        <f>IFERROR(__xludf.DUMMYFUNCTION("GOOGLETRANSLATE(C617,""fr"",""en"")"),"Hello, I would never have thought of having problems with the Macif until today after almost 51 years of contributions.
I had an accident in 2017 covered by my GAV contract and since then, the Macif has been hanging around. She no longer responds to my l"&amp;"etters and advisers on the phone tell me anything. I feel that they are looking to save time in addition to the 3 years of endless waiting. However, I was consolidated and seen by an expert doctor but the Macif plays the ostrich policy to use the adequate"&amp;" term of a contributor. I seized the services of a lawyer and I terminated all my contracts.
The Macif, you should be ashamed of what you have become. You are not honest with your members and I strongly recommend that they go before knowing the same setb"&amp;"acks as me and thousands of others.")</f>
        <v>Hello, I would never have thought of having problems with the Macif until today after almost 51 years of contributions.
I had an accident in 2017 covered by my GAV contract and since then, the Macif has been hanging around. She no longer responds to my letters and advisers on the phone tell me anything. I feel that they are looking to save time in addition to the 3 years of endless waiting. However, I was consolidated and seen by an expert doctor but the Macif plays the ostrich policy to use the adequate term of a contributor. I seized the services of a lawyer and I terminated all my contracts.
The Macif, you should be ashamed of what you have become. You are not honest with your members and I strongly recommend that they go before knowing the same setbacks as me and thousands of others.</v>
      </c>
    </row>
    <row r="618" ht="15.75" customHeight="1">
      <c r="A618" s="2">
        <v>1.0</v>
      </c>
      <c r="B618" s="2" t="s">
        <v>1789</v>
      </c>
      <c r="C618" s="2" t="s">
        <v>1790</v>
      </c>
      <c r="D618" s="2" t="s">
        <v>269</v>
      </c>
      <c r="E618" s="2" t="s">
        <v>61</v>
      </c>
      <c r="F618" s="2" t="s">
        <v>15</v>
      </c>
      <c r="G618" s="2" t="s">
        <v>872</v>
      </c>
      <c r="H618" s="2" t="s">
        <v>32</v>
      </c>
      <c r="I618" s="2" t="str">
        <f>IFERROR(__xludf.DUMMYFUNCTION("GOOGLETRANSLATE(C618,""fr"",""en"")"),"What can we say more - everything is written, we are all awaiting reimbursement - we are all very angry and the word is weak. New member since March, I have also been waiting for reimbursements since early April. I look forward to the end of my contract.
"&amp;"
What is completely absurd is that it takes the contribution on a fixed date, it does not respect their commitments and we are prisoners of their contracts.
The icing on the cake is total indifference to our recovery letters, nothing to do, everything is"&amp;" normal.")</f>
        <v>What can we say more - everything is written, we are all awaiting reimbursement - we are all very angry and the word is weak. New member since March, I have also been waiting for reimbursements since early April. I look forward to the end of my contract.
What is completely absurd is that it takes the contribution on a fixed date, it does not respect their commitments and we are prisoners of their contracts.
The icing on the cake is total indifference to our recovery letters, nothing to do, everything is normal.</v>
      </c>
    </row>
    <row r="619" ht="15.75" customHeight="1">
      <c r="A619" s="2">
        <v>4.0</v>
      </c>
      <c r="B619" s="2" t="s">
        <v>1791</v>
      </c>
      <c r="C619" s="2" t="s">
        <v>1792</v>
      </c>
      <c r="D619" s="2" t="s">
        <v>19</v>
      </c>
      <c r="E619" s="2" t="s">
        <v>20</v>
      </c>
      <c r="F619" s="2" t="s">
        <v>15</v>
      </c>
      <c r="G619" s="2" t="s">
        <v>1793</v>
      </c>
      <c r="H619" s="2" t="s">
        <v>45</v>
      </c>
      <c r="I619" s="2" t="str">
        <f>IFERROR(__xludf.DUMMYFUNCTION("GOOGLETRANSLATE(C619,""fr"",""en"")"),"The telephone contact is very pleasant, fast and very efficient, the staff are really listening to us. thanks to the whole team. Insurance to recommend.")</f>
        <v>The telephone contact is very pleasant, fast and very efficient, the staff are really listening to us. thanks to the whole team. Insurance to recommend.</v>
      </c>
    </row>
    <row r="620" ht="15.75" customHeight="1">
      <c r="A620" s="2">
        <v>5.0</v>
      </c>
      <c r="B620" s="2" t="s">
        <v>1794</v>
      </c>
      <c r="C620" s="2" t="s">
        <v>1795</v>
      </c>
      <c r="D620" s="2" t="s">
        <v>19</v>
      </c>
      <c r="E620" s="2" t="s">
        <v>20</v>
      </c>
      <c r="F620" s="2" t="s">
        <v>15</v>
      </c>
      <c r="G620" s="2" t="s">
        <v>627</v>
      </c>
      <c r="H620" s="2" t="s">
        <v>164</v>
      </c>
      <c r="I620" s="2" t="str">
        <f>IFERROR(__xludf.DUMMYFUNCTION("GOOGLETRANSLATE(C620,""fr"",""en"")"),"Simple and practical. Attractive price even for new drivers. I highly recommend direct insurance. This is my first subscription and I felt accompanied.")</f>
        <v>Simple and practical. Attractive price even for new drivers. I highly recommend direct insurance. This is my first subscription and I felt accompanied.</v>
      </c>
    </row>
    <row r="621" ht="15.75" customHeight="1">
      <c r="A621" s="2">
        <v>5.0</v>
      </c>
      <c r="B621" s="2" t="s">
        <v>1796</v>
      </c>
      <c r="C621" s="2" t="s">
        <v>1797</v>
      </c>
      <c r="D621" s="2" t="s">
        <v>19</v>
      </c>
      <c r="E621" s="2" t="s">
        <v>20</v>
      </c>
      <c r="F621" s="2" t="s">
        <v>15</v>
      </c>
      <c r="G621" s="2" t="s">
        <v>1798</v>
      </c>
      <c r="H621" s="2" t="s">
        <v>164</v>
      </c>
      <c r="I621" s="2" t="str">
        <f>IFERROR(__xludf.DUMMYFUNCTION("GOOGLETRANSLATE(C621,""fr"",""en"")"),"Membership is very simple and quick. The prices are competitive and even by taking all the options.
Direct Insurance takes care of the termination for us")</f>
        <v>Membership is very simple and quick. The prices are competitive and even by taking all the options.
Direct Insurance takes care of the termination for us</v>
      </c>
    </row>
    <row r="622" ht="15.75" customHeight="1">
      <c r="A622" s="2">
        <v>3.0</v>
      </c>
      <c r="B622" s="2" t="s">
        <v>1799</v>
      </c>
      <c r="C622" s="2" t="s">
        <v>1800</v>
      </c>
      <c r="D622" s="2" t="s">
        <v>337</v>
      </c>
      <c r="E622" s="2" t="s">
        <v>122</v>
      </c>
      <c r="F622" s="2" t="s">
        <v>15</v>
      </c>
      <c r="G622" s="2" t="s">
        <v>1801</v>
      </c>
      <c r="H622" s="2" t="s">
        <v>40</v>
      </c>
      <c r="I622" s="2" t="str">
        <f>IFERROR(__xludf.DUMMYFUNCTION("GOOGLETRANSLATE(C622,""fr"",""en"")"),"Copy of my letter sent to MAIF:
""Hello ,
            I have just received the negative opinion of the expert with regard to my declaration of claim of 05/26/2018. My veranda suffered a serious flood following a violent hailstorm in my neighborhood."&amp;"
Indeed, the Expert of the Texa cabinet judges that the work requested is more of a ""improvement"" than a ""restoration"". MAIF tells me that she could therefore not intervene. .
              I want to share with you my misunderstanding, and my deep d"&amp;"issatisfaction with the very restrictive interpretation of the contract (Raqvam balance)!
I do not understand this exclusion. Could I know which article, which page is this mention of ""improvement"" which would not be taken into account? I didn't find i"&amp;"t! Rather, it would be necessary to speak of a ""repair made necessary following a hailstorm""
      I point out to you that I have nothing against the MAIF advisers, nor against the expert. The reception has always been of great correction.
     I have"&amp;" been a member for more than forty years, and I am total honesty. I never asked for reimbursements for big damage. I pay an annual subscription of 1702 euros per year.
I still ask myself this question: should I remain a member of Maif? Do I have to"&amp;" change the company, what I don't want ...
I'm waiting for an answer,
Cordially,
Folder number: M180586298K
Member number: .0708284h
")</f>
        <v>Copy of my letter sent to MAIF:
"Hello ,
            I have just received the negative opinion of the expert with regard to my declaration of claim of 05/26/2018. My veranda suffered a serious flood following a violent hailstorm in my neighborhood.
Indeed, the Expert of the Texa cabinet judges that the work requested is more of a "improvement" than a "restoration". MAIF tells me that she could therefore not intervene. .
              I want to share with you my misunderstanding, and my deep dissatisfaction with the very restrictive interpretation of the contract (Raqvam balance)!
I do not understand this exclusion. Could I know which article, which page is this mention of "improvement" which would not be taken into account? I didn't find it! Rather, it would be necessary to speak of a "repair made necessary following a hailstorm"
      I point out to you that I have nothing against the MAIF advisers, nor against the expert. The reception has always been of great correction.
     I have been a member for more than forty years, and I am total honesty. I never asked for reimbursements for big damage. I pay an annual subscription of 1702 euros per year.
I still ask myself this question: should I remain a member of Maif? Do I have to change the company, what I don't want ...
I'm waiting for an answer,
Cordially,
Folder number: M180586298K
Member number: .0708284h
</v>
      </c>
    </row>
    <row r="623" ht="15.75" customHeight="1">
      <c r="A623" s="2">
        <v>1.0</v>
      </c>
      <c r="B623" s="2" t="s">
        <v>1802</v>
      </c>
      <c r="C623" s="2" t="s">
        <v>1803</v>
      </c>
      <c r="D623" s="2" t="s">
        <v>86</v>
      </c>
      <c r="E623" s="2" t="s">
        <v>61</v>
      </c>
      <c r="F623" s="2" t="s">
        <v>15</v>
      </c>
      <c r="G623" s="2" t="s">
        <v>1431</v>
      </c>
      <c r="H623" s="2" t="s">
        <v>21</v>
      </c>
      <c r="I623" s="2" t="str">
        <f>IFERROR(__xludf.DUMMYFUNCTION("GOOGLETRANSLATE(C623,""fr"",""en"")"),"NO!!!!
To flee!!!!
Does not do his teletransmission job
Telephone expectation ++++ when you want to reach them
To know:
Folder fees at registration (quickly debited)
No month offered")</f>
        <v>NO!!!!
To flee!!!!
Does not do his teletransmission job
Telephone expectation ++++ when you want to reach them
To know:
Folder fees at registration (quickly debited)
No month offered</v>
      </c>
    </row>
    <row r="624" ht="15.75" customHeight="1">
      <c r="A624" s="2">
        <v>4.0</v>
      </c>
      <c r="B624" s="2" t="s">
        <v>1804</v>
      </c>
      <c r="C624" s="2" t="s">
        <v>1805</v>
      </c>
      <c r="D624" s="2" t="s">
        <v>35</v>
      </c>
      <c r="E624" s="2" t="s">
        <v>20</v>
      </c>
      <c r="F624" s="2" t="s">
        <v>15</v>
      </c>
      <c r="G624" s="2" t="s">
        <v>1806</v>
      </c>
      <c r="H624" s="2" t="s">
        <v>131</v>
      </c>
      <c r="I624" s="2" t="str">
        <f>IFERROR(__xludf.DUMMYFUNCTION("GOOGLETRANSLATE(C624,""fr"",""en"")"),"I am satisfied with the serum is simple and easy. The guarantees correspond to my will and the advisers are very attentive to our request for information.")</f>
        <v>I am satisfied with the serum is simple and easy. The guarantees correspond to my will and the advisers are very attentive to our request for information.</v>
      </c>
    </row>
    <row r="625" ht="15.75" customHeight="1">
      <c r="A625" s="2">
        <v>1.0</v>
      </c>
      <c r="B625" s="2" t="s">
        <v>1807</v>
      </c>
      <c r="C625" s="2" t="s">
        <v>1808</v>
      </c>
      <c r="D625" s="2" t="s">
        <v>111</v>
      </c>
      <c r="E625" s="2" t="s">
        <v>214</v>
      </c>
      <c r="F625" s="2" t="s">
        <v>15</v>
      </c>
      <c r="G625" s="2" t="s">
        <v>1809</v>
      </c>
      <c r="H625" s="2" t="s">
        <v>26</v>
      </c>
      <c r="I625" s="2" t="str">
        <f>IFERROR(__xludf.DUMMYFUNCTION("GOOGLETRANSLATE(C625,""fr"",""en"")"),"Disappointing I am on the stop of then on the 31st OUT is it on December 31 and I am still not compensating I await my additional salary It is unfair do not take this insurance it is scandalous we are in financially shit and They tell us we have to wait t"&amp;"his cca it takes 5 months I am waiting")</f>
        <v>Disappointing I am on the stop of then on the 31st OUT is it on December 31 and I am still not compensating I await my additional salary It is unfair do not take this insurance it is scandalous we are in financially shit and They tell us we have to wait this cca it takes 5 months I am waiting</v>
      </c>
    </row>
    <row r="626" ht="15.75" customHeight="1">
      <c r="A626" s="2">
        <v>1.0</v>
      </c>
      <c r="B626" s="2" t="s">
        <v>1810</v>
      </c>
      <c r="C626" s="2" t="s">
        <v>1811</v>
      </c>
      <c r="D626" s="2" t="s">
        <v>43</v>
      </c>
      <c r="E626" s="2" t="s">
        <v>20</v>
      </c>
      <c r="F626" s="2" t="s">
        <v>15</v>
      </c>
      <c r="G626" s="2" t="s">
        <v>1812</v>
      </c>
      <c r="H626" s="2" t="s">
        <v>260</v>
      </c>
      <c r="I626" s="2" t="str">
        <f>IFERROR(__xludf.DUMMYFUNCTION("GOOGLETRANSLATE(C626,""fr"",""en"")"),"Disappointed. . After a year insured with them ... They increases me by 4 euros per month ... without explanations .. I have a bonus .. no claim .. nothing to do with customers ..")</f>
        <v>Disappointed. . After a year insured with them ... They increases me by 4 euros per month ... without explanations .. I have a bonus .. no claim .. nothing to do with customers ..</v>
      </c>
    </row>
    <row r="627" ht="15.75" customHeight="1">
      <c r="A627" s="2">
        <v>2.0</v>
      </c>
      <c r="B627" s="2" t="s">
        <v>1813</v>
      </c>
      <c r="C627" s="2" t="s">
        <v>1814</v>
      </c>
      <c r="D627" s="2" t="s">
        <v>285</v>
      </c>
      <c r="E627" s="2" t="s">
        <v>20</v>
      </c>
      <c r="F627" s="2" t="s">
        <v>15</v>
      </c>
      <c r="G627" s="2" t="s">
        <v>1179</v>
      </c>
      <c r="H627" s="2" t="s">
        <v>501</v>
      </c>
      <c r="I627" s="2" t="str">
        <f>IFERROR(__xludf.DUMMYFUNCTION("GOOGLETRANSLATE(C627,""fr"",""en"")"),"My accident occurred on November 10, 2017, with no liability engaged is currently still not settled, the expert's report is 12/14/17, therefore according to article 1153 These regulations were to be carried out in the month Who followed, the documents sen"&amp;"t that get lost, they must remind us but never remind us, (and this when they pick up) ... 2 months and still no news from my reimbursement despite my daily calls.")</f>
        <v>My accident occurred on November 10, 2017, with no liability engaged is currently still not settled, the expert's report is 12/14/17, therefore according to article 1153 These regulations were to be carried out in the month Who followed, the documents sent that get lost, they must remind us but never remind us, (and this when they pick up) ... 2 months and still no news from my reimbursement despite my daily calls.</v>
      </c>
    </row>
    <row r="628" ht="15.75" customHeight="1">
      <c r="A628" s="2">
        <v>1.0</v>
      </c>
      <c r="B628" s="2" t="s">
        <v>1815</v>
      </c>
      <c r="C628" s="2" t="s">
        <v>1816</v>
      </c>
      <c r="D628" s="2" t="s">
        <v>77</v>
      </c>
      <c r="E628" s="2" t="s">
        <v>61</v>
      </c>
      <c r="F628" s="2" t="s">
        <v>15</v>
      </c>
      <c r="G628" s="2" t="s">
        <v>1817</v>
      </c>
      <c r="H628" s="2" t="s">
        <v>127</v>
      </c>
      <c r="I628" s="2" t="str">
        <f>IFERROR(__xludf.DUMMYFUNCTION("GOOGLETRANSLATE(C628,""fr"",""en"")"),"Everything is perfect with generation, all of the time that we do not speak complaint.
Their sales service welcomes you very well and this I cannot deny it. Commercial arguments are intelligent and do not say everything. For example ""you have 30 calen"&amp;"dar days to retract"" it is the short version of the salesperson. The long version of customer service during withdrawal is ""you have 30 calendar days to withdraw provided that you have no refund of care"".
That said, it is the law, he is perfectly ri"&amp;"ght but the commercial arguments have shorter arguments. As the customer service replied clearly ""it was in your contract now you are engaged with us for a year"". Good on this no benefit of the doubt is my fault.
I think that we should therefore not "&amp;"hesitate Mr. Salesman to use your Complete Commercial Arguments.
Second point, Génération takes advantage of an interactive card to find health partners with whom you can use the third -party payment. I have reported several times that this card was no"&amp;"t up to date and that the contract they have passed with these professionals are mainly used for these partners to attract customers but they do not practice the paid.
So I reported this problem when applying for withdrawal, customer service replied """&amp;"It is up to you to moral and tell them that they have made a commitment with us"".
So if I understand correctly, I pay a service and it is it for me to go and check if the partners do their job? Maybe I missed an episode ....
To summarize I cannot w"&amp;"ithdraw, it is the law and I agree. I pay a service that I cannot use fully and I also have to morality to health partners.
I have great dental care to be carried out not for aesthetics but for health reasons. The only answer given to me by customer se"&amp;"rvice ""me, sir I have no solution .....""
")</f>
        <v>Everything is perfect with generation, all of the time that we do not speak complaint.
Their sales service welcomes you very well and this I cannot deny it. Commercial arguments are intelligent and do not say everything. For example "you have 30 calendar days to retract" it is the short version of the salesperson. The long version of customer service during withdrawal is "you have 30 calendar days to withdraw provided that you have no refund of care".
That said, it is the law, he is perfectly right but the commercial arguments have shorter arguments. As the customer service replied clearly "it was in your contract now you are engaged with us for a year". Good on this no benefit of the doubt is my fault.
I think that we should therefore not hesitate Mr. Salesman to use your Complete Commercial Arguments.
Second point, Génération takes advantage of an interactive card to find health partners with whom you can use the third -party payment. I have reported several times that this card was not up to date and that the contract they have passed with these professionals are mainly used for these partners to attract customers but they do not practice the paid.
So I reported this problem when applying for withdrawal, customer service replied "It is up to you to moral and tell them that they have made a commitment with us".
So if I understand correctly, I pay a service and it is it for me to go and check if the partners do their job? Maybe I missed an episode ....
To summarize I cannot withdraw, it is the law and I agree. I pay a service that I cannot use fully and I also have to morality to health partners.
I have great dental care to be carried out not for aesthetics but for health reasons. The only answer given to me by customer service "me, sir I have no solution ....."
</v>
      </c>
    </row>
    <row r="629" ht="15.75" customHeight="1">
      <c r="A629" s="2">
        <v>3.0</v>
      </c>
      <c r="B629" s="2" t="s">
        <v>1818</v>
      </c>
      <c r="C629" s="2" t="s">
        <v>1819</v>
      </c>
      <c r="D629" s="2" t="s">
        <v>35</v>
      </c>
      <c r="E629" s="2" t="s">
        <v>20</v>
      </c>
      <c r="F629" s="2" t="s">
        <v>15</v>
      </c>
      <c r="G629" s="2" t="s">
        <v>201</v>
      </c>
      <c r="H629" s="2" t="s">
        <v>202</v>
      </c>
      <c r="I629" s="2" t="str">
        <f>IFERROR(__xludf.DUMMYFUNCTION("GOOGLETRANSLATE(C629,""fr"",""en"")"),"Like what Facebook is used for everything because in relation to anais loaded customers everything has been resolved for a concern for the end of the warranty on a vehicle I strongly recommend Facebook L'Olivier if you encounter problems")</f>
        <v>Like what Facebook is used for everything because in relation to anais loaded customers everything has been resolved for a concern for the end of the warranty on a vehicle I strongly recommend Facebook L'Olivier if you encounter problems</v>
      </c>
    </row>
    <row r="630" ht="15.75" customHeight="1">
      <c r="A630" s="2">
        <v>3.0</v>
      </c>
      <c r="B630" s="2" t="s">
        <v>1820</v>
      </c>
      <c r="C630" s="2" t="s">
        <v>1821</v>
      </c>
      <c r="D630" s="2" t="s">
        <v>43</v>
      </c>
      <c r="E630" s="2" t="s">
        <v>122</v>
      </c>
      <c r="F630" s="2" t="s">
        <v>15</v>
      </c>
      <c r="G630" s="2" t="s">
        <v>116</v>
      </c>
      <c r="H630" s="2" t="s">
        <v>116</v>
      </c>
      <c r="I630" s="2" t="str">
        <f>IFERROR(__xludf.DUMMYFUNCTION("GOOGLETRANSLATE(C630,""fr"",""en"")"),"In the middle of the pandemic, GMF leaves no possibility of sending documents by email on the home page of its website, except to make a complaint, which implies passing insurmountable obstacles ...
If the secure email account linked to the open contract"&amp;" for common goods of a couple is open in the name of one of the deceased spouses, logically (absolutely judicious for the followers of the Ubuesque), this email account becomes inactible and So the surviving spouse cannot terminate contracts or produce do"&amp;"cuments by Internet ...
No solution by the home page, no more solution by a secure email account that has become inactive and therefore no transmission of documents by internet possible in full pandemic.
A know-how ????
Consequently, it is strange to h"&amp;"ave an insurance company which forgets that as an employer, it legally has an obligation of result for the safety at work of its employees. She also exhibits her clients who can only make an appointment if they want to act in zero paper in the name of sus"&amp;"tainable development!")</f>
        <v>In the middle of the pandemic, GMF leaves no possibility of sending documents by email on the home page of its website, except to make a complaint, which implies passing insurmountable obstacles ...
If the secure email account linked to the open contract for common goods of a couple is open in the name of one of the deceased spouses, logically (absolutely judicious for the followers of the Ubuesque), this email account becomes inactible and So the surviving spouse cannot terminate contracts or produce documents by Internet ...
No solution by the home page, no more solution by a secure email account that has become inactive and therefore no transmission of documents by internet possible in full pandemic.
A know-how ????
Consequently, it is strange to have an insurance company which forgets that as an employer, it legally has an obligation of result for the safety at work of its employees. She also exhibits her clients who can only make an appointment if they want to act in zero paper in the name of sustainable development!</v>
      </c>
    </row>
    <row r="631" ht="15.75" customHeight="1">
      <c r="A631" s="2">
        <v>4.0</v>
      </c>
      <c r="B631" s="2" t="s">
        <v>1822</v>
      </c>
      <c r="C631" s="2" t="s">
        <v>1823</v>
      </c>
      <c r="D631" s="2" t="s">
        <v>35</v>
      </c>
      <c r="E631" s="2" t="s">
        <v>20</v>
      </c>
      <c r="F631" s="2" t="s">
        <v>15</v>
      </c>
      <c r="G631" s="2" t="s">
        <v>182</v>
      </c>
      <c r="H631" s="2" t="s">
        <v>45</v>
      </c>
      <c r="I631" s="2" t="str">
        <f>IFERROR(__xludf.DUMMYFUNCTION("GOOGLETRANSLATE(C631,""fr"",""en"")"),"Very satisfied with the fluid and very clear site, price level it suits me, fast service. And advice well level insurance pack are very clear and precise .... thank you the olive tree ..")</f>
        <v>Very satisfied with the fluid and very clear site, price level it suits me, fast service. And advice well level insurance pack are very clear and precise .... thank you the olive tree ..</v>
      </c>
    </row>
    <row r="632" ht="15.75" customHeight="1">
      <c r="A632" s="2">
        <v>3.0</v>
      </c>
      <c r="B632" s="2" t="s">
        <v>1824</v>
      </c>
      <c r="C632" s="2" t="s">
        <v>1825</v>
      </c>
      <c r="D632" s="2" t="s">
        <v>559</v>
      </c>
      <c r="E632" s="2" t="s">
        <v>214</v>
      </c>
      <c r="F632" s="2" t="s">
        <v>15</v>
      </c>
      <c r="G632" s="2" t="s">
        <v>1826</v>
      </c>
      <c r="H632" s="2" t="s">
        <v>701</v>
      </c>
      <c r="I632" s="2" t="str">
        <f>IFERROR(__xludf.DUMMYFUNCTION("GOOGLETRANSLATE(C632,""fr"",""en"")"),"6 months that my spouse receives a invalidity pension and 6 months that we expect the provident of the Generali. No information, both on the level of compensation (for which my spouse contributed for 15 years), as on the assembly of the file.
We do not h"&amp;"ave the right to call them and when by miracle we have a person, they are always unable to give us information. The delay is unacceptable and a strong impact on the health of my spouse (the disease is already there, the general imposes financial PB.
Do y"&amp;"ou know what remedies can we have?")</f>
        <v>6 months that my spouse receives a invalidity pension and 6 months that we expect the provident of the Generali. No information, both on the level of compensation (for which my spouse contributed for 15 years), as on the assembly of the file.
We do not have the right to call them and when by miracle we have a person, they are always unable to give us information. The delay is unacceptable and a strong impact on the health of my spouse (the disease is already there, the general imposes financial PB.
Do you know what remedies can we have?</v>
      </c>
    </row>
    <row r="633" ht="15.75" customHeight="1">
      <c r="A633" s="2">
        <v>1.0</v>
      </c>
      <c r="B633" s="2" t="s">
        <v>1827</v>
      </c>
      <c r="C633" s="2" t="s">
        <v>1828</v>
      </c>
      <c r="D633" s="2" t="s">
        <v>1014</v>
      </c>
      <c r="E633" s="2" t="s">
        <v>122</v>
      </c>
      <c r="F633" s="2" t="s">
        <v>15</v>
      </c>
      <c r="G633" s="2" t="s">
        <v>215</v>
      </c>
      <c r="H633" s="2" t="s">
        <v>216</v>
      </c>
      <c r="I633" s="2" t="str">
        <f>IFERROR(__xludf.DUMMYFUNCTION("GOOGLETRANSLATE(C633,""fr"",""en"")"),"So, I unfortunately dropped a saucepan on our brand new worktop, a beautiful Oreole on it and only 400 euros for replacement (central island).
Well no I did not subscribe to a famous option ...
So we are insured but we do not know why ...
To flee and b"&amp;"e careful what you are insured and not.
With them a domestic accident is not considered to be detrimental.
Anyway, as soon as we can change.
It is this known insurance but if it is not to be compensated for such a small thing I imagine even more the da"&amp;"y when something serious happens.
")</f>
        <v>So, I unfortunately dropped a saucepan on our brand new worktop, a beautiful Oreole on it and only 400 euros for replacement (central island).
Well no I did not subscribe to a famous option ...
So we are insured but we do not know why ...
To flee and be careful what you are insured and not.
With them a domestic accident is not considered to be detrimental.
Anyway, as soon as we can change.
It is this known insurance but if it is not to be compensated for such a small thing I imagine even more the day when something serious happens.
</v>
      </c>
    </row>
    <row r="634" ht="15.75" customHeight="1">
      <c r="A634" s="2">
        <v>3.0</v>
      </c>
      <c r="B634" s="2" t="s">
        <v>1829</v>
      </c>
      <c r="C634" s="2" t="s">
        <v>1830</v>
      </c>
      <c r="D634" s="2" t="s">
        <v>19</v>
      </c>
      <c r="E634" s="2" t="s">
        <v>20</v>
      </c>
      <c r="F634" s="2" t="s">
        <v>15</v>
      </c>
      <c r="G634" s="2" t="s">
        <v>211</v>
      </c>
      <c r="H634" s="2" t="s">
        <v>32</v>
      </c>
      <c r="I634" s="2" t="str">
        <f>IFERROR(__xludf.DUMMYFUNCTION("GOOGLETRANSLATE(C634,""fr"",""en"")"),"very fast nothing to say competition
Now take care of my old Macif contract so that I can recover the too perceived
 thank you in advance")</f>
        <v>very fast nothing to say competition
Now take care of my old Macif contract so that I can recover the too perceived
 thank you in advance</v>
      </c>
    </row>
    <row r="635" ht="15.75" customHeight="1">
      <c r="A635" s="2">
        <v>1.0</v>
      </c>
      <c r="B635" s="2" t="s">
        <v>1831</v>
      </c>
      <c r="C635" s="2" t="s">
        <v>1832</v>
      </c>
      <c r="D635" s="2" t="s">
        <v>350</v>
      </c>
      <c r="E635" s="2" t="s">
        <v>61</v>
      </c>
      <c r="F635" s="2" t="s">
        <v>15</v>
      </c>
      <c r="G635" s="2" t="s">
        <v>1833</v>
      </c>
      <c r="H635" s="2" t="s">
        <v>323</v>
      </c>
      <c r="I635" s="2" t="str">
        <f>IFERROR(__xludf.DUMMYFUNCTION("GOOGLETRANSLATE(C635,""fr"",""en"")"),"They are ineffective, you never have the right information, they do not ask you for the right documents. And so we incomprehensible reimbursement deadlines")</f>
        <v>They are ineffective, you never have the right information, they do not ask you for the right documents. And so we incomprehensible reimbursement deadlines</v>
      </c>
    </row>
    <row r="636" ht="15.75" customHeight="1">
      <c r="A636" s="2">
        <v>4.0</v>
      </c>
      <c r="B636" s="2" t="s">
        <v>1834</v>
      </c>
      <c r="C636" s="2" t="s">
        <v>1835</v>
      </c>
      <c r="D636" s="2" t="s">
        <v>245</v>
      </c>
      <c r="E636" s="2" t="s">
        <v>61</v>
      </c>
      <c r="F636" s="2" t="s">
        <v>15</v>
      </c>
      <c r="G636" s="2" t="s">
        <v>1463</v>
      </c>
      <c r="H636" s="2" t="s">
        <v>21</v>
      </c>
      <c r="I636" s="2" t="str">
        <f>IFERROR(__xludf.DUMMYFUNCTION("GOOGLETRANSLATE(C636,""fr"",""en"")"),"Hello, Jesuis very satisfied with the Mami enrelation with Emeline who informed me well on my request, speed and loving in her response.
               Thank you")</f>
        <v>Hello, Jesuis very satisfied with the Mami enrelation with Emeline who informed me well on my request, speed and loving in her response.
               Thank you</v>
      </c>
    </row>
    <row r="637" ht="15.75" customHeight="1">
      <c r="A637" s="2">
        <v>1.0</v>
      </c>
      <c r="B637" s="2" t="s">
        <v>1836</v>
      </c>
      <c r="C637" s="2" t="s">
        <v>1837</v>
      </c>
      <c r="D637" s="2" t="s">
        <v>19</v>
      </c>
      <c r="E637" s="2" t="s">
        <v>20</v>
      </c>
      <c r="F637" s="2" t="s">
        <v>15</v>
      </c>
      <c r="G637" s="2" t="s">
        <v>570</v>
      </c>
      <c r="H637" s="2" t="s">
        <v>32</v>
      </c>
      <c r="I637" s="2" t="str">
        <f>IFERROR(__xludf.DUMMYFUNCTION("GOOGLETRANSLATE(C637,""fr"",""en"")"),"I am not satisfied with the service
No possibility of download an info recovery
In addition, we wait at such more than 20 minutes? Without having such")</f>
        <v>I am not satisfied with the service
No possibility of download an info recovery
In addition, we wait at such more than 20 minutes? Without having such</v>
      </c>
    </row>
    <row r="638" ht="15.75" customHeight="1">
      <c r="A638" s="2">
        <v>3.0</v>
      </c>
      <c r="B638" s="2" t="s">
        <v>1838</v>
      </c>
      <c r="C638" s="2" t="s">
        <v>1839</v>
      </c>
      <c r="D638" s="2" t="s">
        <v>48</v>
      </c>
      <c r="E638" s="2" t="s">
        <v>14</v>
      </c>
      <c r="F638" s="2" t="s">
        <v>15</v>
      </c>
      <c r="G638" s="2" t="s">
        <v>1840</v>
      </c>
      <c r="H638" s="2" t="s">
        <v>416</v>
      </c>
      <c r="I638" s="2" t="str">
        <f>IFERROR(__xludf.DUMMYFUNCTION("GOOGLETRANSLATE(C638,""fr"",""en"")"),"Hello,
Like many of you scooter HS since March 8 and no news from insurance. Only the expert informs me thank you because insurance nothing.
Of this insurance This scooter is an essential tool for me. And I’ve been in a hassle for more than one self. I "&amp;"am not responsible for the accident and I have two witnesses. But it does not advance any communication see I disturb ..., it is not worth contacting us.
Reassuring telephone call No ...
It will be necessary if it continues that I terminate my contrac"&amp;"ts with them.")</f>
        <v>Hello,
Like many of you scooter HS since March 8 and no news from insurance. Only the expert informs me thank you because insurance nothing.
Of this insurance This scooter is an essential tool for me. And I’ve been in a hassle for more than one self. I am not responsible for the accident and I have two witnesses. But it does not advance any communication see I disturb ..., it is not worth contacting us.
Reassuring telephone call No ...
It will be necessary if it continues that I terminate my contracts with them.</v>
      </c>
    </row>
    <row r="639" ht="15.75" customHeight="1">
      <c r="A639" s="2">
        <v>5.0</v>
      </c>
      <c r="B639" s="2" t="s">
        <v>1841</v>
      </c>
      <c r="C639" s="2" t="s">
        <v>1842</v>
      </c>
      <c r="D639" s="2" t="s">
        <v>442</v>
      </c>
      <c r="E639" s="2" t="s">
        <v>30</v>
      </c>
      <c r="F639" s="2" t="s">
        <v>15</v>
      </c>
      <c r="G639" s="2" t="s">
        <v>1843</v>
      </c>
      <c r="H639" s="2" t="s">
        <v>32</v>
      </c>
      <c r="I639" s="2" t="str">
        <f>IFERROR(__xludf.DUMMYFUNCTION("GOOGLETRANSLATE(C639,""fr"",""en"")"),"Very good surprise that Zen Up, discovered thanks to the ferrets.
Very good contact with the salesperson Benjamin, clear and succinct explanations.
Very competitive prices and at the same time synonymous with seriousness.")</f>
        <v>Very good surprise that Zen Up, discovered thanks to the ferrets.
Very good contact with the salesperson Benjamin, clear and succinct explanations.
Very competitive prices and at the same time synonymous with seriousness.</v>
      </c>
    </row>
    <row r="640" ht="15.75" customHeight="1">
      <c r="A640" s="2">
        <v>4.0</v>
      </c>
      <c r="B640" s="2" t="s">
        <v>1844</v>
      </c>
      <c r="C640" s="2" t="s">
        <v>1845</v>
      </c>
      <c r="D640" s="2" t="s">
        <v>171</v>
      </c>
      <c r="E640" s="2" t="s">
        <v>14</v>
      </c>
      <c r="F640" s="2" t="s">
        <v>15</v>
      </c>
      <c r="G640" s="2" t="s">
        <v>36</v>
      </c>
      <c r="H640" s="2" t="s">
        <v>32</v>
      </c>
      <c r="I640" s="2" t="str">
        <f>IFERROR(__xludf.DUMMYFUNCTION("GOOGLETRANSLATE(C640,""fr"",""en"")"),"Satisfied I find that your company goes to the essentials with optimal efficiency
Thank you
I can't find anything to add so you ask")</f>
        <v>Satisfied I find that your company goes to the essentials with optimal efficiency
Thank you
I can't find anything to add so you ask</v>
      </c>
    </row>
    <row r="641" ht="15.75" customHeight="1">
      <c r="A641" s="2">
        <v>2.0</v>
      </c>
      <c r="B641" s="2" t="s">
        <v>1846</v>
      </c>
      <c r="C641" s="2" t="s">
        <v>1847</v>
      </c>
      <c r="D641" s="2" t="s">
        <v>337</v>
      </c>
      <c r="E641" s="2" t="s">
        <v>20</v>
      </c>
      <c r="F641" s="2" t="s">
        <v>15</v>
      </c>
      <c r="G641" s="2" t="s">
        <v>141</v>
      </c>
      <c r="H641" s="2" t="s">
        <v>127</v>
      </c>
      <c r="I641" s="2" t="str">
        <f>IFERROR(__xludf.DUMMYFUNCTION("GOOGLETRANSLATE(C641,""fr"",""en"")"),"MAIF customers for over 30 years. Home contracts, car and motorcycle that are renewed year after year without comparing competition. Bonus at 50 percent and no accidents for more than 15 years at home. Customers not to lose, what. But they did it. I want "&amp;"to change the type of contract to take advantage of a new formula, which they call 4 plus 2, auto more motorcycle, which suited me. A management engineering at headquarters decides that my motorcycle which has been insured at home since 2005 cannot be acc"&amp;"epted in this formula because they have decided that it is sports category. They alone think like that. Honda, who made her considered it road, therefore, complaint. Some advisers defend my position but, walled in its rigidity and in its absurdity, the en"&amp;"lightened decision maker, as there are in politics, remains firm in his boots. Maif says she listens but she is deaf. Finally, if they don't want to get along I don't want her anymore. With my history and bonus I had the choice elsewhere. But there was a "&amp;"problem. Despite my termination letter, on time, MAIF incorrectly levied to me the annual subscription. I show up at home and ask for the immediate reimbursement of my money. The tone rises and as I do not want to get out of the locals without having sati"&amp;"sfied they call the police. The police are coming. A policewoman asks me to go out with her and on the sidewalk advises me as a good friend to attack them in court for having done this sample among other sympathetic comments on insurance companies. One th"&amp;"ing is advertising on TV with their naive drawings and their messages of militant insurers and another is daily reality. I do not know if the new company will not be worse than maif but it is already much cheaper, which is not negligible. Morality. Do not"&amp;" wait until you have a problem to find that insurance is not good. You can know it as soon as you ask them a little commercial sense and good provision. For this, Maif does not come out of mediocrity, activist or not.")</f>
        <v>MAIF customers for over 30 years. Home contracts, car and motorcycle that are renewed year after year without comparing competition. Bonus at 50 percent and no accidents for more than 15 years at home. Customers not to lose, what. But they did it. I want to change the type of contract to take advantage of a new formula, which they call 4 plus 2, auto more motorcycle, which suited me. A management engineering at headquarters decides that my motorcycle which has been insured at home since 2005 cannot be accepted in this formula because they have decided that it is sports category. They alone think like that. Honda, who made her considered it road, therefore, complaint. Some advisers defend my position but, walled in its rigidity and in its absurdity, the enlightened decision maker, as there are in politics, remains firm in his boots. Maif says she listens but she is deaf. Finally, if they don't want to get along I don't want her anymore. With my history and bonus I had the choice elsewhere. But there was a problem. Despite my termination letter, on time, MAIF incorrectly levied to me the annual subscription. I show up at home and ask for the immediate reimbursement of my money. The tone rises and as I do not want to get out of the locals without having satisfied they call the police. The police are coming. A policewoman asks me to go out with her and on the sidewalk advises me as a good friend to attack them in court for having done this sample among other sympathetic comments on insurance companies. One thing is advertising on TV with their naive drawings and their messages of militant insurers and another is daily reality. I do not know if the new company will not be worse than maif but it is already much cheaper, which is not negligible. Morality. Do not wait until you have a problem to find that insurance is not good. You can know it as soon as you ask them a little commercial sense and good provision. For this, Maif does not come out of mediocrity, activist or not.</v>
      </c>
    </row>
    <row r="642" ht="15.75" customHeight="1">
      <c r="A642" s="2">
        <v>1.0</v>
      </c>
      <c r="B642" s="2" t="s">
        <v>1848</v>
      </c>
      <c r="C642" s="2" t="s">
        <v>1849</v>
      </c>
      <c r="D642" s="2" t="s">
        <v>19</v>
      </c>
      <c r="E642" s="2" t="s">
        <v>20</v>
      </c>
      <c r="F642" s="2" t="s">
        <v>15</v>
      </c>
      <c r="G642" s="2" t="s">
        <v>1850</v>
      </c>
      <c r="H642" s="2" t="s">
        <v>332</v>
      </c>
      <c r="I642" s="2" t="str">
        <f>IFERROR(__xludf.DUMMYFUNCTION("GOOGLETRANSLATE(C642,""fr"",""en"")"),"Publishing POST FOOD 150 % STOISTRE During 10 years xxxxxxxxxxxxxxxxxxxxxxxxxxxxxxxxxxxxxxxxxxxxxxxxxxxxxxxxxxxxxxxxxxxxxxxxxxxxxxxxxxxxxxxxxxxxxxxxxxxxxxxxxxxxxxxxxxxxxxxxxxxxxxxxxxxxxxxxxxxxxxxxxxxxxxxxxxxxxxxxxxxxxxxxxxxxxxxxxxxxxxxxxxxxxxxxxxxxxxxxxxx"&amp;"xxxxxxxxxxxxxxxxxxate")</f>
        <v>Publishing POST FOOD 150 % STOISTRE During 10 years xxxxxxxxxxxxxxxxxxxxxxxxxxxxxxxxxxxxxxxxxxxxxxxxxxxxxxxxxxxxxxxxxxxxxxxxxxxxxxxxxxxxxxxxxxxxxxxxxxxxxxxxxxxxxxxxxxxxxxxxxxxxxxxxxxxxxxxxxxxxxxxxxxxxxxxxxxxxxxxxxxxxxxxxxxxxxxxxxxxxxxxxxxxxxxxxxxxxxxxxxxxxxxxxxxxxxxxxxxxxxate</v>
      </c>
    </row>
    <row r="643" ht="15.75" customHeight="1">
      <c r="A643" s="2">
        <v>3.0</v>
      </c>
      <c r="B643" s="2" t="s">
        <v>1851</v>
      </c>
      <c r="C643" s="2" t="s">
        <v>1852</v>
      </c>
      <c r="D643" s="2" t="s">
        <v>19</v>
      </c>
      <c r="E643" s="2" t="s">
        <v>20</v>
      </c>
      <c r="F643" s="2" t="s">
        <v>15</v>
      </c>
      <c r="G643" s="2" t="s">
        <v>91</v>
      </c>
      <c r="H643" s="2" t="s">
        <v>92</v>
      </c>
      <c r="I643" s="2" t="str">
        <f>IFERROR(__xludf.DUMMYFUNCTION("GOOGLETRANSLATE(C643,""fr"",""en"")"),"I was announced 617.38 euros on the phone and the price to be set is higher! I don't really understand the reason, please keep me informed of the reason for this price difference.")</f>
        <v>I was announced 617.38 euros on the phone and the price to be set is higher! I don't really understand the reason, please keep me informed of the reason for this price difference.</v>
      </c>
    </row>
    <row r="644" ht="15.75" customHeight="1">
      <c r="A644" s="2">
        <v>1.0</v>
      </c>
      <c r="B644" s="2" t="s">
        <v>1853</v>
      </c>
      <c r="C644" s="2" t="s">
        <v>1854</v>
      </c>
      <c r="D644" s="2" t="s">
        <v>60</v>
      </c>
      <c r="E644" s="2" t="s">
        <v>61</v>
      </c>
      <c r="F644" s="2" t="s">
        <v>15</v>
      </c>
      <c r="G644" s="2" t="s">
        <v>319</v>
      </c>
      <c r="H644" s="2" t="s">
        <v>21</v>
      </c>
      <c r="I644" s="2" t="str">
        <f>IFERROR(__xludf.DUMMYFUNCTION("GOOGLETRANSLATE(C644,""fr"",""en"")"),"A disappointing mutual.
1) You will only be reimbursed if you take the most expensive option. Do not envisage the low or intermediate option.
2) poor organization. I unsubscribed my husband 3 months ago, the change is not automatically done (and ver"&amp;"y difficult) for Ameli.
I have a document proving the radiation for 1 month, to make the change myself (2 phone calls, 3 emails). Customer service has still not returned to me because ""it is a particular person who provides it"". However, it's a simple "&amp;"paper!
3) Bad customer service. After asking for a radiation document for my husband, I was answered by email ""We have terminated your son"" ... - '
I must admit that the call center is very kind, but has no power of action.
I really have the impr"&amp;"ession that we laugh at me. Yet my emails are polite, factual, and I don't ask for much apart from a document!
We have had no refund for my husband for 3 months.
Run away")</f>
        <v>A disappointing mutual.
1) You will only be reimbursed if you take the most expensive option. Do not envisage the low or intermediate option.
2) poor organization. I unsubscribed my husband 3 months ago, the change is not automatically done (and very difficult) for Ameli.
I have a document proving the radiation for 1 month, to make the change myself (2 phone calls, 3 emails). Customer service has still not returned to me because "it is a particular person who provides it". However, it's a simple paper!
3) Bad customer service. After asking for a radiation document for my husband, I was answered by email "We have terminated your son" ... - '
I must admit that the call center is very kind, but has no power of action.
I really have the impression that we laugh at me. Yet my emails are polite, factual, and I don't ask for much apart from a document!
We have had no refund for my husband for 3 months.
Run away</v>
      </c>
    </row>
    <row r="645" ht="15.75" customHeight="1">
      <c r="A645" s="2">
        <v>4.0</v>
      </c>
      <c r="B645" s="2" t="s">
        <v>1855</v>
      </c>
      <c r="C645" s="2" t="s">
        <v>1856</v>
      </c>
      <c r="D645" s="2" t="s">
        <v>245</v>
      </c>
      <c r="E645" s="2" t="s">
        <v>61</v>
      </c>
      <c r="F645" s="2" t="s">
        <v>15</v>
      </c>
      <c r="G645" s="2" t="s">
        <v>1857</v>
      </c>
      <c r="H645" s="2" t="s">
        <v>534</v>
      </c>
      <c r="I645" s="2" t="str">
        <f>IFERROR(__xludf.DUMMYFUNCTION("GOOGLETRANSLATE(C645,""fr"",""en"")"),"Santiane is very attentive to customers and takes our request into account it is very pleasant.")</f>
        <v>Santiane is very attentive to customers and takes our request into account it is very pleasant.</v>
      </c>
    </row>
    <row r="646" ht="15.75" customHeight="1">
      <c r="A646" s="2">
        <v>4.0</v>
      </c>
      <c r="B646" s="2" t="s">
        <v>1858</v>
      </c>
      <c r="C646" s="2" t="s">
        <v>1859</v>
      </c>
      <c r="D646" s="2" t="s">
        <v>19</v>
      </c>
      <c r="E646" s="2" t="s">
        <v>20</v>
      </c>
      <c r="F646" s="2" t="s">
        <v>15</v>
      </c>
      <c r="G646" s="2" t="s">
        <v>1860</v>
      </c>
      <c r="H646" s="2" t="s">
        <v>92</v>
      </c>
      <c r="I646" s="2" t="str">
        <f>IFERROR(__xludf.DUMMYFUNCTION("GOOGLETRANSLATE(C646,""fr"",""en"")"),"Happy with services and processing of files.
I hope that if my son continues a rather gentle and prudent conduct, he will have an important discount for the renewal of his contract.")</f>
        <v>Happy with services and processing of files.
I hope that if my son continues a rather gentle and prudent conduct, he will have an important discount for the renewal of his contract.</v>
      </c>
    </row>
    <row r="647" ht="15.75" customHeight="1">
      <c r="A647" s="2">
        <v>4.0</v>
      </c>
      <c r="B647" s="2" t="s">
        <v>1861</v>
      </c>
      <c r="C647" s="2" t="s">
        <v>1862</v>
      </c>
      <c r="D647" s="2" t="s">
        <v>35</v>
      </c>
      <c r="E647" s="2" t="s">
        <v>20</v>
      </c>
      <c r="F647" s="2" t="s">
        <v>15</v>
      </c>
      <c r="G647" s="2" t="s">
        <v>1860</v>
      </c>
      <c r="H647" s="2" t="s">
        <v>92</v>
      </c>
      <c r="I647" s="2" t="str">
        <f>IFERROR(__xludf.DUMMYFUNCTION("GOOGLETRANSLATE(C647,""fr"",""en"")"),"Answer, following a request on a fast comparator site. Cordial and kind and smiling interlocutor, even if no face -to -face. Company only online.")</f>
        <v>Answer, following a request on a fast comparator site. Cordial and kind and smiling interlocutor, even if no face -to -face. Company only online.</v>
      </c>
    </row>
    <row r="648" ht="15.75" customHeight="1">
      <c r="A648" s="2">
        <v>4.0</v>
      </c>
      <c r="B648" s="2" t="s">
        <v>1863</v>
      </c>
      <c r="C648" s="2" t="s">
        <v>1864</v>
      </c>
      <c r="D648" s="2" t="s">
        <v>19</v>
      </c>
      <c r="E648" s="2" t="s">
        <v>20</v>
      </c>
      <c r="F648" s="2" t="s">
        <v>15</v>
      </c>
      <c r="G648" s="2" t="s">
        <v>1231</v>
      </c>
      <c r="H648" s="2" t="s">
        <v>74</v>
      </c>
      <c r="I648" s="2" t="str">
        <f>IFERROR(__xludf.DUMMYFUNCTION("GOOGLETRANSLATE(C648,""fr"",""en"")"),"I am satisfied with the service and car insurance rates. Reactivity and good knowledge of the subject. Very professional. Ease of contact.")</f>
        <v>I am satisfied with the service and car insurance rates. Reactivity and good knowledge of the subject. Very professional. Ease of contact.</v>
      </c>
    </row>
    <row r="649" ht="15.75" customHeight="1">
      <c r="A649" s="2">
        <v>1.0</v>
      </c>
      <c r="B649" s="2" t="s">
        <v>1865</v>
      </c>
      <c r="C649" s="2" t="s">
        <v>1866</v>
      </c>
      <c r="D649" s="2" t="s">
        <v>56</v>
      </c>
      <c r="E649" s="2" t="s">
        <v>122</v>
      </c>
      <c r="F649" s="2" t="s">
        <v>15</v>
      </c>
      <c r="G649" s="2" t="s">
        <v>16</v>
      </c>
      <c r="H649" s="2" t="s">
        <v>16</v>
      </c>
      <c r="I649" s="2" t="str">
        <f>IFERROR(__xludf.DUMMYFUNCTION("GOOGLETRANSLATE(C649,""fr"",""en"")"),"No interest in their client!
Just good to take their subscription.
I will terminate very soon and even review all the services of Crédit Agricole !!!!")</f>
        <v>No interest in their client!
Just good to take their subscription.
I will terminate very soon and even review all the services of Crédit Agricole !!!!</v>
      </c>
    </row>
    <row r="650" ht="15.75" customHeight="1">
      <c r="A650" s="2">
        <v>3.0</v>
      </c>
      <c r="B650" s="2" t="s">
        <v>1867</v>
      </c>
      <c r="C650" s="2" t="s">
        <v>1868</v>
      </c>
      <c r="D650" s="2" t="s">
        <v>19</v>
      </c>
      <c r="E650" s="2" t="s">
        <v>20</v>
      </c>
      <c r="F650" s="2" t="s">
        <v>15</v>
      </c>
      <c r="G650" s="2" t="s">
        <v>385</v>
      </c>
      <c r="H650" s="2" t="s">
        <v>92</v>
      </c>
      <c r="I650" s="2" t="str">
        <f>IFERROR(__xludf.DUMMYFUNCTION("GOOGLETRANSLATE(C650,""fr"",""en"")"),"I am satisfied with the service and the prices suit me perfectly they are very competitive with a very simple reading of the contract thank you to the whole team.")</f>
        <v>I am satisfied with the service and the prices suit me perfectly they are very competitive with a very simple reading of the contract thank you to the whole team.</v>
      </c>
    </row>
    <row r="651" ht="15.75" customHeight="1">
      <c r="A651" s="2">
        <v>5.0</v>
      </c>
      <c r="B651" s="2" t="s">
        <v>1869</v>
      </c>
      <c r="C651" s="2" t="s">
        <v>1870</v>
      </c>
      <c r="D651" s="2" t="s">
        <v>19</v>
      </c>
      <c r="E651" s="2" t="s">
        <v>20</v>
      </c>
      <c r="F651" s="2" t="s">
        <v>15</v>
      </c>
      <c r="G651" s="2" t="s">
        <v>219</v>
      </c>
      <c r="H651" s="2" t="s">
        <v>74</v>
      </c>
      <c r="I651" s="2" t="str">
        <f>IFERROR(__xludf.DUMMYFUNCTION("GOOGLETRANSLATE(C651,""fr"",""en"")"),"Customer at Direct Insurance for years and for many contracts I am very happy with it. Your chat system is not bad but just too impersonal. It is undoubtedly at the heart of my age but I would have preferred to have a live interlocutor")</f>
        <v>Customer at Direct Insurance for years and for many contracts I am very happy with it. Your chat system is not bad but just too impersonal. It is undoubtedly at the heart of my age but I would have preferred to have a live interlocutor</v>
      </c>
    </row>
    <row r="652" ht="15.75" customHeight="1">
      <c r="A652" s="2">
        <v>5.0</v>
      </c>
      <c r="B652" s="2" t="s">
        <v>1871</v>
      </c>
      <c r="C652" s="2" t="s">
        <v>1872</v>
      </c>
      <c r="D652" s="2" t="s">
        <v>254</v>
      </c>
      <c r="E652" s="2" t="s">
        <v>61</v>
      </c>
      <c r="F652" s="2" t="s">
        <v>15</v>
      </c>
      <c r="G652" s="2" t="s">
        <v>1873</v>
      </c>
      <c r="H652" s="2" t="s">
        <v>179</v>
      </c>
      <c r="I652" s="2" t="str">
        <f>IFERROR(__xludf.DUMMYFUNCTION("GOOGLETRANSLATE(C652,""fr"",""en"")"),"Pleasant welcome and professionalism of advisers, fast reimbursements, everything we expect from a mutual.
In addition, reimbursements are announced by email and/or SMS, which allows simple and real -time follow -up.")</f>
        <v>Pleasant welcome and professionalism of advisers, fast reimbursements, everything we expect from a mutual.
In addition, reimbursements are announced by email and/or SMS, which allows simple and real -time follow -up.</v>
      </c>
    </row>
    <row r="653" ht="15.75" customHeight="1">
      <c r="A653" s="2">
        <v>3.0</v>
      </c>
      <c r="B653" s="2" t="s">
        <v>1874</v>
      </c>
      <c r="C653" s="2" t="s">
        <v>1875</v>
      </c>
      <c r="D653" s="2" t="s">
        <v>19</v>
      </c>
      <c r="E653" s="2" t="s">
        <v>20</v>
      </c>
      <c r="F653" s="2" t="s">
        <v>15</v>
      </c>
      <c r="G653" s="2" t="s">
        <v>593</v>
      </c>
      <c r="H653" s="2" t="s">
        <v>108</v>
      </c>
      <c r="I653" s="2" t="str">
        <f>IFERROR(__xludf.DUMMYFUNCTION("GOOGLETRANSLATE(C653,""fr"",""en"")"),"The amount of rules and too large at the time of subscription I had to start over several times before having a monthly price and the private browser route")</f>
        <v>The amount of rules and too large at the time of subscription I had to start over several times before having a monthly price and the private browser route</v>
      </c>
    </row>
    <row r="654" ht="15.75" customHeight="1">
      <c r="A654" s="2">
        <v>1.0</v>
      </c>
      <c r="B654" s="2" t="s">
        <v>1876</v>
      </c>
      <c r="C654" s="2" t="s">
        <v>1877</v>
      </c>
      <c r="D654" s="2" t="s">
        <v>200</v>
      </c>
      <c r="E654" s="2" t="s">
        <v>30</v>
      </c>
      <c r="F654" s="2" t="s">
        <v>15</v>
      </c>
      <c r="G654" s="2" t="s">
        <v>1878</v>
      </c>
      <c r="H654" s="2" t="s">
        <v>501</v>
      </c>
      <c r="I654" s="2" t="str">
        <f>IFERROR(__xludf.DUMMYFUNCTION("GOOGLETRANSLATE(C654,""fr"",""en"")"),"We are a lot of Cardif victims. My mother died in August 2017. She had 3 ready with this insurance, today we have a notification of the non -management of her loan while 2 loan arrives at deadlines. It is really abused they make us paid insurance when the"&amp;"y take anything in charge. I don't know how to do it anymore. Do you have answers?")</f>
        <v>We are a lot of Cardif victims. My mother died in August 2017. She had 3 ready with this insurance, today we have a notification of the non -management of her loan while 2 loan arrives at deadlines. It is really abused they make us paid insurance when they take anything in charge. I don't know how to do it anymore. Do you have answers?</v>
      </c>
    </row>
    <row r="655" ht="15.75" customHeight="1">
      <c r="A655" s="2">
        <v>2.0</v>
      </c>
      <c r="B655" s="2" t="s">
        <v>1879</v>
      </c>
      <c r="C655" s="2" t="s">
        <v>1880</v>
      </c>
      <c r="D655" s="2" t="s">
        <v>254</v>
      </c>
      <c r="E655" s="2" t="s">
        <v>61</v>
      </c>
      <c r="F655" s="2" t="s">
        <v>15</v>
      </c>
      <c r="G655" s="2" t="s">
        <v>908</v>
      </c>
      <c r="H655" s="2" t="s">
        <v>108</v>
      </c>
      <c r="I655" s="2" t="str">
        <f>IFERROR(__xludf.DUMMYFUNCTION("GOOGLETRANSLATE(C655,""fr"",""en"")"),"Provident ""wage maintenance"": it is necessary to wait 15 days / 3 weeks for a person to deign to watch your file and often it is missing a document so it leaves for 15 additional days because it is necessary to systematically go through their contact fo"&amp;"rm in line. The requests are not prioritized, so it takes less than a week to obtain a certificate (no urgent character) but wait a month to receive the maintenance of salary (hello the rejection fees and other!). Very poorly managed organization. In shor"&amp;"t, if you do not have a good savings aside, run away from the MGP because it will sink you financially. Extremely disappointed.")</f>
        <v>Provident "wage maintenance": it is necessary to wait 15 days / 3 weeks for a person to deign to watch your file and often it is missing a document so it leaves for 15 additional days because it is necessary to systematically go through their contact form in line. The requests are not prioritized, so it takes less than a week to obtain a certificate (no urgent character) but wait a month to receive the maintenance of salary (hello the rejection fees and other!). Very poorly managed organization. In short, if you do not have a good savings aside, run away from the MGP because it will sink you financially. Extremely disappointed.</v>
      </c>
    </row>
    <row r="656" ht="15.75" customHeight="1">
      <c r="A656" s="2">
        <v>1.0</v>
      </c>
      <c r="B656" s="2" t="s">
        <v>1881</v>
      </c>
      <c r="C656" s="2" t="s">
        <v>1882</v>
      </c>
      <c r="D656" s="2" t="s">
        <v>56</v>
      </c>
      <c r="E656" s="2" t="s">
        <v>122</v>
      </c>
      <c r="F656" s="2" t="s">
        <v>15</v>
      </c>
      <c r="G656" s="2" t="s">
        <v>168</v>
      </c>
      <c r="H656" s="2" t="s">
        <v>168</v>
      </c>
      <c r="I656" s="2" t="str">
        <f>IFERROR(__xludf.DUMMYFUNCTION("GOOGLETRANSLATE(C656,""fr"",""en"")"),"Not recommendable! You have to make the competition work to have the price halves in half. Following a declaration, my insurer asked me to wait 2 months of time and therefore to avoid restart them. At the end of these 2 months, in the 3rd recovery he info"&amp;"rms me that they had sent the file to a bad address and which suddenly had to be returned. They do not take 5 minutes to check the address and they send a file simple ... purpose: the answer has been negative because my damage is not part of the condition"&amp;"s. 3 months lost when they would have had to take 10 minutes of their time to check my file")</f>
        <v>Not recommendable! You have to make the competition work to have the price halves in half. Following a declaration, my insurer asked me to wait 2 months of time and therefore to avoid restart them. At the end of these 2 months, in the 3rd recovery he informs me that they had sent the file to a bad address and which suddenly had to be returned. They do not take 5 minutes to check the address and they send a file simple ... purpose: the answer has been negative because my damage is not part of the conditions. 3 months lost when they would have had to take 10 minutes of their time to check my file</v>
      </c>
    </row>
    <row r="657" ht="15.75" customHeight="1">
      <c r="A657" s="2">
        <v>1.0</v>
      </c>
      <c r="B657" s="2" t="s">
        <v>1883</v>
      </c>
      <c r="C657" s="2" t="s">
        <v>1884</v>
      </c>
      <c r="D657" s="2" t="s">
        <v>366</v>
      </c>
      <c r="E657" s="2" t="s">
        <v>20</v>
      </c>
      <c r="F657" s="2" t="s">
        <v>15</v>
      </c>
      <c r="G657" s="2" t="s">
        <v>1885</v>
      </c>
      <c r="H657" s="2" t="s">
        <v>1281</v>
      </c>
      <c r="I657" s="2" t="str">
        <f>IFERROR(__xludf.DUMMYFUNCTION("GOOGLETRANSLATE(C657,""fr"",""en"")"),"The worst car insurance we have had!
I have never struggled so much to ensure a vehicle:
- Their website does not work, it is impossible for us to download the supporting documents in order to complete them (tests on different PCs and browsers without s"&amp;"uccess)
- We ask them to send them to us by email several times, once again without success (on several email addresses also without success)
- After multiple calls, because it is very complicated to join them, we are sent the documents by mail: Result:"&amp;" we receive a letter in AR on 04/21 tells us that for lack of additional parts on 20/04 We will no longer be insured. So how to return papers by receiving them at posteriori?
- We return to them all the pieces by email, a week and a half pass, still no f"&amp;"eedback: forced to always call them to advance the file, and often falling on very unpleasant people
In the final I find myself paying fictitious insurance, because for lack of responsiveness from their part my vehicle has not been insured for 2 weeks !!"&amp;"!
And in addition to that refusal on their part to make the slightest commercial gesture ....
TO FLEE !!!!!!!!!!!!!!!!")</f>
        <v>The worst car insurance we have had!
I have never struggled so much to ensure a vehicle:
- Their website does not work, it is impossible for us to download the supporting documents in order to complete them (tests on different PCs and browsers without success)
- We ask them to send them to us by email several times, once again without success (on several email addresses also without success)
- After multiple calls, because it is very complicated to join them, we are sent the documents by mail: Result: we receive a letter in AR on 04/21 tells us that for lack of additional parts on 20/04 We will no longer be insured. So how to return papers by receiving them at posteriori?
- We return to them all the pieces by email, a week and a half pass, still no feedback: forced to always call them to advance the file, and often falling on very unpleasant people
In the final I find myself paying fictitious insurance, because for lack of responsiveness from their part my vehicle has not been insured for 2 weeks !!!
And in addition to that refusal on their part to make the slightest commercial gesture ....
TO FLEE !!!!!!!!!!!!!!!!</v>
      </c>
    </row>
    <row r="658" ht="15.75" customHeight="1">
      <c r="A658" s="2">
        <v>4.0</v>
      </c>
      <c r="B658" s="2" t="s">
        <v>1886</v>
      </c>
      <c r="C658" s="2" t="s">
        <v>1887</v>
      </c>
      <c r="D658" s="2" t="s">
        <v>35</v>
      </c>
      <c r="E658" s="2" t="s">
        <v>20</v>
      </c>
      <c r="F658" s="2" t="s">
        <v>15</v>
      </c>
      <c r="G658" s="2" t="s">
        <v>1888</v>
      </c>
      <c r="H658" s="2" t="s">
        <v>45</v>
      </c>
      <c r="I658" s="2" t="str">
        <f>IFERROR(__xludf.DUMMYFUNCTION("GOOGLETRANSLATE(C658,""fr"",""en"")"),"I have just subscribed at the moment. So I haven't obviously not advised.")</f>
        <v>I have just subscribed at the moment. So I haven't obviously not advised.</v>
      </c>
    </row>
    <row r="659" ht="15.75" customHeight="1">
      <c r="A659" s="2">
        <v>5.0</v>
      </c>
      <c r="B659" s="2" t="s">
        <v>1889</v>
      </c>
      <c r="C659" s="2" t="s">
        <v>1890</v>
      </c>
      <c r="D659" s="2" t="s">
        <v>48</v>
      </c>
      <c r="E659" s="2" t="s">
        <v>14</v>
      </c>
      <c r="F659" s="2" t="s">
        <v>15</v>
      </c>
      <c r="G659" s="2" t="s">
        <v>627</v>
      </c>
      <c r="H659" s="2" t="s">
        <v>164</v>
      </c>
      <c r="I659" s="2" t="str">
        <f>IFERROR(__xludf.DUMMYFUNCTION("GOOGLETRANSLATE(C659,""fr"",""en"")"),"Very well, a well done site!
Clearly understandable, easy to inform.
Quickly informable and easy to use.
I will recommend to the people I know.")</f>
        <v>Very well, a well done site!
Clearly understandable, easy to inform.
Quickly informable and easy to use.
I will recommend to the people I know.</v>
      </c>
    </row>
    <row r="660" ht="15.75" customHeight="1">
      <c r="A660" s="2">
        <v>4.0</v>
      </c>
      <c r="B660" s="2" t="s">
        <v>1891</v>
      </c>
      <c r="C660" s="2" t="s">
        <v>1892</v>
      </c>
      <c r="D660" s="2" t="s">
        <v>19</v>
      </c>
      <c r="E660" s="2" t="s">
        <v>20</v>
      </c>
      <c r="F660" s="2" t="s">
        <v>15</v>
      </c>
      <c r="G660" s="2" t="s">
        <v>1417</v>
      </c>
      <c r="H660" s="2" t="s">
        <v>32</v>
      </c>
      <c r="I660" s="2" t="str">
        <f>IFERROR(__xludf.DUMMYFUNCTION("GOOGLETRANSLATE(C660,""fr"",""en"")"),"Rates still interesting but customer service of no use. You do not get any answers from the questions you are waiting for. Average increase each year by 10 percent without being able to obtain a valid reason: type of vehicle having had more accidents this"&amp;" year.
You never receive the documents requested for these increases. Leave as long as the prices will become less attractive. I declared a sinister 50/50 of twisted. Difficulties to cancel the declaration when we agreed with the third party to settle th"&amp;"e damage between us.
To flee as soon as the prices are no longer competitive enough.")</f>
        <v>Rates still interesting but customer service of no use. You do not get any answers from the questions you are waiting for. Average increase each year by 10 percent without being able to obtain a valid reason: type of vehicle having had more accidents this year.
You never receive the documents requested for these increases. Leave as long as the prices will become less attractive. I declared a sinister 50/50 of twisted. Difficulties to cancel the declaration when we agreed with the third party to settle the damage between us.
To flee as soon as the prices are no longer competitive enough.</v>
      </c>
    </row>
    <row r="661" ht="15.75" customHeight="1">
      <c r="A661" s="2">
        <v>5.0</v>
      </c>
      <c r="B661" s="2" t="s">
        <v>1893</v>
      </c>
      <c r="C661" s="2" t="s">
        <v>1894</v>
      </c>
      <c r="D661" s="2" t="s">
        <v>35</v>
      </c>
      <c r="E661" s="2" t="s">
        <v>20</v>
      </c>
      <c r="F661" s="2" t="s">
        <v>15</v>
      </c>
      <c r="G661" s="2" t="s">
        <v>676</v>
      </c>
      <c r="H661" s="2" t="s">
        <v>32</v>
      </c>
      <c r="I661" s="2" t="str">
        <f>IFERROR(__xludf.DUMMYFUNCTION("GOOGLETRANSLATE(C661,""fr"",""en"")"),"Very satisfied with my call, the advisor detailed the offer, the guarantees, the franchises and other important information.
I would highly recommend.")</f>
        <v>Very satisfied with my call, the advisor detailed the offer, the guarantees, the franchises and other important information.
I would highly recommend.</v>
      </c>
    </row>
    <row r="662" ht="15.75" customHeight="1">
      <c r="A662" s="2">
        <v>5.0</v>
      </c>
      <c r="B662" s="2" t="s">
        <v>1895</v>
      </c>
      <c r="C662" s="2" t="s">
        <v>1896</v>
      </c>
      <c r="D662" s="2" t="s">
        <v>19</v>
      </c>
      <c r="E662" s="2" t="s">
        <v>20</v>
      </c>
      <c r="F662" s="2" t="s">
        <v>15</v>
      </c>
      <c r="G662" s="2" t="s">
        <v>164</v>
      </c>
      <c r="H662" s="2" t="s">
        <v>164</v>
      </c>
      <c r="I662" s="2" t="str">
        <f>IFERROR(__xludf.DUMMYFUNCTION("GOOGLETRANSLATE(C662,""fr"",""en"")"),"Satisfied with the correct price service to be seen over time
Subscribed online quickly unbeatable in sponsorship offers interesting
Elected best service 2021")</f>
        <v>Satisfied with the correct price service to be seen over time
Subscribed online quickly unbeatable in sponsorship offers interesting
Elected best service 2021</v>
      </c>
    </row>
    <row r="663" ht="15.75" customHeight="1">
      <c r="A663" s="2">
        <v>1.0</v>
      </c>
      <c r="B663" s="2" t="s">
        <v>1897</v>
      </c>
      <c r="C663" s="2" t="s">
        <v>1898</v>
      </c>
      <c r="D663" s="2" t="s">
        <v>43</v>
      </c>
      <c r="E663" s="2" t="s">
        <v>20</v>
      </c>
      <c r="F663" s="2" t="s">
        <v>15</v>
      </c>
      <c r="G663" s="2" t="s">
        <v>1899</v>
      </c>
      <c r="H663" s="2" t="s">
        <v>186</v>
      </c>
      <c r="I663" s="2" t="str">
        <f>IFERROR(__xludf.DUMMYFUNCTION("GOOGLETRANSLATE(C663,""fr"",""en"")"),"What a very sad world and what consciousness should I have to work with an insurer ... I wanted to ask for a quote for my car with which I had a responsible accident (by backing just in a parking lot, I Reassures, nothing very serious) ... I was told that"&amp;" they refused to make sure because of this accident ... Ri-di-cu-le. You have to change jobs I think ... Insurance, what is it for?
I am neither criminal, nor accident manager every day, nor even every month ... I will say neither even every year. It is "&amp;"a good benefit to see such a company and more employees who defend these values ​​... Fortunately, the health mutuals do not yet refuse you to insure you because you have had cancer ... although .. that could come. It's time for things to be legislated .."&amp;".")</f>
        <v>What a very sad world and what consciousness should I have to work with an insurer ... I wanted to ask for a quote for my car with which I had a responsible accident (by backing just in a parking lot, I Reassures, nothing very serious) ... I was told that they refused to make sure because of this accident ... Ri-di-cu-le. You have to change jobs I think ... Insurance, what is it for?
I am neither criminal, nor accident manager every day, nor even every month ... I will say neither even every year. It is a good benefit to see such a company and more employees who defend these values ​​... Fortunately, the health mutuals do not yet refuse you to insure you because you have had cancer ... although .. that could come. It's time for things to be legislated ...</v>
      </c>
    </row>
    <row r="664" ht="15.75" customHeight="1">
      <c r="A664" s="2">
        <v>2.0</v>
      </c>
      <c r="B664" s="2" t="s">
        <v>1900</v>
      </c>
      <c r="C664" s="2" t="s">
        <v>1901</v>
      </c>
      <c r="D664" s="2" t="s">
        <v>43</v>
      </c>
      <c r="E664" s="2" t="s">
        <v>122</v>
      </c>
      <c r="F664" s="2" t="s">
        <v>15</v>
      </c>
      <c r="G664" s="2" t="s">
        <v>394</v>
      </c>
      <c r="H664" s="2" t="s">
        <v>395</v>
      </c>
      <c r="I664" s="2" t="str">
        <f>IFERROR(__xludf.DUMMYFUNCTION("GOOGLETRANSLATE(C664,""fr"",""en"")"),"The monitoring of claims files has seriously deteriorated this year. More than 8 years of waiting, reminders and always delay ...
I change my mutual after more than 30 years of membership.
Telephone contact, when you can reach the services, has also suf"&amp;"fered a ""tumble"" damaging. Shame !")</f>
        <v>The monitoring of claims files has seriously deteriorated this year. More than 8 years of waiting, reminders and always delay ...
I change my mutual after more than 30 years of membership.
Telephone contact, when you can reach the services, has also suffered a "tumble" damaging. Shame !</v>
      </c>
    </row>
    <row r="665" ht="15.75" customHeight="1">
      <c r="A665" s="2">
        <v>1.0</v>
      </c>
      <c r="B665" s="2" t="s">
        <v>1902</v>
      </c>
      <c r="C665" s="2" t="s">
        <v>1903</v>
      </c>
      <c r="D665" s="2" t="s">
        <v>884</v>
      </c>
      <c r="E665" s="2" t="s">
        <v>206</v>
      </c>
      <c r="F665" s="2" t="s">
        <v>15</v>
      </c>
      <c r="G665" s="2" t="s">
        <v>1904</v>
      </c>
      <c r="H665" s="2" t="s">
        <v>79</v>
      </c>
      <c r="I665" s="2" t="str">
        <f>IFERROR(__xludf.DUMMYFUNCTION("GOOGLETRANSLATE(C665,""fr"",""en"")"),"They do not respect their share of the contract. No refund in 2 years = identifying absence (despite my requests) and not made bank change ...")</f>
        <v>They do not respect their share of the contract. No refund in 2 years = identifying absence (despite my requests) and not made bank change ...</v>
      </c>
    </row>
    <row r="666" ht="15.75" customHeight="1">
      <c r="A666" s="2">
        <v>3.0</v>
      </c>
      <c r="B666" s="2" t="s">
        <v>1905</v>
      </c>
      <c r="C666" s="2" t="s">
        <v>1906</v>
      </c>
      <c r="D666" s="2" t="s">
        <v>19</v>
      </c>
      <c r="E666" s="2" t="s">
        <v>20</v>
      </c>
      <c r="F666" s="2" t="s">
        <v>15</v>
      </c>
      <c r="G666" s="2" t="s">
        <v>658</v>
      </c>
      <c r="H666" s="2" t="s">
        <v>179</v>
      </c>
      <c r="I666" s="2" t="str">
        <f>IFERROR(__xludf.DUMMYFUNCTION("GOOGLETRANSLATE(C666,""fr"",""en"")"),"There is no less expensive, suddenly I take dear you but I still find it abused the price that have to pay for car insurance, hundred everything for me :)")</f>
        <v>There is no less expensive, suddenly I take dear you but I still find it abused the price that have to pay for car insurance, hundred everything for me :)</v>
      </c>
    </row>
    <row r="667" ht="15.75" customHeight="1">
      <c r="A667" s="2">
        <v>1.0</v>
      </c>
      <c r="B667" s="2" t="s">
        <v>1907</v>
      </c>
      <c r="C667" s="2" t="s">
        <v>1908</v>
      </c>
      <c r="D667" s="2" t="s">
        <v>86</v>
      </c>
      <c r="E667" s="2" t="s">
        <v>61</v>
      </c>
      <c r="F667" s="2" t="s">
        <v>15</v>
      </c>
      <c r="G667" s="2" t="s">
        <v>1909</v>
      </c>
      <c r="H667" s="2" t="s">
        <v>567</v>
      </c>
      <c r="I667" s="2" t="str">
        <f>IFERROR(__xludf.DUMMYFUNCTION("GOOGLETRANSLATE(C667,""fr"",""en"")"),"Néoliane calls on brokerage companies that do aggressive phone canvassing, trying to conclude the contract by phone (which is legal), but with poorly recommendable methods (they make them believe that they have your bank details and you Ask on the phone t"&amp;"o ""check"" that they correspond well to theirs!) (Which is formally prohibited!)
")</f>
        <v>Néoliane calls on brokerage companies that do aggressive phone canvassing, trying to conclude the contract by phone (which is legal), but with poorly recommendable methods (they make them believe that they have your bank details and you Ask on the phone to "check" that they correspond well to theirs!) (Which is formally prohibited!)
</v>
      </c>
    </row>
    <row r="668" ht="15.75" customHeight="1">
      <c r="A668" s="2">
        <v>1.0</v>
      </c>
      <c r="B668" s="2" t="s">
        <v>1910</v>
      </c>
      <c r="C668" s="2" t="s">
        <v>1911</v>
      </c>
      <c r="D668" s="2" t="s">
        <v>19</v>
      </c>
      <c r="E668" s="2" t="s">
        <v>20</v>
      </c>
      <c r="F668" s="2" t="s">
        <v>15</v>
      </c>
      <c r="G668" s="2" t="s">
        <v>1912</v>
      </c>
      <c r="H668" s="2" t="s">
        <v>567</v>
      </c>
      <c r="I668" s="2" t="str">
        <f>IFERROR(__xludf.DUMMYFUNCTION("GOOGLETRANSLATE(C668,""fr"",""en"")"),"Poor support after a towing on the highway, following a breakdown. It took 6 hours to have a hotel reservation, made in Paris when there were nearby. Incompetent staff and disrespectful exchanges. No possibility of exchanges with the seat after this incid"&amp;"ent, despite sending an email. I can't wait to leave this company.")</f>
        <v>Poor support after a towing on the highway, following a breakdown. It took 6 hours to have a hotel reservation, made in Paris when there were nearby. Incompetent staff and disrespectful exchanges. No possibility of exchanges with the seat after this incident, despite sending an email. I can't wait to leave this company.</v>
      </c>
    </row>
    <row r="669" ht="15.75" customHeight="1">
      <c r="A669" s="2">
        <v>5.0</v>
      </c>
      <c r="B669" s="2" t="s">
        <v>1913</v>
      </c>
      <c r="C669" s="2" t="s">
        <v>1914</v>
      </c>
      <c r="D669" s="2" t="s">
        <v>19</v>
      </c>
      <c r="E669" s="2" t="s">
        <v>20</v>
      </c>
      <c r="F669" s="2" t="s">
        <v>15</v>
      </c>
      <c r="G669" s="2" t="s">
        <v>1915</v>
      </c>
      <c r="H669" s="2" t="s">
        <v>481</v>
      </c>
      <c r="I669" s="2" t="str">
        <f>IFERROR(__xludf.DUMMYFUNCTION("GOOGLETRANSLATE(C669,""fr"",""en"")"),"Warm welcome, very understandable, immediate answer and above all an answer to my precise question. Super price, I highly recommend because nothing has complained about everything was perfect
")</f>
        <v>Warm welcome, very understandable, immediate answer and above all an answer to my precise question. Super price, I highly recommend because nothing has complained about everything was perfect
</v>
      </c>
    </row>
    <row r="670" ht="15.75" customHeight="1">
      <c r="A670" s="2">
        <v>2.0</v>
      </c>
      <c r="B670" s="2" t="s">
        <v>1916</v>
      </c>
      <c r="C670" s="2" t="s">
        <v>1917</v>
      </c>
      <c r="D670" s="2" t="s">
        <v>285</v>
      </c>
      <c r="E670" s="2" t="s">
        <v>20</v>
      </c>
      <c r="F670" s="2" t="s">
        <v>15</v>
      </c>
      <c r="G670" s="2" t="s">
        <v>1918</v>
      </c>
      <c r="H670" s="2" t="s">
        <v>729</v>
      </c>
      <c r="I670" s="2" t="str">
        <f>IFERROR(__xludf.DUMMYFUNCTION("GOOGLETRANSLATE(C670,""fr"",""en"")"),"Telephone service mediocre assistance, the person having answered me not being kind at all and shouting me on the phone while I am a client and I call for a car concern.")</f>
        <v>Telephone service mediocre assistance, the person having answered me not being kind at all and shouting me on the phone while I am a client and I call for a car concern.</v>
      </c>
    </row>
    <row r="671" ht="15.75" customHeight="1">
      <c r="A671" s="2">
        <v>4.0</v>
      </c>
      <c r="B671" s="2" t="s">
        <v>1919</v>
      </c>
      <c r="C671" s="2" t="s">
        <v>1920</v>
      </c>
      <c r="D671" s="2" t="s">
        <v>35</v>
      </c>
      <c r="E671" s="2" t="s">
        <v>20</v>
      </c>
      <c r="F671" s="2" t="s">
        <v>15</v>
      </c>
      <c r="G671" s="2" t="s">
        <v>866</v>
      </c>
      <c r="H671" s="2" t="s">
        <v>164</v>
      </c>
      <c r="I671" s="2" t="str">
        <f>IFERROR(__xludf.DUMMYFUNCTION("GOOGLETRANSLATE(C671,""fr"",""en"")"),"I am satisfied with the price and yours professionalism.
Simple, easy and efficient, thank you.
I will come back to you concerning home insurance;)")</f>
        <v>I am satisfied with the price and yours professionalism.
Simple, easy and efficient, thank you.
I will come back to you concerning home insurance;)</v>
      </c>
    </row>
    <row r="672" ht="15.75" customHeight="1">
      <c r="A672" s="2">
        <v>5.0</v>
      </c>
      <c r="B672" s="2" t="s">
        <v>1921</v>
      </c>
      <c r="C672" s="2" t="s">
        <v>1922</v>
      </c>
      <c r="D672" s="2" t="s">
        <v>559</v>
      </c>
      <c r="E672" s="2" t="s">
        <v>214</v>
      </c>
      <c r="F672" s="2" t="s">
        <v>15</v>
      </c>
      <c r="G672" s="2" t="s">
        <v>1923</v>
      </c>
      <c r="H672" s="2" t="s">
        <v>154</v>
      </c>
      <c r="I672" s="2" t="str">
        <f>IFERROR(__xludf.DUMMYFUNCTION("GOOGLETRANSLATE(C672,""fr"",""en"")"),"My spouse and I have taken a funeral convention for 3 years. My husband died of cancer last month and general managed all administrative and financial procedures. Everything was very fast and thank you for the relief for not having managed this.")</f>
        <v>My spouse and I have taken a funeral convention for 3 years. My husband died of cancer last month and general managed all administrative and financial procedures. Everything was very fast and thank you for the relief for not having managed this.</v>
      </c>
    </row>
    <row r="673" ht="15.75" customHeight="1">
      <c r="A673" s="2">
        <v>4.0</v>
      </c>
      <c r="B673" s="2" t="s">
        <v>1924</v>
      </c>
      <c r="C673" s="2" t="s">
        <v>1925</v>
      </c>
      <c r="D673" s="2" t="s">
        <v>86</v>
      </c>
      <c r="E673" s="2" t="s">
        <v>61</v>
      </c>
      <c r="F673" s="2" t="s">
        <v>15</v>
      </c>
      <c r="G673" s="2" t="s">
        <v>157</v>
      </c>
      <c r="H673" s="2" t="s">
        <v>108</v>
      </c>
      <c r="I673" s="2" t="str">
        <f>IFERROR(__xludf.DUMMYFUNCTION("GOOGLETRANSLATE(C673,""fr"",""en"")"),"Thank you to Daouda for her explanations and patience with me who am not comfortable with a computer and who explained to me how to connect to my account
")</f>
        <v>Thank you to Daouda for her explanations and patience with me who am not comfortable with a computer and who explained to me how to connect to my account
</v>
      </c>
    </row>
    <row r="674" ht="15.75" customHeight="1">
      <c r="A674" s="2">
        <v>3.0</v>
      </c>
      <c r="B674" s="2" t="s">
        <v>1926</v>
      </c>
      <c r="C674" s="2" t="s">
        <v>1927</v>
      </c>
      <c r="D674" s="2" t="s">
        <v>35</v>
      </c>
      <c r="E674" s="2" t="s">
        <v>20</v>
      </c>
      <c r="F674" s="2" t="s">
        <v>15</v>
      </c>
      <c r="G674" s="2" t="s">
        <v>1928</v>
      </c>
      <c r="H674" s="2" t="s">
        <v>88</v>
      </c>
      <c r="I674" s="2" t="str">
        <f>IFERROR(__xludf.DUMMYFUNCTION("GOOGLETRANSLATE(C674,""fr"",""en"")"),"Insurance to ban: they terminated my contract based on the misunderstanding of a single advisor (who understood that I had moved or I am in border status (work in Switzerland, living in France). The termination was made ""In my back"" (Mail received on a "&amp;"Monday or on Saturday customer service ensures that Switzerland is covered by insurance, I also confirm to live in France). With each call, the conversation runs in circles because they do not know Manage a case of cross -border owner then the information"&amp;", according to the various advisers, vary. I do not appeal because, reflection made, I prefer to pay 200 euros from + to the year (AXA, Insurance2000) and have competent insurance in the event of real needs. What interest in paying insurance that the day "&amp;"you need to stroll into contrary information and get lost in their own procedures? Without me!")</f>
        <v>Insurance to ban: they terminated my contract based on the misunderstanding of a single advisor (who understood that I had moved or I am in border status (work in Switzerland, living in France). The termination was made "In my back" (Mail received on a Monday or on Saturday customer service ensures that Switzerland is covered by insurance, I also confirm to live in France). With each call, the conversation runs in circles because they do not know Manage a case of cross -border owner then the information, according to the various advisers, vary. I do not appeal because, reflection made, I prefer to pay 200 euros from + to the year (AXA, Insurance2000) and have competent insurance in the event of real needs. What interest in paying insurance that the day you need to stroll into contrary information and get lost in their own procedures? Without me!</v>
      </c>
    </row>
    <row r="675" ht="15.75" customHeight="1">
      <c r="A675" s="2">
        <v>1.0</v>
      </c>
      <c r="B675" s="2" t="s">
        <v>1929</v>
      </c>
      <c r="C675" s="2" t="s">
        <v>1930</v>
      </c>
      <c r="D675" s="2" t="s">
        <v>171</v>
      </c>
      <c r="E675" s="2" t="s">
        <v>14</v>
      </c>
      <c r="F675" s="2" t="s">
        <v>15</v>
      </c>
      <c r="G675" s="2" t="s">
        <v>354</v>
      </c>
      <c r="H675" s="2" t="s">
        <v>45</v>
      </c>
      <c r="I675" s="2" t="str">
        <f>IFERROR(__xludf.DUMMYFUNCTION("GOOGLETRANSLATE(C675,""fr"",""en"")"),"Deplorable claims management !!! I dare to ask me to pay security fees while APRIL makes me run in circles and put 2 weeks to bring the expert on site")</f>
        <v>Deplorable claims management !!! I dare to ask me to pay security fees while APRIL makes me run in circles and put 2 weeks to bring the expert on site</v>
      </c>
    </row>
    <row r="676" ht="15.75" customHeight="1">
      <c r="A676" s="2">
        <v>1.0</v>
      </c>
      <c r="B676" s="2" t="s">
        <v>1931</v>
      </c>
      <c r="C676" s="2" t="s">
        <v>1932</v>
      </c>
      <c r="D676" s="2" t="s">
        <v>366</v>
      </c>
      <c r="E676" s="2" t="s">
        <v>20</v>
      </c>
      <c r="F676" s="2" t="s">
        <v>15</v>
      </c>
      <c r="G676" s="2" t="s">
        <v>1060</v>
      </c>
      <c r="H676" s="2" t="s">
        <v>74</v>
      </c>
      <c r="I676" s="2" t="str">
        <f>IFERROR(__xludf.DUMMYFUNCTION("GOOGLETRANSLATE(C676,""fr"",""en"")"),"Incompetent and absent!
You have to systematically do it several times to obtain an insurance card, an information statement, change an address.
The management of claims is disastrous! We are alone, no one answers, no one knows where the file is. Re"&amp;"imbursement deadlines are endless.
It's been 6 months since I had a hanging and it is still not settled.
A word of advice, go your way and go elsewhere.")</f>
        <v>Incompetent and absent!
You have to systematically do it several times to obtain an insurance card, an information statement, change an address.
The management of claims is disastrous! We are alone, no one answers, no one knows where the file is. Reimbursement deadlines are endless.
It's been 6 months since I had a hanging and it is still not settled.
A word of advice, go your way and go elsewhere.</v>
      </c>
    </row>
    <row r="677" ht="15.75" customHeight="1">
      <c r="A677" s="2">
        <v>1.0</v>
      </c>
      <c r="B677" s="2" t="s">
        <v>1933</v>
      </c>
      <c r="C677" s="2" t="s">
        <v>1934</v>
      </c>
      <c r="D677" s="2" t="s">
        <v>24</v>
      </c>
      <c r="E677" s="2" t="s">
        <v>122</v>
      </c>
      <c r="F677" s="2" t="s">
        <v>15</v>
      </c>
      <c r="G677" s="2" t="s">
        <v>1935</v>
      </c>
      <c r="H677" s="2" t="s">
        <v>70</v>
      </c>
      <c r="I677" s="2" t="str">
        <f>IFERROR(__xludf.DUMMYFUNCTION("GOOGLETRANSLATE(C677,""fr"",""en"")"),"My house in Harnes is strongly degraded following earthmoving work done by a developer, a claim declared on 04/01/2018. Incompetent experts intervened and deny the reality of the facts. To date, no compensation and my house collapse. 79 years old, I have "&amp;"to leave my house and be hosting. Laxist and incompetent sinister service. Four months ago, the sinister service advised not to undertake work as long as the Sols study was not carried out. This study was done on 09/26/2018 and I am without news. Thanks t"&amp;"o Axa my house has since sought. I will bring this case to court and have to incur significant costs despite my very modest pension. No responsiveness from this insurance company despite many emails.")</f>
        <v>My house in Harnes is strongly degraded following earthmoving work done by a developer, a claim declared on 04/01/2018. Incompetent experts intervened and deny the reality of the facts. To date, no compensation and my house collapse. 79 years old, I have to leave my house and be hosting. Laxist and incompetent sinister service. Four months ago, the sinister service advised not to undertake work as long as the Sols study was not carried out. This study was done on 09/26/2018 and I am without news. Thanks to Axa my house has since sought. I will bring this case to court and have to incur significant costs despite my very modest pension. No responsiveness from this insurance company despite many emails.</v>
      </c>
    </row>
    <row r="678" ht="15.75" customHeight="1">
      <c r="A678" s="2">
        <v>4.0</v>
      </c>
      <c r="B678" s="2" t="s">
        <v>1936</v>
      </c>
      <c r="C678" s="2" t="s">
        <v>1937</v>
      </c>
      <c r="D678" s="2" t="s">
        <v>35</v>
      </c>
      <c r="E678" s="2" t="s">
        <v>20</v>
      </c>
      <c r="F678" s="2" t="s">
        <v>15</v>
      </c>
      <c r="G678" s="2" t="s">
        <v>681</v>
      </c>
      <c r="H678" s="2" t="s">
        <v>108</v>
      </c>
      <c r="I678" s="2" t="str">
        <f>IFERROR(__xludf.DUMMYFUNCTION("GOOGLETRANSLATE(C678,""fr"",""en"")"),"Hello,
I am satisfied with the services obtained. Good comunation with the staff.
A simple and quick subscription.
Thank you
Cordially
Vieira Brayan")</f>
        <v>Hello,
I am satisfied with the services obtained. Good comunation with the staff.
A simple and quick subscription.
Thank you
Cordially
Vieira Brayan</v>
      </c>
    </row>
    <row r="679" ht="15.75" customHeight="1">
      <c r="A679" s="2">
        <v>5.0</v>
      </c>
      <c r="B679" s="2" t="s">
        <v>1938</v>
      </c>
      <c r="C679" s="2" t="s">
        <v>1939</v>
      </c>
      <c r="D679" s="2" t="s">
        <v>254</v>
      </c>
      <c r="E679" s="2" t="s">
        <v>61</v>
      </c>
      <c r="F679" s="2" t="s">
        <v>15</v>
      </c>
      <c r="G679" s="2" t="s">
        <v>983</v>
      </c>
      <c r="H679" s="2" t="s">
        <v>116</v>
      </c>
      <c r="I679" s="2" t="str">
        <f>IFERROR(__xludf.DUMMYFUNCTION("GOOGLETRANSLATE(C679,""fr"",""en"")"),"I have total confidence in them
They do their work with great seriousness.
Extreme kindness the gold of telephone conversations
Good listening and this, for 23 years,
I remain faithful to them")</f>
        <v>I have total confidence in them
They do their work with great seriousness.
Extreme kindness the gold of telephone conversations
Good listening and this, for 23 years,
I remain faithful to them</v>
      </c>
    </row>
    <row r="680" ht="15.75" customHeight="1">
      <c r="A680" s="2">
        <v>2.0</v>
      </c>
      <c r="B680" s="2" t="s">
        <v>1940</v>
      </c>
      <c r="C680" s="2" t="s">
        <v>1941</v>
      </c>
      <c r="D680" s="2" t="s">
        <v>171</v>
      </c>
      <c r="E680" s="2" t="s">
        <v>14</v>
      </c>
      <c r="F680" s="2" t="s">
        <v>15</v>
      </c>
      <c r="G680" s="2" t="s">
        <v>1942</v>
      </c>
      <c r="H680" s="2" t="s">
        <v>714</v>
      </c>
      <c r="I680" s="2" t="str">
        <f>IFERROR(__xludf.DUMMYFUNCTION("GOOGLETRANSLATE(C680,""fr"",""en"")")," I have been at home since 1987. This was called Valois cabinet in Tours: no problem
Then AMT Assurances taken up around 2011 by April who is absolutely not a traffic specialist.
Most of the time, this broker places you at Arisa, Luxembourg insurance, b"&amp;"ecause April is a broker, not insurer, you have to know.
In short, for 5 years, a hassle for any change of vehicle, modification of contract etc. You have to call and send a multitude of emails. They require illegal supporting documents to suspend the gu"&amp;"arantee of a motorcycle following its sale, style gray card of the new owner to whom it has been sold ... surreal.
At 11:00 am this morning they spoke to me in real time an email with a quote for my news ...... they just had to answer on the email. It is"&amp;" 8:00 p.m. and I have not received anything!
I am not talking about the small non -responsible disaster at € 400 occurring in 2012 .... The expert went after 3 weeks.")</f>
        <v> I have been at home since 1987. This was called Valois cabinet in Tours: no problem
Then AMT Assurances taken up around 2011 by April who is absolutely not a traffic specialist.
Most of the time, this broker places you at Arisa, Luxembourg insurance, because April is a broker, not insurer, you have to know.
In short, for 5 years, a hassle for any change of vehicle, modification of contract etc. You have to call and send a multitude of emails. They require illegal supporting documents to suspend the guarantee of a motorcycle following its sale, style gray card of the new owner to whom it has been sold ... surreal.
At 11:00 am this morning they spoke to me in real time an email with a quote for my news ...... they just had to answer on the email. It is 8:00 p.m. and I have not received anything!
I am not talking about the small non -responsible disaster at € 400 occurring in 2012 .... The expert went after 3 weeks.</v>
      </c>
    </row>
    <row r="681" ht="15.75" customHeight="1">
      <c r="A681" s="2">
        <v>1.0</v>
      </c>
      <c r="B681" s="2" t="s">
        <v>1943</v>
      </c>
      <c r="C681" s="2" t="s">
        <v>1944</v>
      </c>
      <c r="D681" s="2" t="s">
        <v>56</v>
      </c>
      <c r="E681" s="2" t="s">
        <v>20</v>
      </c>
      <c r="F681" s="2" t="s">
        <v>15</v>
      </c>
      <c r="G681" s="2" t="s">
        <v>1945</v>
      </c>
      <c r="H681" s="2" t="s">
        <v>729</v>
      </c>
      <c r="I681" s="2" t="str">
        <f>IFERROR(__xludf.DUMMYFUNCTION("GOOGLETRANSLATE(C681,""fr"",""en"")"),"The company refuses to take charge of a disaster of vandalism, because the gray card has not been made, moreover it calls into question the bad price applied to the subscription, price difference on 1 year with bonus 50% for more than 3 years , without di"&amp;"saster during the last 3 years: € 1,600 to deduce from the claim in addition to the deductible, a total of € 2500, simply for an error between employee and assimilated civil servant.
")</f>
        <v>The company refuses to take charge of a disaster of vandalism, because the gray card has not been made, moreover it calls into question the bad price applied to the subscription, price difference on 1 year with bonus 50% for more than 3 years , without disaster during the last 3 years: € 1,600 to deduce from the claim in addition to the deductible, a total of € 2500, simply for an error between employee and assimilated civil servant.
</v>
      </c>
    </row>
    <row r="682" ht="15.75" customHeight="1">
      <c r="A682" s="2">
        <v>1.0</v>
      </c>
      <c r="B682" s="2" t="s">
        <v>1946</v>
      </c>
      <c r="C682" s="2" t="s">
        <v>1947</v>
      </c>
      <c r="D682" s="2" t="s">
        <v>225</v>
      </c>
      <c r="E682" s="2" t="s">
        <v>61</v>
      </c>
      <c r="F682" s="2" t="s">
        <v>15</v>
      </c>
      <c r="G682" s="2" t="s">
        <v>1873</v>
      </c>
      <c r="H682" s="2" t="s">
        <v>179</v>
      </c>
      <c r="I682" s="2" t="str">
        <f>IFERROR(__xludf.DUMMYFUNCTION("GOOGLETRANSLATE(C682,""fr"",""en"")"),"Mutual dear, not very reimbursing and undoubtedly endowed with an ineffective personnel structure. Manager of law since 1947 the health insurance party of National Education personnel, it largely benefits from this monopoly situation")</f>
        <v>Mutual dear, not very reimbursing and undoubtedly endowed with an ineffective personnel structure. Manager of law since 1947 the health insurance party of National Education personnel, it largely benefits from this monopoly situation</v>
      </c>
    </row>
    <row r="683" ht="15.75" customHeight="1">
      <c r="A683" s="2">
        <v>1.0</v>
      </c>
      <c r="B683" s="2" t="s">
        <v>1948</v>
      </c>
      <c r="C683" s="2" t="s">
        <v>1949</v>
      </c>
      <c r="D683" s="2" t="s">
        <v>285</v>
      </c>
      <c r="E683" s="2" t="s">
        <v>20</v>
      </c>
      <c r="F683" s="2" t="s">
        <v>15</v>
      </c>
      <c r="G683" s="2" t="s">
        <v>582</v>
      </c>
      <c r="H683" s="2" t="s">
        <v>32</v>
      </c>
      <c r="I683" s="2" t="str">
        <f>IFERROR(__xludf.DUMMYFUNCTION("GOOGLETRANSLATE(C683,""fr"",""en"")"),"to flee.
My scooter was stolen and I did not receive anything from my insurance.
My scooter was stolen and I did not receive anything from my insurance.")</f>
        <v>to flee.
My scooter was stolen and I did not receive anything from my insurance.
My scooter was stolen and I did not receive anything from my insurance.</v>
      </c>
    </row>
    <row r="684" ht="15.75" customHeight="1">
      <c r="A684" s="2">
        <v>4.0</v>
      </c>
      <c r="B684" s="2" t="s">
        <v>1950</v>
      </c>
      <c r="C684" s="2" t="s">
        <v>1951</v>
      </c>
      <c r="D684" s="2" t="s">
        <v>35</v>
      </c>
      <c r="E684" s="2" t="s">
        <v>20</v>
      </c>
      <c r="F684" s="2" t="s">
        <v>15</v>
      </c>
      <c r="G684" s="2" t="s">
        <v>101</v>
      </c>
      <c r="H684" s="2" t="s">
        <v>92</v>
      </c>
      <c r="I684" s="2" t="str">
        <f>IFERROR(__xludf.DUMMYFUNCTION("GOOGLETRANSLATE(C684,""fr"",""en"")"),"I am satted with the price
I would then see if the olive assurance satisfies me
But for the start of my contract I find it easy to start and has the signed next month I think to make a simulation for a space 4
")</f>
        <v>I am satted with the price
I would then see if the olive assurance satisfies me
But for the start of my contract I find it easy to start and has the signed next month I think to make a simulation for a space 4
</v>
      </c>
    </row>
    <row r="685" ht="15.75" customHeight="1">
      <c r="A685" s="2">
        <v>5.0</v>
      </c>
      <c r="B685" s="2" t="s">
        <v>1952</v>
      </c>
      <c r="C685" s="2" t="s">
        <v>1953</v>
      </c>
      <c r="D685" s="2" t="s">
        <v>35</v>
      </c>
      <c r="E685" s="2" t="s">
        <v>20</v>
      </c>
      <c r="F685" s="2" t="s">
        <v>15</v>
      </c>
      <c r="G685" s="2" t="s">
        <v>1954</v>
      </c>
      <c r="H685" s="2" t="s">
        <v>179</v>
      </c>
      <c r="I685" s="2" t="str">
        <f>IFERROR(__xludf.DUMMYFUNCTION("GOOGLETRANSLATE(C685,""fr"",""en"")"),"Website very easy to understand and navigate, after comparison, the best prices for my part. A very friendly after -sales service, always in good humor, attentive and above all very effective. At the end of each exchange with after -sales service I go out"&amp;" very satisfied")</f>
        <v>Website very easy to understand and navigate, after comparison, the best prices for my part. A very friendly after -sales service, always in good humor, attentive and above all very effective. At the end of each exchange with after -sales service I go out very satisfied</v>
      </c>
    </row>
    <row r="686" ht="15.75" customHeight="1">
      <c r="A686" s="2">
        <v>1.0</v>
      </c>
      <c r="B686" s="2" t="s">
        <v>1955</v>
      </c>
      <c r="C686" s="2" t="s">
        <v>1956</v>
      </c>
      <c r="D686" s="2" t="s">
        <v>269</v>
      </c>
      <c r="E686" s="2" t="s">
        <v>61</v>
      </c>
      <c r="F686" s="2" t="s">
        <v>15</v>
      </c>
      <c r="G686" s="2" t="s">
        <v>91</v>
      </c>
      <c r="H686" s="2" t="s">
        <v>92</v>
      </c>
      <c r="I686" s="2" t="str">
        <f>IFERROR(__xludf.DUMMYFUNCTION("GOOGLETRANSLATE(C686,""fr"",""en"")"),"A strong approach from their Adour insurance broker to join and change mutuals.
3 months after membership have still not set up remote transmission with my basic scheme so no supplementary health reimbursement
And to attach them it is the catastrophic
")</f>
        <v>A strong approach from their Adour insurance broker to join and change mutuals.
3 months after membership have still not set up remote transmission with my basic scheme so no supplementary health reimbursement
And to attach them it is the catastrophic
</v>
      </c>
    </row>
    <row r="687" ht="15.75" customHeight="1">
      <c r="A687" s="2">
        <v>5.0</v>
      </c>
      <c r="B687" s="2" t="s">
        <v>1957</v>
      </c>
      <c r="C687" s="2" t="s">
        <v>1958</v>
      </c>
      <c r="D687" s="2" t="s">
        <v>19</v>
      </c>
      <c r="E687" s="2" t="s">
        <v>20</v>
      </c>
      <c r="F687" s="2" t="s">
        <v>15</v>
      </c>
      <c r="G687" s="2" t="s">
        <v>1959</v>
      </c>
      <c r="H687" s="2" t="s">
        <v>16</v>
      </c>
      <c r="I687" s="2" t="str">
        <f>IFERROR(__xludf.DUMMYFUNCTION("GOOGLETRANSLATE(C687,""fr"",""en"")"),"Much more at my listening than my ex local agent. Without moving !! With a very high -performance information and resolution of problems")</f>
        <v>Much more at my listening than my ex local agent. Without moving !! With a very high -performance information and resolution of problems</v>
      </c>
    </row>
    <row r="688" ht="15.75" customHeight="1">
      <c r="A688" s="2">
        <v>4.0</v>
      </c>
      <c r="B688" s="2" t="s">
        <v>1960</v>
      </c>
      <c r="C688" s="2" t="s">
        <v>1961</v>
      </c>
      <c r="D688" s="2" t="s">
        <v>35</v>
      </c>
      <c r="E688" s="2" t="s">
        <v>20</v>
      </c>
      <c r="F688" s="2" t="s">
        <v>15</v>
      </c>
      <c r="G688" s="2" t="s">
        <v>1369</v>
      </c>
      <c r="H688" s="2" t="s">
        <v>32</v>
      </c>
      <c r="I688" s="2" t="str">
        <f>IFERROR(__xludf.DUMMYFUNCTION("GOOGLETRANSLATE(C688,""fr"",""en"")"),"I am satisfied with the service, the ease of taking out insurance quickly via the Internet makes the task a lot and saves me a huge time.")</f>
        <v>I am satisfied with the service, the ease of taking out insurance quickly via the Internet makes the task a lot and saves me a huge time.</v>
      </c>
    </row>
    <row r="689" ht="15.75" customHeight="1">
      <c r="A689" s="2">
        <v>3.0</v>
      </c>
      <c r="B689" s="2" t="s">
        <v>1962</v>
      </c>
      <c r="C689" s="2" t="s">
        <v>1963</v>
      </c>
      <c r="D689" s="2" t="s">
        <v>19</v>
      </c>
      <c r="E689" s="2" t="s">
        <v>20</v>
      </c>
      <c r="F689" s="2" t="s">
        <v>15</v>
      </c>
      <c r="G689" s="2" t="s">
        <v>519</v>
      </c>
      <c r="H689" s="2" t="s">
        <v>21</v>
      </c>
      <c r="I689" s="2" t="str">
        <f>IFERROR(__xludf.DUMMYFUNCTION("GOOGLETRANSLATE(C689,""fr"",""en"")"),"The more my aged vehicle, the more expensive the insurance .... before you made commercial gestures for the right drivers! I have often advised you to my loved ones, however")</f>
        <v>The more my aged vehicle, the more expensive the insurance .... before you made commercial gestures for the right drivers! I have often advised you to my loved ones, however</v>
      </c>
    </row>
    <row r="690" ht="15.75" customHeight="1">
      <c r="A690" s="2">
        <v>5.0</v>
      </c>
      <c r="B690" s="2" t="s">
        <v>1964</v>
      </c>
      <c r="C690" s="2" t="s">
        <v>1965</v>
      </c>
      <c r="D690" s="2" t="s">
        <v>48</v>
      </c>
      <c r="E690" s="2" t="s">
        <v>14</v>
      </c>
      <c r="F690" s="2" t="s">
        <v>15</v>
      </c>
      <c r="G690" s="2" t="s">
        <v>235</v>
      </c>
      <c r="H690" s="2" t="s">
        <v>45</v>
      </c>
      <c r="I690" s="2" t="str">
        <f>IFERROR(__xludf.DUMMYFUNCTION("GOOGLETRANSLATE(C690,""fr"",""en"")"),"I have always been satisfied by AMV. No complaints of customer service, very good telephone reception. The information given is clear and the prices are good.")</f>
        <v>I have always been satisfied by AMV. No complaints of customer service, very good telephone reception. The information given is clear and the prices are good.</v>
      </c>
    </row>
    <row r="691" ht="15.75" customHeight="1">
      <c r="A691" s="2">
        <v>4.0</v>
      </c>
      <c r="B691" s="2" t="s">
        <v>1966</v>
      </c>
      <c r="C691" s="2" t="s">
        <v>1967</v>
      </c>
      <c r="D691" s="2" t="s">
        <v>35</v>
      </c>
      <c r="E691" s="2" t="s">
        <v>20</v>
      </c>
      <c r="F691" s="2" t="s">
        <v>15</v>
      </c>
      <c r="G691" s="2" t="s">
        <v>1968</v>
      </c>
      <c r="H691" s="2" t="s">
        <v>92</v>
      </c>
      <c r="I691" s="2" t="str">
        <f>IFERROR(__xludf.DUMMYFUNCTION("GOOGLETRANSLATE(C691,""fr"",""en"")"),"The sales experience is interesting, the practical prices are competitive, the use of the browser is simple, ergonomic and efficient.
Nothing to say")</f>
        <v>The sales experience is interesting, the practical prices are competitive, the use of the browser is simple, ergonomic and efficient.
Nothing to say</v>
      </c>
    </row>
    <row r="692" ht="15.75" customHeight="1">
      <c r="A692" s="2">
        <v>2.0</v>
      </c>
      <c r="B692" s="2" t="s">
        <v>1969</v>
      </c>
      <c r="C692" s="2" t="s">
        <v>1970</v>
      </c>
      <c r="D692" s="2" t="s">
        <v>824</v>
      </c>
      <c r="E692" s="2" t="s">
        <v>135</v>
      </c>
      <c r="F692" s="2" t="s">
        <v>15</v>
      </c>
      <c r="G692" s="2" t="s">
        <v>869</v>
      </c>
      <c r="H692" s="2" t="s">
        <v>164</v>
      </c>
      <c r="I692" s="2" t="str">
        <f>IFERROR(__xludf.DUMMYFUNCTION("GOOGLETRANSLATE(C692,""fr"",""en"")"),"Insured for several years with this insurance, I tried to reach them to see if in the event of death it would be difficult to reach them, and well after several trials and by different means website, telephone, impossible to reach them, which Can we ask m"&amp;"e a lot about how minor children get the amount that should allow them to deal with the loss of a parents?")</f>
        <v>Insured for several years with this insurance, I tried to reach them to see if in the event of death it would be difficult to reach them, and well after several trials and by different means website, telephone, impossible to reach them, which Can we ask me a lot about how minor children get the amount that should allow them to deal with the loss of a parents?</v>
      </c>
    </row>
    <row r="693" ht="15.75" customHeight="1">
      <c r="A693" s="2">
        <v>5.0</v>
      </c>
      <c r="B693" s="2" t="s">
        <v>1971</v>
      </c>
      <c r="C693" s="2" t="s">
        <v>1972</v>
      </c>
      <c r="D693" s="2" t="s">
        <v>13</v>
      </c>
      <c r="E693" s="2" t="s">
        <v>14</v>
      </c>
      <c r="F693" s="2" t="s">
        <v>15</v>
      </c>
      <c r="G693" s="2" t="s">
        <v>316</v>
      </c>
      <c r="H693" s="2" t="s">
        <v>32</v>
      </c>
      <c r="I693" s="2" t="str">
        <f>IFERROR(__xludf.DUMMYFUNCTION("GOOGLETRANSLATE(C693,""fr"",""en"")"),"Very good biker and mutualist spirit! Rapid claims management, always a qualified contact. Narrow level very good ratio price/guarantees, reimbursement purchase protective equipment. Mutual committed to bikers and their interests with the FFMC partnership"&amp;" (it is thanks to them that there has been no technical control for 12 years) !!")</f>
        <v>Very good biker and mutualist spirit! Rapid claims management, always a qualified contact. Narrow level very good ratio price/guarantees, reimbursement purchase protective equipment. Mutual committed to bikers and their interests with the FFMC partnership (it is thanks to them that there has been no technical control for 12 years) !!</v>
      </c>
    </row>
    <row r="694" ht="15.75" customHeight="1">
      <c r="A694" s="2">
        <v>5.0</v>
      </c>
      <c r="B694" s="2" t="s">
        <v>1973</v>
      </c>
      <c r="C694" s="2" t="s">
        <v>1974</v>
      </c>
      <c r="D694" s="2" t="s">
        <v>19</v>
      </c>
      <c r="E694" s="2" t="s">
        <v>20</v>
      </c>
      <c r="F694" s="2" t="s">
        <v>15</v>
      </c>
      <c r="G694" s="2" t="s">
        <v>91</v>
      </c>
      <c r="H694" s="2" t="s">
        <v>92</v>
      </c>
      <c r="I694" s="2" t="str">
        <f>IFERROR(__xludf.DUMMYFUNCTION("GOOGLETRANSLATE(C694,""fr"",""en"")"),"I am satisfied with my offer and my new car insurance, I have long look for insurance and today I am finally finding it I thank the customer service team.
Thank you and good continuity.")</f>
        <v>I am satisfied with my offer and my new car insurance, I have long look for insurance and today I am finally finding it I thank the customer service team.
Thank you and good continuity.</v>
      </c>
    </row>
    <row r="695" ht="15.75" customHeight="1">
      <c r="A695" s="2">
        <v>2.0</v>
      </c>
      <c r="B695" s="2" t="s">
        <v>1975</v>
      </c>
      <c r="C695" s="2" t="s">
        <v>1976</v>
      </c>
      <c r="D695" s="2" t="s">
        <v>35</v>
      </c>
      <c r="E695" s="2" t="s">
        <v>20</v>
      </c>
      <c r="F695" s="2" t="s">
        <v>15</v>
      </c>
      <c r="G695" s="2" t="s">
        <v>363</v>
      </c>
      <c r="H695" s="2" t="s">
        <v>131</v>
      </c>
      <c r="I695" s="2" t="str">
        <f>IFERROR(__xludf.DUMMYFUNCTION("GOOGLETRANSLATE(C695,""fr"",""en"")"),"I am a little bcp disappointed with the price level that we are forced to pay in advance a deposit of a significant sum and in+ that one is obliged to pay additional costs for the insurance file what I do not find Normal by what to take out insurance it i"&amp;"s compulsory to create a file otherwise it is impossible without file so it is normal to constitute a file which should be free then here it is not the case it is paying at the olive assurance It's a shame I am disappointed and disgusted ... here is my op"&amp;"inion")</f>
        <v>I am a little bcp disappointed with the price level that we are forced to pay in advance a deposit of a significant sum and in+ that one is obliged to pay additional costs for the insurance file what I do not find Normal by what to take out insurance it is compulsory to create a file otherwise it is impossible without file so it is normal to constitute a file which should be free then here it is not the case it is paying at the olive assurance It's a shame I am disappointed and disgusted ... here is my opinion</v>
      </c>
    </row>
    <row r="696" ht="15.75" customHeight="1">
      <c r="A696" s="2">
        <v>2.0</v>
      </c>
      <c r="B696" s="2" t="s">
        <v>1977</v>
      </c>
      <c r="C696" s="2" t="s">
        <v>1978</v>
      </c>
      <c r="D696" s="2" t="s">
        <v>35</v>
      </c>
      <c r="E696" s="2" t="s">
        <v>20</v>
      </c>
      <c r="F696" s="2" t="s">
        <v>15</v>
      </c>
      <c r="G696" s="2" t="s">
        <v>1143</v>
      </c>
      <c r="H696" s="2" t="s">
        <v>108</v>
      </c>
      <c r="I696" s="2" t="str">
        <f>IFERROR(__xludf.DUMMYFUNCTION("GOOGLETRANSLATE(C696,""fr"",""en"")"),"Simple and practical
But the price at the bottom of the contract is not the same as on the quote.
I hope to have your news and regularization quickly")</f>
        <v>Simple and practical
But the price at the bottom of the contract is not the same as on the quote.
I hope to have your news and regularization quickly</v>
      </c>
    </row>
    <row r="697" ht="15.75" customHeight="1">
      <c r="A697" s="2">
        <v>1.0</v>
      </c>
      <c r="B697" s="2" t="s">
        <v>1979</v>
      </c>
      <c r="C697" s="2" t="s">
        <v>1980</v>
      </c>
      <c r="D697" s="2" t="s">
        <v>337</v>
      </c>
      <c r="E697" s="2" t="s">
        <v>20</v>
      </c>
      <c r="F697" s="2" t="s">
        <v>15</v>
      </c>
      <c r="G697" s="2" t="s">
        <v>1981</v>
      </c>
      <c r="H697" s="2" t="s">
        <v>70</v>
      </c>
      <c r="I697" s="2" t="str">
        <f>IFERROR(__xludf.DUMMYFUNCTION("GOOGLETRANSLATE(C697,""fr"",""en"")"),"Well disappointed after 40 years at La Maif")</f>
        <v>Well disappointed after 40 years at La Maif</v>
      </c>
    </row>
    <row r="698" ht="15.75" customHeight="1">
      <c r="A698" s="2">
        <v>5.0</v>
      </c>
      <c r="B698" s="2" t="s">
        <v>1982</v>
      </c>
      <c r="C698" s="2" t="s">
        <v>1983</v>
      </c>
      <c r="D698" s="2" t="s">
        <v>35</v>
      </c>
      <c r="E698" s="2" t="s">
        <v>20</v>
      </c>
      <c r="F698" s="2" t="s">
        <v>15</v>
      </c>
      <c r="G698" s="2" t="s">
        <v>1081</v>
      </c>
      <c r="H698" s="2" t="s">
        <v>481</v>
      </c>
      <c r="I698" s="2" t="str">
        <f>IFERROR(__xludf.DUMMYFUNCTION("GOOGLETRANSLATE(C698,""fr"",""en"")"),"I am very satisfied with the service. The explanations of the perfectly well explained advisor.
Fast, efficient and attentive. I recommend this insurance
")</f>
        <v>I am very satisfied with the service. The explanations of the perfectly well explained advisor.
Fast, efficient and attentive. I recommend this insurance
</v>
      </c>
    </row>
    <row r="699" ht="15.75" customHeight="1">
      <c r="A699" s="2">
        <v>3.0</v>
      </c>
      <c r="B699" s="2" t="s">
        <v>1984</v>
      </c>
      <c r="C699" s="2" t="s">
        <v>1985</v>
      </c>
      <c r="D699" s="2" t="s">
        <v>19</v>
      </c>
      <c r="E699" s="2" t="s">
        <v>20</v>
      </c>
      <c r="F699" s="2" t="s">
        <v>15</v>
      </c>
      <c r="G699" s="2" t="s">
        <v>930</v>
      </c>
      <c r="H699" s="2" t="s">
        <v>45</v>
      </c>
      <c r="I699" s="2" t="str">
        <f>IFERROR(__xludf.DUMMYFUNCTION("GOOGLETRANSLATE(C699,""fr"",""en"")"),"fast efficient and rates ok
Only constraint the first 2 months to settle while the competitors are over a month
and the paraining code does not seem to have worked")</f>
        <v>fast efficient and rates ok
Only constraint the first 2 months to settle while the competitors are over a month
and the paraining code does not seem to have worked</v>
      </c>
    </row>
    <row r="700" ht="15.75" customHeight="1">
      <c r="A700" s="2">
        <v>1.0</v>
      </c>
      <c r="B700" s="2" t="s">
        <v>1986</v>
      </c>
      <c r="C700" s="2" t="s">
        <v>1987</v>
      </c>
      <c r="D700" s="2" t="s">
        <v>86</v>
      </c>
      <c r="E700" s="2" t="s">
        <v>61</v>
      </c>
      <c r="F700" s="2" t="s">
        <v>15</v>
      </c>
      <c r="G700" s="2" t="s">
        <v>87</v>
      </c>
      <c r="H700" s="2" t="s">
        <v>88</v>
      </c>
      <c r="I700" s="2" t="str">
        <f>IFERROR(__xludf.DUMMYFUNCTION("GOOGLETRANSLATE(C700,""fr"",""en"")"),"Hello,
I take care of my mother.
In early September 2018, we received a formal notice from Lavéran hospital for January costs. For 6 months, the hospital did not have a response from Néoliane.
We contacted Néolianee by the Messaging of the Member Space"&amp;" (as we advised a Néoliane operator during membership).
But without response from Néoliane, we have to settle the invoices.
We have returned messages to date without response ...")</f>
        <v>Hello,
I take care of my mother.
In early September 2018, we received a formal notice from Lavéran hospital for January costs. For 6 months, the hospital did not have a response from Néoliane.
We contacted Néolianee by the Messaging of the Member Space (as we advised a Néoliane operator during membership).
But without response from Néoliane, we have to settle the invoices.
We have returned messages to date without response ...</v>
      </c>
    </row>
    <row r="701" ht="15.75" customHeight="1">
      <c r="A701" s="2">
        <v>1.0</v>
      </c>
      <c r="B701" s="2" t="s">
        <v>1988</v>
      </c>
      <c r="C701" s="2" t="s">
        <v>1989</v>
      </c>
      <c r="D701" s="2" t="s">
        <v>95</v>
      </c>
      <c r="E701" s="2" t="s">
        <v>20</v>
      </c>
      <c r="F701" s="2" t="s">
        <v>15</v>
      </c>
      <c r="G701" s="2" t="s">
        <v>914</v>
      </c>
      <c r="H701" s="2" t="s">
        <v>32</v>
      </c>
      <c r="I701" s="2" t="str">
        <f>IFERROR(__xludf.DUMMYFUNCTION("GOOGLETRANSLATE(C701,""fr"",""en"")"),"No arrangement with them I advise against this insurance in addition too expensive !!! It has nothing to do with their serious ads .... !!! He my termination after 6 months of insurance because he did not want an arrangement, only I lost in wages because "&amp;"of my partial unemployment, so now I have to find a insurance thank you !!!")</f>
        <v>No arrangement with them I advise against this insurance in addition too expensive !!! It has nothing to do with their serious ads .... !!! He my termination after 6 months of insurance because he did not want an arrangement, only I lost in wages because of my partial unemployment, so now I have to find a insurance thank you !!!</v>
      </c>
    </row>
    <row r="702" ht="15.75" customHeight="1">
      <c r="A702" s="2">
        <v>4.0</v>
      </c>
      <c r="B702" s="2" t="s">
        <v>1990</v>
      </c>
      <c r="C702" s="2" t="s">
        <v>1991</v>
      </c>
      <c r="D702" s="2" t="s">
        <v>35</v>
      </c>
      <c r="E702" s="2" t="s">
        <v>20</v>
      </c>
      <c r="F702" s="2" t="s">
        <v>15</v>
      </c>
      <c r="G702" s="2" t="s">
        <v>219</v>
      </c>
      <c r="H702" s="2" t="s">
        <v>74</v>
      </c>
      <c r="I702" s="2" t="str">
        <f>IFERROR(__xludf.DUMMYFUNCTION("GOOGLETRANSLATE(C702,""fr"",""en"")"),"Very responsive and friendly on the phone. Everything is clear and precise, I obtained directly by email my provisional green card.
Very simple and reliable electronic monitoring.
Good continuation.")</f>
        <v>Very responsive and friendly on the phone. Everything is clear and precise, I obtained directly by email my provisional green card.
Very simple and reliable electronic monitoring.
Good continuation.</v>
      </c>
    </row>
    <row r="703" ht="15.75" customHeight="1">
      <c r="A703" s="2">
        <v>1.0</v>
      </c>
      <c r="B703" s="2" t="s">
        <v>1992</v>
      </c>
      <c r="C703" s="2" t="s">
        <v>1993</v>
      </c>
      <c r="D703" s="2" t="s">
        <v>200</v>
      </c>
      <c r="E703" s="2" t="s">
        <v>30</v>
      </c>
      <c r="F703" s="2" t="s">
        <v>15</v>
      </c>
      <c r="G703" s="2" t="s">
        <v>1994</v>
      </c>
      <c r="H703" s="2" t="s">
        <v>1757</v>
      </c>
      <c r="I703" s="2" t="str">
        <f>IFERROR(__xludf.DUMMYFUNCTION("GOOGLETRANSLATE(C703,""fr"",""en"")"),"Cardif sent me for a follow -up of my files an identifier and a provisional confidential code. None of the identifiers and confidential code is recognized on the Cardif site. So I wrote to Cardif via Cetelem (which lent me the funds provided by Cardif). C"&amp;"ardif sent me a letter specifying that the necessary will be done within 15 days, but that if this was not done, an additional 2 months of treatment will be requested. Obviously, Cardif immediately implemented the period of 2 months because I have still r"&amp;"eceived nothing. At the end of August, a legal assignment awaits them with media coverage with the program of Mr Courbet on RTL.")</f>
        <v>Cardif sent me for a follow -up of my files an identifier and a provisional confidential code. None of the identifiers and confidential code is recognized on the Cardif site. So I wrote to Cardif via Cetelem (which lent me the funds provided by Cardif). Cardif sent me a letter specifying that the necessary will be done within 15 days, but that if this was not done, an additional 2 months of treatment will be requested. Obviously, Cardif immediately implemented the period of 2 months because I have still received nothing. At the end of August, a legal assignment awaits them with media coverage with the program of Mr Courbet on RTL.</v>
      </c>
    </row>
    <row r="704" ht="15.75" customHeight="1">
      <c r="A704" s="2">
        <v>2.0</v>
      </c>
      <c r="B704" s="2" t="s">
        <v>80</v>
      </c>
      <c r="C704" s="2" t="s">
        <v>1995</v>
      </c>
      <c r="D704" s="2" t="s">
        <v>35</v>
      </c>
      <c r="E704" s="2" t="s">
        <v>20</v>
      </c>
      <c r="F704" s="2" t="s">
        <v>15</v>
      </c>
      <c r="G704" s="2" t="s">
        <v>1996</v>
      </c>
      <c r="H704" s="2" t="s">
        <v>954</v>
      </c>
      <c r="I704" s="2" t="str">
        <f>IFERROR(__xludf.DUMMYFUNCTION("GOOGLETRANSLATE(C704,""fr"",""en"")")," Hello,
I tried to subscribe this Friday, April 10, 2020 by phone.
The operator refused a sponsorship, on the grounds that I had made quotes via a comparator.
I specify that the quote from which I wanted to subscribe, was carried out on their site, quo"&amp;"te n ° 2253856080.
In addition, we wanted to make sure to the third party, supposedly given the age of my car, when I did not want it.
We also wanted to make me subscribe a serenity pack, which I did not want.
In short, I think I will stop there ..... "&amp;"because this insurer inspires me everything, except serenity ....
I dare not imagine what it would be if I had a disaster at home ...
Honesty of this dubious insurer.
To avoid.")</f>
        <v> Hello,
I tried to subscribe this Friday, April 10, 2020 by phone.
The operator refused a sponsorship, on the grounds that I had made quotes via a comparator.
I specify that the quote from which I wanted to subscribe, was carried out on their site, quote n ° 2253856080.
In addition, we wanted to make sure to the third party, supposedly given the age of my car, when I did not want it.
We also wanted to make me subscribe a serenity pack, which I did not want.
In short, I think I will stop there ..... because this insurer inspires me everything, except serenity ....
I dare not imagine what it would be if I had a disaster at home ...
Honesty of this dubious insurer.
To avoid.</v>
      </c>
    </row>
    <row r="705" ht="15.75" customHeight="1">
      <c r="A705" s="2">
        <v>4.0</v>
      </c>
      <c r="B705" s="2" t="s">
        <v>1997</v>
      </c>
      <c r="C705" s="2" t="s">
        <v>1998</v>
      </c>
      <c r="D705" s="2" t="s">
        <v>337</v>
      </c>
      <c r="E705" s="2" t="s">
        <v>20</v>
      </c>
      <c r="F705" s="2" t="s">
        <v>15</v>
      </c>
      <c r="G705" s="2" t="s">
        <v>1999</v>
      </c>
      <c r="H705" s="2" t="s">
        <v>83</v>
      </c>
      <c r="I705" s="2" t="str">
        <f>IFERROR(__xludf.DUMMYFUNCTION("GOOGLETRANSLATE(C705,""fr"",""en"")"),"Very good insurance with listening and available advisers. I recommend this insurance. There are no surprises in the covered guarantees")</f>
        <v>Very good insurance with listening and available advisers. I recommend this insurance. There are no surprises in the covered guarantees</v>
      </c>
    </row>
    <row r="706" ht="15.75" customHeight="1">
      <c r="A706" s="2">
        <v>4.0</v>
      </c>
      <c r="B706" s="2" t="s">
        <v>2000</v>
      </c>
      <c r="C706" s="2" t="s">
        <v>2001</v>
      </c>
      <c r="D706" s="2" t="s">
        <v>19</v>
      </c>
      <c r="E706" s="2" t="s">
        <v>20</v>
      </c>
      <c r="F706" s="2" t="s">
        <v>15</v>
      </c>
      <c r="G706" s="2" t="s">
        <v>2002</v>
      </c>
      <c r="H706" s="2" t="s">
        <v>108</v>
      </c>
      <c r="I706" s="2" t="str">
        <f>IFERROR(__xludf.DUMMYFUNCTION("GOOGLETRANSLATE(C706,""fr"",""en"")"),"Simple even if the first monthly payment is quite substantial
Value for money that is quite interesting for affordable prices as young license")</f>
        <v>Simple even if the first monthly payment is quite substantial
Value for money that is quite interesting for affordable prices as young license</v>
      </c>
    </row>
    <row r="707" ht="15.75" customHeight="1">
      <c r="A707" s="2">
        <v>1.0</v>
      </c>
      <c r="B707" s="2" t="s">
        <v>2003</v>
      </c>
      <c r="C707" s="2" t="s">
        <v>2004</v>
      </c>
      <c r="D707" s="2" t="s">
        <v>24</v>
      </c>
      <c r="E707" s="2" t="s">
        <v>20</v>
      </c>
      <c r="F707" s="2" t="s">
        <v>15</v>
      </c>
      <c r="G707" s="2" t="s">
        <v>388</v>
      </c>
      <c r="H707" s="2" t="s">
        <v>63</v>
      </c>
      <c r="I707" s="2" t="str">
        <f>IFERROR(__xludf.DUMMYFUNCTION("GOOGLETRANSLATE(C707,""fr"",""en"")"),"AXA terminates my auto insurance and refuses to send me the information statement despite recommended letters and calls at the headquarters !!!!
No return from them except answer ""it will not be long""!
My first request dates from 11/11/2018. We are on"&amp;" 02/18/2019 and still nothing !!!")</f>
        <v>AXA terminates my auto insurance and refuses to send me the information statement despite recommended letters and calls at the headquarters !!!!
No return from them except answer "it will not be long"!
My first request dates from 11/11/2018. We are on 02/18/2019 and still nothing !!!</v>
      </c>
    </row>
    <row r="708" ht="15.75" customHeight="1">
      <c r="A708" s="2">
        <v>5.0</v>
      </c>
      <c r="B708" s="2" t="s">
        <v>2005</v>
      </c>
      <c r="C708" s="2" t="s">
        <v>2006</v>
      </c>
      <c r="D708" s="2" t="s">
        <v>19</v>
      </c>
      <c r="E708" s="2" t="s">
        <v>20</v>
      </c>
      <c r="F708" s="2" t="s">
        <v>15</v>
      </c>
      <c r="G708" s="2" t="s">
        <v>1714</v>
      </c>
      <c r="H708" s="2" t="s">
        <v>164</v>
      </c>
      <c r="I708" s="2" t="str">
        <f>IFERROR(__xludf.DUMMYFUNCTION("GOOGLETRANSLATE(C708,""fr"",""en"")"),"Very satisfied with prices, finally expenses in line with the current use of my vehicle (home-work trip
                            ")</f>
        <v>Very satisfied with prices, finally expenses in line with the current use of my vehicle (home-work trip
                            </v>
      </c>
    </row>
    <row r="709" ht="15.75" customHeight="1">
      <c r="A709" s="2">
        <v>5.0</v>
      </c>
      <c r="B709" s="2" t="s">
        <v>2007</v>
      </c>
      <c r="C709" s="2" t="s">
        <v>2008</v>
      </c>
      <c r="D709" s="2" t="s">
        <v>19</v>
      </c>
      <c r="E709" s="2" t="s">
        <v>20</v>
      </c>
      <c r="F709" s="2" t="s">
        <v>15</v>
      </c>
      <c r="G709" s="2" t="s">
        <v>850</v>
      </c>
      <c r="H709" s="2" t="s">
        <v>92</v>
      </c>
      <c r="I709" s="2" t="str">
        <f>IFERROR(__xludf.DUMMYFUNCTION("GOOGLETRANSLATE(C709,""fr"",""en"")"),"I am satisfied
Thank you very much for your service
The advisers are always listening to us
Direct Insurance is the best insurance.
I recommend")</f>
        <v>I am satisfied
Thank you very much for your service
The advisers are always listening to us
Direct Insurance is the best insurance.
I recommend</v>
      </c>
    </row>
    <row r="710" ht="15.75" customHeight="1">
      <c r="A710" s="2">
        <v>5.0</v>
      </c>
      <c r="B710" s="2" t="s">
        <v>2009</v>
      </c>
      <c r="C710" s="2" t="s">
        <v>2010</v>
      </c>
      <c r="D710" s="2" t="s">
        <v>35</v>
      </c>
      <c r="E710" s="2" t="s">
        <v>20</v>
      </c>
      <c r="F710" s="2" t="s">
        <v>15</v>
      </c>
      <c r="G710" s="2" t="s">
        <v>962</v>
      </c>
      <c r="H710" s="2" t="s">
        <v>108</v>
      </c>
      <c r="I710" s="2" t="str">
        <f>IFERROR(__xludf.DUMMYFUNCTION("GOOGLETRANSLATE(C710,""fr"",""en"")"),"Satisfied for the moment, we will see in use if we have done well !!!
The prices are very correct, the guarantees too, and the franchises adjustable.")</f>
        <v>Satisfied for the moment, we will see in use if we have done well !!!
The prices are very correct, the guarantees too, and the franchises adjustable.</v>
      </c>
    </row>
    <row r="711" ht="15.75" customHeight="1">
      <c r="A711" s="2">
        <v>5.0</v>
      </c>
      <c r="B711" s="2" t="s">
        <v>2011</v>
      </c>
      <c r="C711" s="2" t="s">
        <v>2012</v>
      </c>
      <c r="D711" s="2" t="s">
        <v>171</v>
      </c>
      <c r="E711" s="2" t="s">
        <v>14</v>
      </c>
      <c r="F711" s="2" t="s">
        <v>15</v>
      </c>
      <c r="G711" s="2" t="s">
        <v>1452</v>
      </c>
      <c r="H711" s="2" t="s">
        <v>74</v>
      </c>
      <c r="I711" s="2" t="str">
        <f>IFERROR(__xludf.DUMMYFUNCTION("GOOGLETRANSLATE(C711,""fr"",""en"")"),"Super fast service and has a very good price I have nothing to say on the service I highly recommend it to any young license, the price challenge all competition")</f>
        <v>Super fast service and has a very good price I have nothing to say on the service I highly recommend it to any young license, the price challenge all competition</v>
      </c>
    </row>
    <row r="712" ht="15.75" customHeight="1">
      <c r="A712" s="2">
        <v>4.0</v>
      </c>
      <c r="B712" s="2" t="s">
        <v>2013</v>
      </c>
      <c r="C712" s="2" t="s">
        <v>2014</v>
      </c>
      <c r="D712" s="2" t="s">
        <v>19</v>
      </c>
      <c r="E712" s="2" t="s">
        <v>20</v>
      </c>
      <c r="F712" s="2" t="s">
        <v>15</v>
      </c>
      <c r="G712" s="2" t="s">
        <v>1200</v>
      </c>
      <c r="H712" s="2" t="s">
        <v>164</v>
      </c>
      <c r="I712" s="2" t="str">
        <f>IFERROR(__xludf.DUMMYFUNCTION("GOOGLETRANSLATE(C712,""fr"",""en"")"),"I am satisfied with the service, the prices are resonable. I recommend direct insurance without problem. The subscription is simple and quick
Nothing more added")</f>
        <v>I am satisfied with the service, the prices are resonable. I recommend direct insurance without problem. The subscription is simple and quick
Nothing more added</v>
      </c>
    </row>
    <row r="713" ht="15.75" customHeight="1">
      <c r="A713" s="2">
        <v>1.0</v>
      </c>
      <c r="B713" s="2" t="s">
        <v>2015</v>
      </c>
      <c r="C713" s="2" t="s">
        <v>2016</v>
      </c>
      <c r="D713" s="2" t="s">
        <v>100</v>
      </c>
      <c r="E713" s="2" t="s">
        <v>20</v>
      </c>
      <c r="F713" s="2" t="s">
        <v>15</v>
      </c>
      <c r="G713" s="2" t="s">
        <v>1331</v>
      </c>
      <c r="H713" s="2" t="s">
        <v>26</v>
      </c>
      <c r="I713" s="2" t="str">
        <f>IFERROR(__xludf.DUMMYFUNCTION("GOOGLETRANSLATE(C713,""fr"",""en"")"),"For my part I had an accident the person it was barred I made a observation where I put his license plate my I have never had an answer for 1 year so to flee and he feels completely the price and extremely expensive
Zero insurance")</f>
        <v>For my part I had an accident the person it was barred I made a observation where I put his license plate my I have never had an answer for 1 year so to flee and he feels completely the price and extremely expensive
Zero insurance</v>
      </c>
    </row>
    <row r="714" ht="15.75" customHeight="1">
      <c r="A714" s="2">
        <v>1.0</v>
      </c>
      <c r="B714" s="2" t="s">
        <v>2017</v>
      </c>
      <c r="C714" s="2" t="s">
        <v>2018</v>
      </c>
      <c r="D714" s="2" t="s">
        <v>285</v>
      </c>
      <c r="E714" s="2" t="s">
        <v>122</v>
      </c>
      <c r="F714" s="2" t="s">
        <v>15</v>
      </c>
      <c r="G714" s="2" t="s">
        <v>2019</v>
      </c>
      <c r="H714" s="2" t="s">
        <v>534</v>
      </c>
      <c r="I714" s="2" t="str">
        <f>IFERROR(__xludf.DUMMYFUNCTION("GOOGLETRANSLATE(C714,""fr"",""en"")"),"Absolutely does not recommend this insurer, excessive prices for deplorable service.
10 years at home to realize that the guarantees are not interesting compared to cheaper competitors.")</f>
        <v>Absolutely does not recommend this insurer, excessive prices for deplorable service.
10 years at home to realize that the guarantees are not interesting compared to cheaper competitors.</v>
      </c>
    </row>
    <row r="715" ht="15.75" customHeight="1">
      <c r="A715" s="2">
        <v>5.0</v>
      </c>
      <c r="B715" s="2" t="s">
        <v>2020</v>
      </c>
      <c r="C715" s="2" t="s">
        <v>2021</v>
      </c>
      <c r="D715" s="2" t="s">
        <v>35</v>
      </c>
      <c r="E715" s="2" t="s">
        <v>20</v>
      </c>
      <c r="F715" s="2" t="s">
        <v>15</v>
      </c>
      <c r="G715" s="2" t="s">
        <v>1558</v>
      </c>
      <c r="H715" s="2" t="s">
        <v>164</v>
      </c>
      <c r="I715" s="2" t="str">
        <f>IFERROR(__xludf.DUMMYFUNCTION("GOOGLETRANSLATE(C715,""fr"",""en"")"),"I am very satisfied with your insurance good here you have struck me for a day of late payment but I stay with you you are a good insurance thank you")</f>
        <v>I am very satisfied with your insurance good here you have struck me for a day of late payment but I stay with you you are a good insurance thank you</v>
      </c>
    </row>
    <row r="716" ht="15.75" customHeight="1">
      <c r="A716" s="2">
        <v>5.0</v>
      </c>
      <c r="B716" s="2" t="s">
        <v>2022</v>
      </c>
      <c r="C716" s="2" t="s">
        <v>2023</v>
      </c>
      <c r="D716" s="2" t="s">
        <v>19</v>
      </c>
      <c r="E716" s="2" t="s">
        <v>20</v>
      </c>
      <c r="F716" s="2" t="s">
        <v>15</v>
      </c>
      <c r="G716" s="2" t="s">
        <v>319</v>
      </c>
      <c r="H716" s="2" t="s">
        <v>21</v>
      </c>
      <c r="I716" s="2" t="str">
        <f>IFERROR(__xludf.DUMMYFUNCTION("GOOGLETRANSLATE(C716,""fr"",""en"")"),"Very effective reactive, listening to the customer, very attractive price level and very competitive processing of fast company fast company and qualifying")</f>
        <v>Very effective reactive, listening to the customer, very attractive price level and very competitive processing of fast company fast company and qualifying</v>
      </c>
    </row>
    <row r="717" ht="15.75" customHeight="1">
      <c r="A717" s="2">
        <v>5.0</v>
      </c>
      <c r="B717" s="2" t="s">
        <v>2024</v>
      </c>
      <c r="C717" s="2" t="s">
        <v>2025</v>
      </c>
      <c r="D717" s="2" t="s">
        <v>35</v>
      </c>
      <c r="E717" s="2" t="s">
        <v>20</v>
      </c>
      <c r="F717" s="2" t="s">
        <v>15</v>
      </c>
      <c r="G717" s="2" t="s">
        <v>2026</v>
      </c>
      <c r="H717" s="2" t="s">
        <v>449</v>
      </c>
      <c r="I717" s="2" t="str">
        <f>IFERROR(__xludf.DUMMYFUNCTION("GOOGLETRANSLATE(C717,""fr"",""en"")"),"I am no longer a client because no more vehicles following a disaster but I must say that the service was excellent and far beyond my expectations (after reading negative comments on this site). If I had to buy a new contract for a future car, I would wit"&amp;"hout hesitation with this insurer again")</f>
        <v>I am no longer a client because no more vehicles following a disaster but I must say that the service was excellent and far beyond my expectations (after reading negative comments on this site). If I had to buy a new contract for a future car, I would without hesitation with this insurer again</v>
      </c>
    </row>
    <row r="718" ht="15.75" customHeight="1">
      <c r="A718" s="2">
        <v>2.0</v>
      </c>
      <c r="B718" s="2" t="s">
        <v>2027</v>
      </c>
      <c r="C718" s="2" t="s">
        <v>2028</v>
      </c>
      <c r="D718" s="2" t="s">
        <v>476</v>
      </c>
      <c r="E718" s="2" t="s">
        <v>122</v>
      </c>
      <c r="F718" s="2" t="s">
        <v>15</v>
      </c>
      <c r="G718" s="2" t="s">
        <v>487</v>
      </c>
      <c r="H718" s="2" t="s">
        <v>21</v>
      </c>
      <c r="I718" s="2" t="str">
        <f>IFERROR(__xludf.DUMMYFUNCTION("GOOGLETRANSLATE(C718,""fr"",""en"")"),"Two small claims compensated and, ... a letter which informs us that our contract is terminated. For ... abuse.
We walk on the head ! Why all these advertisements everywhere, in real life, there are real concerns and that is precisely why we cover oursel"&amp;"ves with insurance ... that turned you.")</f>
        <v>Two small claims compensated and, ... a letter which informs us that our contract is terminated. For ... abuse.
We walk on the head ! Why all these advertisements everywhere, in real life, there are real concerns and that is precisely why we cover ourselves with insurance ... that turned you.</v>
      </c>
    </row>
    <row r="719" ht="15.75" customHeight="1">
      <c r="A719" s="2">
        <v>1.0</v>
      </c>
      <c r="B719" s="2" t="s">
        <v>2029</v>
      </c>
      <c r="C719" s="2" t="s">
        <v>2030</v>
      </c>
      <c r="D719" s="2" t="s">
        <v>56</v>
      </c>
      <c r="E719" s="2" t="s">
        <v>20</v>
      </c>
      <c r="F719" s="2" t="s">
        <v>15</v>
      </c>
      <c r="G719" s="2" t="s">
        <v>2031</v>
      </c>
      <c r="H719" s="2" t="s">
        <v>256</v>
      </c>
      <c r="I719" s="2" t="str">
        <f>IFERROR(__xludf.DUMMYFUNCTION("GOOGLETRANSLATE(C719,""fr"",""en"")"),"Ashamed! ,, pitiful customer service, they have nothing to do with you, not able to terminate the contract of the former insurer, find yourself paying 2 insurances, do not reimburse yourself, and now find me with 2 insurance on the same car, and Now it's "&amp;"up to you to do the steps to get out of it. I advise against! , to flee !")</f>
        <v>Ashamed! ,, pitiful customer service, they have nothing to do with you, not able to terminate the contract of the former insurer, find yourself paying 2 insurances, do not reimburse yourself, and now find me with 2 insurance on the same car, and Now it's up to you to do the steps to get out of it. I advise against! , to flee !</v>
      </c>
    </row>
    <row r="720" ht="15.75" customHeight="1">
      <c r="A720" s="2">
        <v>1.0</v>
      </c>
      <c r="B720" s="2" t="s">
        <v>2032</v>
      </c>
      <c r="C720" s="2" t="s">
        <v>2033</v>
      </c>
      <c r="D720" s="2" t="s">
        <v>285</v>
      </c>
      <c r="E720" s="2" t="s">
        <v>122</v>
      </c>
      <c r="F720" s="2" t="s">
        <v>15</v>
      </c>
      <c r="G720" s="2" t="s">
        <v>375</v>
      </c>
      <c r="H720" s="2" t="s">
        <v>97</v>
      </c>
      <c r="I720" s="2" t="str">
        <f>IFERROR(__xludf.DUMMYFUNCTION("GOOGLETRANSLATE(C720,""fr"",""en"")"),"To flee")</f>
        <v>To flee</v>
      </c>
    </row>
    <row r="721" ht="15.75" customHeight="1">
      <c r="A721" s="2">
        <v>1.0</v>
      </c>
      <c r="B721" s="2" t="s">
        <v>2034</v>
      </c>
      <c r="C721" s="2" t="s">
        <v>2035</v>
      </c>
      <c r="D721" s="2" t="s">
        <v>24</v>
      </c>
      <c r="E721" s="2" t="s">
        <v>20</v>
      </c>
      <c r="F721" s="2" t="s">
        <v>15</v>
      </c>
      <c r="G721" s="2" t="s">
        <v>36</v>
      </c>
      <c r="H721" s="2" t="s">
        <v>32</v>
      </c>
      <c r="I721" s="2" t="str">
        <f>IFERROR(__xludf.DUMMYFUNCTION("GOOGLETRANSLATE(C721,""fr"",""en"")"),"Customer service and assistance service is really deplorable. Many towing services refuse to work with this insurance because of unpaid. I was caught in flu because the service by sellers that accesses you on the phone and allowed you to talk to you like "&amp;"this you were less than nothing. By forgetting that we pay a certain amount every month, to have a quality service and it is very far from their case.")</f>
        <v>Customer service and assistance service is really deplorable. Many towing services refuse to work with this insurance because of unpaid. I was caught in flu because the service by sellers that accesses you on the phone and allowed you to talk to you like this you were less than nothing. By forgetting that we pay a certain amount every month, to have a quality service and it is very far from their case.</v>
      </c>
    </row>
    <row r="722" ht="15.75" customHeight="1">
      <c r="A722" s="2">
        <v>2.0</v>
      </c>
      <c r="B722" s="2" t="s">
        <v>2036</v>
      </c>
      <c r="C722" s="2" t="s">
        <v>2037</v>
      </c>
      <c r="D722" s="2" t="s">
        <v>19</v>
      </c>
      <c r="E722" s="2" t="s">
        <v>20</v>
      </c>
      <c r="F722" s="2" t="s">
        <v>15</v>
      </c>
      <c r="G722" s="2" t="s">
        <v>82</v>
      </c>
      <c r="H722" s="2" t="s">
        <v>83</v>
      </c>
      <c r="I722" s="2" t="str">
        <f>IFERROR(__xludf.DUMMYFUNCTION("GOOGLETRANSLATE(C722,""fr"",""en"")"),"Sad to have to make an insurance comparison and to report that the price is 200 € cheaper than what I am currently paying at home! thanks to call me back")</f>
        <v>Sad to have to make an insurance comparison and to report that the price is 200 € cheaper than what I am currently paying at home! thanks to call me back</v>
      </c>
    </row>
    <row r="723" ht="15.75" customHeight="1">
      <c r="A723" s="2">
        <v>2.0</v>
      </c>
      <c r="B723" s="2" t="s">
        <v>2038</v>
      </c>
      <c r="C723" s="2" t="s">
        <v>2039</v>
      </c>
      <c r="D723" s="2" t="s">
        <v>19</v>
      </c>
      <c r="E723" s="2" t="s">
        <v>20</v>
      </c>
      <c r="F723" s="2" t="s">
        <v>15</v>
      </c>
      <c r="G723" s="2" t="s">
        <v>1521</v>
      </c>
      <c r="H723" s="2" t="s">
        <v>347</v>
      </c>
      <c r="I723" s="2" t="str">
        <f>IFERROR(__xludf.DUMMYFUNCTION("GOOGLETRANSLATE(C723,""fr"",""en"")"),"Non -responsible accident, compensation that does not allow you to buy a similar vehicle at all, thinking of being well covered, in fact not at all. Always awaiting payment 3 weeks after the accident.
Waiting time at the Call Center on average 15 minutes"&amp;" (morning, noon, or evening).
Body compensation, for 3 weeks, no news, requires a lot of supporting documents or being injured, no assistance in the constitution of the file, insurance which seeks to minimize everything compared to others ....")</f>
        <v>Non -responsible accident, compensation that does not allow you to buy a similar vehicle at all, thinking of being well covered, in fact not at all. Always awaiting payment 3 weeks after the accident.
Waiting time at the Call Center on average 15 minutes (morning, noon, or evening).
Body compensation, for 3 weeks, no news, requires a lot of supporting documents or being injured, no assistance in the constitution of the file, insurance which seeks to minimize everything compared to others ....</v>
      </c>
    </row>
    <row r="724" ht="15.75" customHeight="1">
      <c r="A724" s="2">
        <v>1.0</v>
      </c>
      <c r="B724" s="2" t="s">
        <v>2040</v>
      </c>
      <c r="C724" s="2" t="s">
        <v>2041</v>
      </c>
      <c r="D724" s="2" t="s">
        <v>378</v>
      </c>
      <c r="E724" s="2" t="s">
        <v>61</v>
      </c>
      <c r="F724" s="2" t="s">
        <v>15</v>
      </c>
      <c r="G724" s="2" t="s">
        <v>2042</v>
      </c>
      <c r="H724" s="2" t="s">
        <v>239</v>
      </c>
      <c r="I724" s="2" t="str">
        <f>IFERROR(__xludf.DUMMYFUNCTION("GOOGLETRANSLATE(C724,""fr"",""en"")"),"Insured for 10 years at a high price € 381 monthly, never contacted to have a new contract cheaper no consideration it has that the name of mutual are it is financiers what shame to play on the ethics of people")</f>
        <v>Insured for 10 years at a high price € 381 monthly, never contacted to have a new contract cheaper no consideration it has that the name of mutual are it is financiers what shame to play on the ethics of people</v>
      </c>
    </row>
    <row r="725" ht="15.75" customHeight="1">
      <c r="A725" s="2">
        <v>4.0</v>
      </c>
      <c r="B725" s="2" t="s">
        <v>2043</v>
      </c>
      <c r="C725" s="2" t="s">
        <v>2044</v>
      </c>
      <c r="D725" s="2" t="s">
        <v>19</v>
      </c>
      <c r="E725" s="2" t="s">
        <v>20</v>
      </c>
      <c r="F725" s="2" t="s">
        <v>15</v>
      </c>
      <c r="G725" s="2" t="s">
        <v>2045</v>
      </c>
      <c r="H725" s="2" t="s">
        <v>108</v>
      </c>
      <c r="I725" s="2" t="str">
        <f>IFERROR(__xludf.DUMMYFUNCTION("GOOGLETRANSLATE(C725,""fr"",""en"")"),"Thank you I trust you, this is for that I choose Direct Insurance but you have to improve your online customer service by tel you have to be reachable even on weekends")</f>
        <v>Thank you I trust you, this is for that I choose Direct Insurance but you have to improve your online customer service by tel you have to be reachable even on weekends</v>
      </c>
    </row>
    <row r="726" ht="15.75" customHeight="1">
      <c r="A726" s="2">
        <v>4.0</v>
      </c>
      <c r="B726" s="2" t="s">
        <v>2046</v>
      </c>
      <c r="C726" s="2" t="s">
        <v>2047</v>
      </c>
      <c r="D726" s="2" t="s">
        <v>35</v>
      </c>
      <c r="E726" s="2" t="s">
        <v>20</v>
      </c>
      <c r="F726" s="2" t="s">
        <v>15</v>
      </c>
      <c r="G726" s="2" t="s">
        <v>968</v>
      </c>
      <c r="H726" s="2" t="s">
        <v>45</v>
      </c>
      <c r="I726" s="2" t="str">
        <f>IFERROR(__xludf.DUMMYFUNCTION("GOOGLETRANSLATE(C726,""fr"",""en"")"),"Easily reachable by phone. However, if the advisor is not competent, we end up with an incomplete file, an unleashed contract and an unpretentized withdrawal! Fortunately, not all are ""next to the plate""")</f>
        <v>Easily reachable by phone. However, if the advisor is not competent, we end up with an incomplete file, an unleashed contract and an unpretentized withdrawal! Fortunately, not all are "next to the plate"</v>
      </c>
    </row>
    <row r="727" ht="15.75" customHeight="1">
      <c r="A727" s="2">
        <v>3.0</v>
      </c>
      <c r="B727" s="2" t="s">
        <v>2048</v>
      </c>
      <c r="C727" s="2" t="s">
        <v>2049</v>
      </c>
      <c r="D727" s="2" t="s">
        <v>19</v>
      </c>
      <c r="E727" s="2" t="s">
        <v>20</v>
      </c>
      <c r="F727" s="2" t="s">
        <v>15</v>
      </c>
      <c r="G727" s="2" t="s">
        <v>2050</v>
      </c>
      <c r="H727" s="2" t="s">
        <v>32</v>
      </c>
      <c r="I727" s="2" t="str">
        <f>IFERROR(__xludf.DUMMYFUNCTION("GOOGLETRANSLATE(C727,""fr"",""en"")"),"The service is satisfactory. On the other hand, the prices are excessive, since Direct Insurance boasts of having the cheapest contracts. In addition, despite my seniority and my bonus, the prices are increasing every year.")</f>
        <v>The service is satisfactory. On the other hand, the prices are excessive, since Direct Insurance boasts of having the cheapest contracts. In addition, despite my seniority and my bonus, the prices are increasing every year.</v>
      </c>
    </row>
    <row r="728" ht="15.75" customHeight="1">
      <c r="A728" s="2">
        <v>3.0</v>
      </c>
      <c r="B728" s="2" t="s">
        <v>2051</v>
      </c>
      <c r="C728" s="2" t="s">
        <v>2052</v>
      </c>
      <c r="D728" s="2" t="s">
        <v>19</v>
      </c>
      <c r="E728" s="2" t="s">
        <v>20</v>
      </c>
      <c r="F728" s="2" t="s">
        <v>15</v>
      </c>
      <c r="G728" s="2" t="s">
        <v>962</v>
      </c>
      <c r="H728" s="2" t="s">
        <v>108</v>
      </c>
      <c r="I728" s="2" t="str">
        <f>IFERROR(__xludf.DUMMYFUNCTION("GOOGLETRANSLATE(C728,""fr"",""en"")"),"Fluidity speed I was wrong by recording my email address speed for the change thank you for the responsiveness I recommend to the new assures")</f>
        <v>Fluidity speed I was wrong by recording my email address speed for the change thank you for the responsiveness I recommend to the new assures</v>
      </c>
    </row>
    <row r="729" ht="15.75" customHeight="1">
      <c r="A729" s="2">
        <v>2.0</v>
      </c>
      <c r="B729" s="2" t="s">
        <v>2053</v>
      </c>
      <c r="C729" s="2" t="s">
        <v>2054</v>
      </c>
      <c r="D729" s="2" t="s">
        <v>19</v>
      </c>
      <c r="E729" s="2" t="s">
        <v>20</v>
      </c>
      <c r="F729" s="2" t="s">
        <v>15</v>
      </c>
      <c r="G729" s="2" t="s">
        <v>2055</v>
      </c>
      <c r="H729" s="2" t="s">
        <v>21</v>
      </c>
      <c r="I729" s="2" t="str">
        <f>IFERROR(__xludf.DUMMYFUNCTION("GOOGLETRANSLATE(C729,""fr"",""en"")"),"Prices increased despite the year 2020 marked by a significant drop in claims of all kinds of the health crisis and confinement.")</f>
        <v>Prices increased despite the year 2020 marked by a significant drop in claims of all kinds of the health crisis and confinement.</v>
      </c>
    </row>
    <row r="730" ht="15.75" customHeight="1">
      <c r="A730" s="2">
        <v>4.0</v>
      </c>
      <c r="B730" s="2" t="s">
        <v>2056</v>
      </c>
      <c r="C730" s="2" t="s">
        <v>2057</v>
      </c>
      <c r="D730" s="2" t="s">
        <v>350</v>
      </c>
      <c r="E730" s="2" t="s">
        <v>61</v>
      </c>
      <c r="F730" s="2" t="s">
        <v>15</v>
      </c>
      <c r="G730" s="2" t="s">
        <v>1763</v>
      </c>
      <c r="H730" s="2" t="s">
        <v>26</v>
      </c>
      <c r="I730" s="2" t="str">
        <f>IFERROR(__xludf.DUMMYFUNCTION("GOOGLETRANSLATE(C730,""fr"",""en"")"),"I regret April for a financial question, because retired I find it a little too expensive for me. But on the other hand, nothing to say about exchanges, reimbursements, guaranteed compliance and reimbursements. I never had the slightest dispute with them."&amp;" Personally, I recommend this mutual, my warranty completed a small well -being guarantee that many other mutuals do not offer.
Maybe I would go back, we will see for the use of other mutuals.")</f>
        <v>I regret April for a financial question, because retired I find it a little too expensive for me. But on the other hand, nothing to say about exchanges, reimbursements, guaranteed compliance and reimbursements. I never had the slightest dispute with them. Personally, I recommend this mutual, my warranty completed a small well -being guarantee that many other mutuals do not offer.
Maybe I would go back, we will see for the use of other mutuals.</v>
      </c>
    </row>
    <row r="731" ht="15.75" customHeight="1">
      <c r="A731" s="2">
        <v>4.0</v>
      </c>
      <c r="B731" s="2" t="s">
        <v>2058</v>
      </c>
      <c r="C731" s="2" t="s">
        <v>2059</v>
      </c>
      <c r="D731" s="2" t="s">
        <v>19</v>
      </c>
      <c r="E731" s="2" t="s">
        <v>20</v>
      </c>
      <c r="F731" s="2" t="s">
        <v>15</v>
      </c>
      <c r="G731" s="2" t="s">
        <v>624</v>
      </c>
      <c r="H731" s="2" t="s">
        <v>32</v>
      </c>
      <c r="I731" s="2" t="str">
        <f>IFERROR(__xludf.DUMMYFUNCTION("GOOGLETRANSLATE(C731,""fr"",""en"")"),"I am satisfied but a shame to pay the first two months at once it is not always easy!
In any case the prices are still tops and the site is very well done.")</f>
        <v>I am satisfied but a shame to pay the first two months at once it is not always easy!
In any case the prices are still tops and the site is very well done.</v>
      </c>
    </row>
    <row r="732" ht="15.75" customHeight="1">
      <c r="A732" s="2">
        <v>2.0</v>
      </c>
      <c r="B732" s="2" t="s">
        <v>2060</v>
      </c>
      <c r="C732" s="2" t="s">
        <v>2061</v>
      </c>
      <c r="D732" s="2" t="s">
        <v>95</v>
      </c>
      <c r="E732" s="2" t="s">
        <v>20</v>
      </c>
      <c r="F732" s="2" t="s">
        <v>15</v>
      </c>
      <c r="G732" s="2" t="s">
        <v>2062</v>
      </c>
      <c r="H732" s="2" t="s">
        <v>729</v>
      </c>
      <c r="I732" s="2" t="str">
        <f>IFERROR(__xludf.DUMMYFUNCTION("GOOGLETRANSLATE(C732,""fr"",""en"")"),"The MAAF seems to be good insurance until you have a disaster. There is no one left. Following a disaster I have been unable to reach the maaf for 2 days (standard does not respond). Worse my emails are sent to me by cause of full mailbox! Never seen this"&amp;" in 20 years of the Internet. The MAAF had promised to send me a tug to move my vehicle. This one has never come. When I recalled the Maaf my interlocutor attacked me on the phone making me responsible for the incident. However, I had clarified in the MAA"&amp;"F that my vehicle was in an underground parking lot.")</f>
        <v>The MAAF seems to be good insurance until you have a disaster. There is no one left. Following a disaster I have been unable to reach the maaf for 2 days (standard does not respond). Worse my emails are sent to me by cause of full mailbox! Never seen this in 20 years of the Internet. The MAAF had promised to send me a tug to move my vehicle. This one has never come. When I recalled the Maaf my interlocutor attacked me on the phone making me responsible for the incident. However, I had clarified in the MAAF that my vehicle was in an underground parking lot.</v>
      </c>
    </row>
    <row r="733" ht="15.75" customHeight="1">
      <c r="A733" s="2">
        <v>1.0</v>
      </c>
      <c r="B733" s="2" t="s">
        <v>2063</v>
      </c>
      <c r="C733" s="2" t="s">
        <v>2064</v>
      </c>
      <c r="D733" s="2" t="s">
        <v>366</v>
      </c>
      <c r="E733" s="2" t="s">
        <v>135</v>
      </c>
      <c r="F733" s="2" t="s">
        <v>15</v>
      </c>
      <c r="G733" s="2" t="s">
        <v>2065</v>
      </c>
      <c r="H733" s="2" t="s">
        <v>79</v>
      </c>
      <c r="I733" s="2" t="str">
        <f>IFERROR(__xludf.DUMMYFUNCTION("GOOGLETRANSLATE(C733,""fr"",""en"")"),"Allianz made a mistake in the distribution of my voluntary payment on my per. I have informed them for a month and a half. The problem is still not resolved! The golden palm of bureaucratic customer service ... ""We will manage your problem within 3 weeks"&amp;" to 2 months"". Hear that in 2020, we think we are dreaming!")</f>
        <v>Allianz made a mistake in the distribution of my voluntary payment on my per. I have informed them for a month and a half. The problem is still not resolved! The golden palm of bureaucratic customer service ... "We will manage your problem within 3 weeks to 2 months". Hear that in 2020, we think we are dreaming!</v>
      </c>
    </row>
    <row r="734" ht="15.75" customHeight="1">
      <c r="A734" s="2">
        <v>1.0</v>
      </c>
      <c r="B734" s="2" t="s">
        <v>2066</v>
      </c>
      <c r="C734" s="2" t="s">
        <v>2067</v>
      </c>
      <c r="D734" s="2" t="s">
        <v>494</v>
      </c>
      <c r="E734" s="2" t="s">
        <v>122</v>
      </c>
      <c r="F734" s="2" t="s">
        <v>15</v>
      </c>
      <c r="G734" s="2" t="s">
        <v>2068</v>
      </c>
      <c r="H734" s="2" t="s">
        <v>347</v>
      </c>
      <c r="I734" s="2" t="str">
        <f>IFERROR(__xludf.DUMMYFUNCTION("GOOGLETRANSLATE(C734,""fr"",""en"")"),"No respect in terms of customers, are not attentive they do not follow any file correctly I have an important heritage and I am therefore looking for another insurance, because I am no longer confidence in Sogessur they are really disrespectful I strongly"&amp;" advise against. I have been waiting for a refund for 3 months if I am not called it they did not count repaying they simply waited until I forget my money. Another advisor who is called Gladis sent me clearly send me walking because I called to ask for a"&amp;" short disaster observations a big catastrophe")</f>
        <v>No respect in terms of customers, are not attentive they do not follow any file correctly I have an important heritage and I am therefore looking for another insurance, because I am no longer confidence in Sogessur they are really disrespectful I strongly advise against. I have been waiting for a refund for 3 months if I am not called it they did not count repaying they simply waited until I forget my money. Another advisor who is called Gladis sent me clearly send me walking because I called to ask for a short disaster observations a big catastrophe</v>
      </c>
    </row>
    <row r="735" ht="15.75" customHeight="1">
      <c r="A735" s="2">
        <v>1.0</v>
      </c>
      <c r="B735" s="2" t="s">
        <v>2069</v>
      </c>
      <c r="C735" s="2" t="s">
        <v>2070</v>
      </c>
      <c r="D735" s="2" t="s">
        <v>43</v>
      </c>
      <c r="E735" s="2" t="s">
        <v>20</v>
      </c>
      <c r="F735" s="2" t="s">
        <v>15</v>
      </c>
      <c r="G735" s="2" t="s">
        <v>1698</v>
      </c>
      <c r="H735" s="2" t="s">
        <v>92</v>
      </c>
      <c r="I735" s="2" t="str">
        <f>IFERROR(__xludf.DUMMYFUNCTION("GOOGLETRANSLATE(C735,""fr"",""en"")"),"I do not recommend GMF
My son has found the damaged car and despite being assured of all risks the GMF categorically refused to take care of repairs. This is useless to pay all -risk insurance to GMF for 30 years !!!
Do not go to the GMF.")</f>
        <v>I do not recommend GMF
My son has found the damaged car and despite being assured of all risks the GMF categorically refused to take care of repairs. This is useless to pay all -risk insurance to GMF for 30 years !!!
Do not go to the GMF.</v>
      </c>
    </row>
    <row r="736" ht="15.75" customHeight="1">
      <c r="A736" s="2">
        <v>5.0</v>
      </c>
      <c r="B736" s="2" t="s">
        <v>2071</v>
      </c>
      <c r="C736" s="2" t="s">
        <v>2072</v>
      </c>
      <c r="D736" s="2" t="s">
        <v>19</v>
      </c>
      <c r="E736" s="2" t="s">
        <v>20</v>
      </c>
      <c r="F736" s="2" t="s">
        <v>15</v>
      </c>
      <c r="G736" s="2" t="s">
        <v>274</v>
      </c>
      <c r="H736" s="2" t="s">
        <v>32</v>
      </c>
      <c r="I736" s="2" t="str">
        <f>IFERROR(__xludf.DUMMYFUNCTION("GOOGLETRANSLATE(C736,""fr"",""en"")"),"Good insurance, listened. Bon followed. Consulting at l, pleasant listening explains well gives all the information necessary. Bon followed client. I recommend this insurance")</f>
        <v>Good insurance, listened. Bon followed. Consulting at l, pleasant listening explains well gives all the information necessary. Bon followed client. I recommend this insurance</v>
      </c>
    </row>
    <row r="737" ht="15.75" customHeight="1">
      <c r="A737" s="2">
        <v>1.0</v>
      </c>
      <c r="B737" s="2" t="s">
        <v>2073</v>
      </c>
      <c r="C737" s="2" t="s">
        <v>2074</v>
      </c>
      <c r="D737" s="2" t="s">
        <v>35</v>
      </c>
      <c r="E737" s="2" t="s">
        <v>20</v>
      </c>
      <c r="F737" s="2" t="s">
        <v>15</v>
      </c>
      <c r="G737" s="2" t="s">
        <v>2075</v>
      </c>
      <c r="H737" s="2" t="s">
        <v>491</v>
      </c>
      <c r="I737" s="2" t="str">
        <f>IFERROR(__xludf.DUMMYFUNCTION("GOOGLETRANSLATE(C737,""fr"",""en"")"),"Extremely disappointed by the olive tree. Everything was fine (prices, contacts ...), until my move ... In addition to an increase in my subscription after a year, the change of garage place of my vehicle (at the D Fund D 'A dead end in a country city of "&amp;"1000 inhabitants) leads to an endorsement of more than 200 € or a total of € 753 while the quotes on their site amount to € 500 for the same situation !!!
I do not understand and when I ask for explanations, the only return I have is my situation stateme"&amp;"nt for me to change insurer ...")</f>
        <v>Extremely disappointed by the olive tree. Everything was fine (prices, contacts ...), until my move ... In addition to an increase in my subscription after a year, the change of garage place of my vehicle (at the D Fund D 'A dead end in a country city of 1000 inhabitants) leads to an endorsement of more than 200 € or a total of € 753 while the quotes on their site amount to € 500 for the same situation !!!
I do not understand and when I ask for explanations, the only return I have is my situation statement for me to change insurer ...</v>
      </c>
    </row>
    <row r="738" ht="15.75" customHeight="1">
      <c r="A738" s="2">
        <v>4.0</v>
      </c>
      <c r="B738" s="2" t="s">
        <v>2076</v>
      </c>
      <c r="C738" s="2" t="s">
        <v>2077</v>
      </c>
      <c r="D738" s="2" t="s">
        <v>48</v>
      </c>
      <c r="E738" s="2" t="s">
        <v>14</v>
      </c>
      <c r="F738" s="2" t="s">
        <v>15</v>
      </c>
      <c r="G738" s="2" t="s">
        <v>1698</v>
      </c>
      <c r="H738" s="2" t="s">
        <v>92</v>
      </c>
      <c r="I738" s="2" t="str">
        <f>IFERROR(__xludf.DUMMYFUNCTION("GOOGLETRANSLATE(C738,""fr"",""en"")"),"Everything is clear. The website is very well done and easy to use.
Without doubt the 2 -wheel insurance at the top of the classification for the price and the levels of services.")</f>
        <v>Everything is clear. The website is very well done and easy to use.
Without doubt the 2 -wheel insurance at the top of the classification for the price and the levels of services.</v>
      </c>
    </row>
    <row r="739" ht="15.75" customHeight="1">
      <c r="A739" s="2">
        <v>5.0</v>
      </c>
      <c r="B739" s="2" t="s">
        <v>2078</v>
      </c>
      <c r="C739" s="2" t="s">
        <v>2079</v>
      </c>
      <c r="D739" s="2" t="s">
        <v>171</v>
      </c>
      <c r="E739" s="2" t="s">
        <v>14</v>
      </c>
      <c r="F739" s="2" t="s">
        <v>15</v>
      </c>
      <c r="G739" s="2" t="s">
        <v>2080</v>
      </c>
      <c r="H739" s="2" t="s">
        <v>131</v>
      </c>
      <c r="I739" s="2" t="str">
        <f>IFERROR(__xludf.DUMMYFUNCTION("GOOGLETRANSLATE(C739,""fr"",""en"")"),"I am satisfied with the time that its really great I will receive my paper on mailbox thank you for your answer
Madame Godmer Sarah
See you soon")</f>
        <v>I am satisfied with the time that its really great I will receive my paper on mailbox thank you for your answer
Madame Godmer Sarah
See you soon</v>
      </c>
    </row>
    <row r="740" ht="15.75" customHeight="1">
      <c r="A740" s="2">
        <v>5.0</v>
      </c>
      <c r="B740" s="2" t="s">
        <v>2081</v>
      </c>
      <c r="C740" s="2" t="s">
        <v>2082</v>
      </c>
      <c r="D740" s="2" t="s">
        <v>171</v>
      </c>
      <c r="E740" s="2" t="s">
        <v>14</v>
      </c>
      <c r="F740" s="2" t="s">
        <v>15</v>
      </c>
      <c r="G740" s="2" t="s">
        <v>2083</v>
      </c>
      <c r="H740" s="2" t="s">
        <v>131</v>
      </c>
      <c r="I740" s="2" t="str">
        <f>IFERROR(__xludf.DUMMYFUNCTION("GOOGLETRANSLATE(C740,""fr"",""en"")"),"Hello Miss, Sir
Simple and fast nothing to complain about I recommend this insurance company without worries
Thanks to the site L'E Es Furet for the recommendation
")</f>
        <v>Hello Miss, Sir
Simple and fast nothing to complain about I recommend this insurance company without worries
Thanks to the site L'E Es Furet for the recommendation
</v>
      </c>
    </row>
    <row r="741" ht="15.75" customHeight="1">
      <c r="A741" s="2">
        <v>1.0</v>
      </c>
      <c r="B741" s="2" t="s">
        <v>2084</v>
      </c>
      <c r="C741" s="2" t="s">
        <v>2085</v>
      </c>
      <c r="D741" s="2" t="s">
        <v>35</v>
      </c>
      <c r="E741" s="2" t="s">
        <v>20</v>
      </c>
      <c r="F741" s="2" t="s">
        <v>15</v>
      </c>
      <c r="G741" s="2" t="s">
        <v>2086</v>
      </c>
      <c r="H741" s="2" t="s">
        <v>53</v>
      </c>
      <c r="I741" s="2" t="str">
        <f>IFERROR(__xludf.DUMMYFUNCTION("GOOGLETRANSLATE(C741,""fr"",""en"")"),"Very good insurance to sell you wind. Not expensive but as soon as the accident arrives no monitoring of the sinister service. Blocking of the file for so-called missing parts never revived and additional documents to provide to advance the repair.
Commu"&amp;"nication = 0 File monitoring = 0
The worse time insured of customer service, deposit of documents without notice or deposit date, no acknowledgment of receipt (deposit made several times without modifying the documents requested)
In short: inexpensive i"&amp;"nsurance but processing of your claim and followed by your file at the endorsement.
Annual insurance annuity increased by 5% without notice.
Scandalous and to flee absolutely.
")</f>
        <v>Very good insurance to sell you wind. Not expensive but as soon as the accident arrives no monitoring of the sinister service. Blocking of the file for so-called missing parts never revived and additional documents to provide to advance the repair.
Communication = 0 File monitoring = 0
The worse time insured of customer service, deposit of documents without notice or deposit date, no acknowledgment of receipt (deposit made several times without modifying the documents requested)
In short: inexpensive insurance but processing of your claim and followed by your file at the endorsement.
Annual insurance annuity increased by 5% without notice.
Scandalous and to flee absolutely.
</v>
      </c>
    </row>
    <row r="742" ht="15.75" customHeight="1">
      <c r="A742" s="2">
        <v>2.0</v>
      </c>
      <c r="B742" s="2" t="s">
        <v>2087</v>
      </c>
      <c r="C742" s="2" t="s">
        <v>2088</v>
      </c>
      <c r="D742" s="2" t="s">
        <v>43</v>
      </c>
      <c r="E742" s="2" t="s">
        <v>20</v>
      </c>
      <c r="F742" s="2" t="s">
        <v>15</v>
      </c>
      <c r="G742" s="2" t="s">
        <v>2089</v>
      </c>
      <c r="H742" s="2" t="s">
        <v>88</v>
      </c>
      <c r="I742" s="2" t="str">
        <f>IFERROR(__xludf.DUMMYFUNCTION("GOOGLETRANSLATE(C742,""fr"",""en"")"),"Lack of ethics. Inaccessible service except platform that makes its best in the face of mediocrity and the errors of the agency")</f>
        <v>Lack of ethics. Inaccessible service except platform that makes its best in the face of mediocrity and the errors of the agency</v>
      </c>
    </row>
    <row r="743" ht="15.75" customHeight="1">
      <c r="A743" s="2">
        <v>1.0</v>
      </c>
      <c r="B743" s="2" t="s">
        <v>2090</v>
      </c>
      <c r="C743" s="2" t="s">
        <v>2091</v>
      </c>
      <c r="D743" s="2" t="s">
        <v>111</v>
      </c>
      <c r="E743" s="2" t="s">
        <v>214</v>
      </c>
      <c r="F743" s="2" t="s">
        <v>15</v>
      </c>
      <c r="G743" s="2" t="s">
        <v>1899</v>
      </c>
      <c r="H743" s="2" t="s">
        <v>186</v>
      </c>
      <c r="I743" s="2" t="str">
        <f>IFERROR(__xludf.DUMMYFUNCTION("GOOGLETRANSLATE(C743,""fr"",""en"")"),"The management of work accidents is catastrophic it is a shame, at this stage we no longer speak of incompetence but of Arna that! It's been over 6 months that I no longer perceive any salary! The urgency is vital today, they do not have to do, and lay me"&amp;" a new pretext for each call so as not to have to settle. I have already contacted a lawyer to assign them in court!")</f>
        <v>The management of work accidents is catastrophic it is a shame, at this stage we no longer speak of incompetence but of Arna that! It's been over 6 months that I no longer perceive any salary! The urgency is vital today, they do not have to do, and lay me a new pretext for each call so as not to have to settle. I have already contacted a lawyer to assign them in court!</v>
      </c>
    </row>
    <row r="744" ht="15.75" customHeight="1">
      <c r="A744" s="2">
        <v>5.0</v>
      </c>
      <c r="B744" s="2" t="s">
        <v>2092</v>
      </c>
      <c r="C744" s="2" t="s">
        <v>2093</v>
      </c>
      <c r="D744" s="2" t="s">
        <v>19</v>
      </c>
      <c r="E744" s="2" t="s">
        <v>20</v>
      </c>
      <c r="F744" s="2" t="s">
        <v>15</v>
      </c>
      <c r="G744" s="2" t="s">
        <v>274</v>
      </c>
      <c r="H744" s="2" t="s">
        <v>32</v>
      </c>
      <c r="I744" s="2" t="str">
        <f>IFERROR(__xludf.DUMMYFUNCTION("GOOGLETRANSLATE(C744,""fr"",""en"")"),"Very good service and attractive price. Perfectly meets expectations. The offer offered is adapted to my needs with remarkable responsiveness. Thank you.")</f>
        <v>Very good service and attractive price. Perfectly meets expectations. The offer offered is adapted to my needs with remarkable responsiveness. Thank you.</v>
      </c>
    </row>
    <row r="745" ht="15.75" customHeight="1">
      <c r="A745" s="2">
        <v>1.0</v>
      </c>
      <c r="B745" s="2" t="s">
        <v>2094</v>
      </c>
      <c r="C745" s="2" t="s">
        <v>2095</v>
      </c>
      <c r="D745" s="2" t="s">
        <v>35</v>
      </c>
      <c r="E745" s="2" t="s">
        <v>20</v>
      </c>
      <c r="F745" s="2" t="s">
        <v>15</v>
      </c>
      <c r="G745" s="2" t="s">
        <v>2096</v>
      </c>
      <c r="H745" s="2" t="s">
        <v>216</v>
      </c>
      <c r="I745" s="2" t="str">
        <f>IFERROR(__xludf.DUMMYFUNCTION("GOOGLETRANSLATE(C745,""fr"",""en"")"),"This has been ready for a year that I had a disaster without being in wrong and absolutely no followed from the olive tree after sending about 6 times the documents ask so I strongly advise against this insurance.")</f>
        <v>This has been ready for a year that I had a disaster without being in wrong and absolutely no followed from the olive tree after sending about 6 times the documents ask so I strongly advise against this insurance.</v>
      </c>
    </row>
    <row r="746" ht="15.75" customHeight="1">
      <c r="A746" s="2">
        <v>3.0</v>
      </c>
      <c r="B746" s="2" t="s">
        <v>2097</v>
      </c>
      <c r="C746" s="2" t="s">
        <v>2098</v>
      </c>
      <c r="D746" s="2" t="s">
        <v>19</v>
      </c>
      <c r="E746" s="2" t="s">
        <v>20</v>
      </c>
      <c r="F746" s="2" t="s">
        <v>15</v>
      </c>
      <c r="G746" s="2" t="s">
        <v>711</v>
      </c>
      <c r="H746" s="2" t="s">
        <v>164</v>
      </c>
      <c r="I746" s="2" t="str">
        <f>IFERROR(__xludf.DUMMYFUNCTION("GOOGLETRANSLATE(C746,""fr"",""en"")"),"Rather satisfied with the service
And happy with the Youdrive service if it allows you to lower the bill
Because insurance a little expensive year -round
Site for very well detailed and supplied quotes")</f>
        <v>Rather satisfied with the service
And happy with the Youdrive service if it allows you to lower the bill
Because insurance a little expensive year -round
Site for very well detailed and supplied quotes</v>
      </c>
    </row>
    <row r="747" ht="15.75" customHeight="1">
      <c r="A747" s="2">
        <v>5.0</v>
      </c>
      <c r="B747" s="2" t="s">
        <v>2099</v>
      </c>
      <c r="C747" s="2" t="s">
        <v>2100</v>
      </c>
      <c r="D747" s="2" t="s">
        <v>35</v>
      </c>
      <c r="E747" s="2" t="s">
        <v>20</v>
      </c>
      <c r="F747" s="2" t="s">
        <v>15</v>
      </c>
      <c r="G747" s="2" t="s">
        <v>2101</v>
      </c>
      <c r="H747" s="2" t="s">
        <v>45</v>
      </c>
      <c r="I747" s="2" t="str">
        <f>IFERROR(__xludf.DUMMYFUNCTION("GOOGLETRANSLATE(C747,""fr"",""en"")"),"Correct covers/contribution ratio, quick quote and clear information
To consult during new subscriptions, cars as a home without hesitation")</f>
        <v>Correct covers/contribution ratio, quick quote and clear information
To consult during new subscriptions, cars as a home without hesitation</v>
      </c>
    </row>
    <row r="748" ht="15.75" customHeight="1">
      <c r="A748" s="2">
        <v>3.0</v>
      </c>
      <c r="B748" s="2" t="s">
        <v>2102</v>
      </c>
      <c r="C748" s="2" t="s">
        <v>2103</v>
      </c>
      <c r="D748" s="2" t="s">
        <v>43</v>
      </c>
      <c r="E748" s="2" t="s">
        <v>20</v>
      </c>
      <c r="F748" s="2" t="s">
        <v>15</v>
      </c>
      <c r="G748" s="2" t="s">
        <v>908</v>
      </c>
      <c r="H748" s="2" t="s">
        <v>108</v>
      </c>
      <c r="I748" s="2" t="str">
        <f>IFERROR(__xludf.DUMMYFUNCTION("GOOGLETRANSLATE(C748,""fr"",""en"")"),"I am satisfied with the service
The welcome is pleasant and the answers to my questions have always had an answer until now
I am part of this insurance and for the moment everything is fine")</f>
        <v>I am satisfied with the service
The welcome is pleasant and the answers to my questions have always had an answer until now
I am part of this insurance and for the moment everything is fine</v>
      </c>
    </row>
    <row r="749" ht="15.75" customHeight="1">
      <c r="A749" s="2">
        <v>1.0</v>
      </c>
      <c r="B749" s="2" t="s">
        <v>2104</v>
      </c>
      <c r="C749" s="2" t="s">
        <v>2105</v>
      </c>
      <c r="D749" s="2" t="s">
        <v>19</v>
      </c>
      <c r="E749" s="2" t="s">
        <v>20</v>
      </c>
      <c r="F749" s="2" t="s">
        <v>15</v>
      </c>
      <c r="G749" s="2" t="s">
        <v>1158</v>
      </c>
      <c r="H749" s="2" t="s">
        <v>251</v>
      </c>
      <c r="I749" s="2" t="str">
        <f>IFERROR(__xludf.DUMMYFUNCTION("GOOGLETRANSLATE(C749,""fr"",""en"")"),"20 % increase in 2 years from 2017 to 2019 without accident which says better or extension of warranty?")</f>
        <v>20 % increase in 2 years from 2017 to 2019 without accident which says better or extension of warranty?</v>
      </c>
    </row>
    <row r="750" ht="15.75" customHeight="1">
      <c r="A750" s="2">
        <v>4.0</v>
      </c>
      <c r="B750" s="2" t="s">
        <v>2106</v>
      </c>
      <c r="C750" s="2" t="s">
        <v>2107</v>
      </c>
      <c r="D750" s="2" t="s">
        <v>245</v>
      </c>
      <c r="E750" s="2" t="s">
        <v>61</v>
      </c>
      <c r="F750" s="2" t="s">
        <v>15</v>
      </c>
      <c r="G750" s="2" t="s">
        <v>2108</v>
      </c>
      <c r="H750" s="2" t="s">
        <v>247</v>
      </c>
      <c r="I750" s="2" t="str">
        <f>IFERROR(__xludf.DUMMYFUNCTION("GOOGLETRANSLATE(C750,""fr"",""en"")"),"Very well informed the person who calls me was very professional. Listening to my requests.")</f>
        <v>Very well informed the person who calls me was very professional. Listening to my requests.</v>
      </c>
    </row>
    <row r="751" ht="15.75" customHeight="1">
      <c r="A751" s="2">
        <v>5.0</v>
      </c>
      <c r="B751" s="2" t="s">
        <v>2109</v>
      </c>
      <c r="C751" s="2" t="s">
        <v>2110</v>
      </c>
      <c r="D751" s="2" t="s">
        <v>19</v>
      </c>
      <c r="E751" s="2" t="s">
        <v>20</v>
      </c>
      <c r="F751" s="2" t="s">
        <v>15</v>
      </c>
      <c r="G751" s="2" t="s">
        <v>1469</v>
      </c>
      <c r="H751" s="2" t="s">
        <v>45</v>
      </c>
      <c r="I751" s="2" t="str">
        <f>IFERROR(__xludf.DUMMYFUNCTION("GOOGLETRANSLATE(C751,""fr"",""en"")"),"Entirely satisfied prices and quality of services and customer monitoring
reagent
I advise everyone and frankly it is good
It is well worth the big names in insurance")</f>
        <v>Entirely satisfied prices and quality of services and customer monitoring
reagent
I advise everyone and frankly it is good
It is well worth the big names in insurance</v>
      </c>
    </row>
    <row r="752" ht="15.75" customHeight="1">
      <c r="A752" s="2">
        <v>5.0</v>
      </c>
      <c r="B752" s="2" t="s">
        <v>2111</v>
      </c>
      <c r="C752" s="2" t="s">
        <v>2112</v>
      </c>
      <c r="D752" s="2" t="s">
        <v>35</v>
      </c>
      <c r="E752" s="2" t="s">
        <v>20</v>
      </c>
      <c r="F752" s="2" t="s">
        <v>15</v>
      </c>
      <c r="G752" s="2" t="s">
        <v>409</v>
      </c>
      <c r="H752" s="2" t="s">
        <v>108</v>
      </c>
      <c r="I752" s="2" t="str">
        <f>IFERROR(__xludf.DUMMYFUNCTION("GOOGLETRANSLATE(C752,""fr"",""en"")"),"Very professional, the price is attractive, and it is easy to find discounts on the net. It doesn't seem to hang out in length either so I only approve.")</f>
        <v>Very professional, the price is attractive, and it is easy to find discounts on the net. It doesn't seem to hang out in length either so I only approve.</v>
      </c>
    </row>
    <row r="753" ht="15.75" customHeight="1">
      <c r="A753" s="2">
        <v>4.0</v>
      </c>
      <c r="B753" s="2" t="s">
        <v>2113</v>
      </c>
      <c r="C753" s="2" t="s">
        <v>2114</v>
      </c>
      <c r="D753" s="2" t="s">
        <v>19</v>
      </c>
      <c r="E753" s="2" t="s">
        <v>20</v>
      </c>
      <c r="F753" s="2" t="s">
        <v>15</v>
      </c>
      <c r="G753" s="2" t="s">
        <v>1860</v>
      </c>
      <c r="H753" s="2" t="s">
        <v>92</v>
      </c>
      <c r="I753" s="2" t="str">
        <f>IFERROR(__xludf.DUMMYFUNCTION("GOOGLETRANSLATE(C753,""fr"",""en"")"),"I am satisfied with the advisor
fast and effective
A commercial gesture would have been appreciated.
The application does not always work (halfol)
thank you")</f>
        <v>I am satisfied with the advisor
fast and effective
A commercial gesture would have been appreciated.
The application does not always work (halfol)
thank you</v>
      </c>
    </row>
    <row r="754" ht="15.75" customHeight="1">
      <c r="A754" s="2">
        <v>5.0</v>
      </c>
      <c r="B754" s="2" t="s">
        <v>2115</v>
      </c>
      <c r="C754" s="2" t="s">
        <v>2116</v>
      </c>
      <c r="D754" s="2" t="s">
        <v>35</v>
      </c>
      <c r="E754" s="2" t="s">
        <v>20</v>
      </c>
      <c r="F754" s="2" t="s">
        <v>15</v>
      </c>
      <c r="G754" s="2" t="s">
        <v>2117</v>
      </c>
      <c r="H754" s="2" t="s">
        <v>45</v>
      </c>
      <c r="I754" s="2" t="str">
        <f>IFERROR(__xludf.DUMMYFUNCTION("GOOGLETRANSLATE(C754,""fr"",""en"")"),"Satisfied with the service. Top customer service. The prices are very correct and there is a reduction of 10% if several car contracts. I recommend the olive assurance.")</f>
        <v>Satisfied with the service. Top customer service. The prices are very correct and there is a reduction of 10% if several car contracts. I recommend the olive assurance.</v>
      </c>
    </row>
    <row r="755" ht="15.75" customHeight="1">
      <c r="A755" s="2">
        <v>1.0</v>
      </c>
      <c r="B755" s="2" t="s">
        <v>2118</v>
      </c>
      <c r="C755" s="2" t="s">
        <v>2119</v>
      </c>
      <c r="D755" s="2" t="s">
        <v>532</v>
      </c>
      <c r="E755" s="2" t="s">
        <v>214</v>
      </c>
      <c r="F755" s="2" t="s">
        <v>15</v>
      </c>
      <c r="G755" s="2" t="s">
        <v>2120</v>
      </c>
      <c r="H755" s="2" t="s">
        <v>79</v>
      </c>
      <c r="I755" s="2" t="str">
        <f>IFERROR(__xludf.DUMMYFUNCTION("GOOGLETRANSLATE(C755,""fr"",""en"")"),"To run away absolutely
The only thing that works with them is the premium removal from your bank account.
In the event of a claim do not count on them. Late response, next to the plate or refusal without serious justification.
Do not hesitate to quickl"&amp;"y switch to litigation with them, mediator at first and then court then (a lawyer is necessary only for disputes over 10,000 euros).")</f>
        <v>To run away absolutely
The only thing that works with them is the premium removal from your bank account.
In the event of a claim do not count on them. Late response, next to the plate or refusal without serious justification.
Do not hesitate to quickly switch to litigation with them, mediator at first and then court then (a lawyer is necessary only for disputes over 10,000 euros).</v>
      </c>
    </row>
    <row r="756" ht="15.75" customHeight="1">
      <c r="A756" s="2">
        <v>1.0</v>
      </c>
      <c r="B756" s="2" t="s">
        <v>2121</v>
      </c>
      <c r="C756" s="2" t="s">
        <v>2122</v>
      </c>
      <c r="D756" s="2" t="s">
        <v>35</v>
      </c>
      <c r="E756" s="2" t="s">
        <v>20</v>
      </c>
      <c r="F756" s="2" t="s">
        <v>15</v>
      </c>
      <c r="G756" s="2" t="s">
        <v>385</v>
      </c>
      <c r="H756" s="2" t="s">
        <v>92</v>
      </c>
      <c r="I756" s="2" t="str">
        <f>IFERROR(__xludf.DUMMYFUNCTION("GOOGLETRANSLATE(C756,""fr"",""en"")"),"Price interest in the 1st year. Then it spoils: 20% increase in the 2nd year (without any claim). Refusal to revise this price. So termination and return to a classic insurer !!")</f>
        <v>Price interest in the 1st year. Then it spoils: 20% increase in the 2nd year (without any claim). Refusal to revise this price. So termination and return to a classic insurer !!</v>
      </c>
    </row>
    <row r="757" ht="15.75" customHeight="1">
      <c r="A757" s="2">
        <v>1.0</v>
      </c>
      <c r="B757" s="2" t="s">
        <v>2123</v>
      </c>
      <c r="C757" s="2" t="s">
        <v>2124</v>
      </c>
      <c r="D757" s="2" t="s">
        <v>56</v>
      </c>
      <c r="E757" s="2" t="s">
        <v>20</v>
      </c>
      <c r="F757" s="2" t="s">
        <v>15</v>
      </c>
      <c r="G757" s="2" t="s">
        <v>2125</v>
      </c>
      <c r="H757" s="2" t="s">
        <v>347</v>
      </c>
      <c r="I757" s="2" t="str">
        <f>IFERROR(__xludf.DUMMYFUNCTION("GOOGLETRANSLATE(C757,""fr"",""en"")"),"I plan to change the company quickly, insurance far too expensive compared to the competition.")</f>
        <v>I plan to change the company quickly, insurance far too expensive compared to the competition.</v>
      </c>
    </row>
    <row r="758" ht="15.75" customHeight="1">
      <c r="A758" s="2">
        <v>2.0</v>
      </c>
      <c r="B758" s="2" t="s">
        <v>2126</v>
      </c>
      <c r="C758" s="2" t="s">
        <v>2127</v>
      </c>
      <c r="D758" s="2" t="s">
        <v>95</v>
      </c>
      <c r="E758" s="2" t="s">
        <v>122</v>
      </c>
      <c r="F758" s="2" t="s">
        <v>15</v>
      </c>
      <c r="G758" s="2" t="s">
        <v>1361</v>
      </c>
      <c r="H758" s="2" t="s">
        <v>154</v>
      </c>
      <c r="I758" s="2" t="str">
        <f>IFERROR(__xludf.DUMMYFUNCTION("GOOGLETRANSLATE(C758,""fr"",""en"")"),"File open for more than a year, still in progress. Almost impossible to reach them. Sometimes more than 20 minutes of waiting without an interlocutor, or with multiple interlocutors who do not happen the information between them.
Do not respond to email."&amp;"
The email addresses communicated on waiting messages are wrong.
A nightmare")</f>
        <v>File open for more than a year, still in progress. Almost impossible to reach them. Sometimes more than 20 minutes of waiting without an interlocutor, or with multiple interlocutors who do not happen the information between them.
Do not respond to email.
The email addresses communicated on waiting messages are wrong.
A nightmare</v>
      </c>
    </row>
    <row r="759" ht="15.75" customHeight="1">
      <c r="A759" s="2">
        <v>3.0</v>
      </c>
      <c r="B759" s="2" t="s">
        <v>2128</v>
      </c>
      <c r="C759" s="2" t="s">
        <v>2129</v>
      </c>
      <c r="D759" s="2" t="s">
        <v>43</v>
      </c>
      <c r="E759" s="2" t="s">
        <v>20</v>
      </c>
      <c r="F759" s="2" t="s">
        <v>15</v>
      </c>
      <c r="G759" s="2" t="s">
        <v>529</v>
      </c>
      <c r="H759" s="2" t="s">
        <v>108</v>
      </c>
      <c r="I759" s="2" t="str">
        <f>IFERROR(__xludf.DUMMYFUNCTION("GOOGLETRANSLATE(C759,""fr"",""en"")"),"In more than 20 years twice unhappy with services. At the time of a death it is a shame. Customers' recall is very practical. The prices remain high.")</f>
        <v>In more than 20 years twice unhappy with services. At the time of a death it is a shame. Customers' recall is very practical. The prices remain high.</v>
      </c>
    </row>
    <row r="760" ht="15.75" customHeight="1">
      <c r="A760" s="2">
        <v>4.0</v>
      </c>
      <c r="B760" s="2" t="s">
        <v>2130</v>
      </c>
      <c r="C760" s="2" t="s">
        <v>2131</v>
      </c>
      <c r="D760" s="2" t="s">
        <v>171</v>
      </c>
      <c r="E760" s="2" t="s">
        <v>14</v>
      </c>
      <c r="F760" s="2" t="s">
        <v>15</v>
      </c>
      <c r="G760" s="2" t="s">
        <v>2132</v>
      </c>
      <c r="H760" s="2" t="s">
        <v>131</v>
      </c>
      <c r="I760" s="2" t="str">
        <f>IFERROR(__xludf.DUMMYFUNCTION("GOOGLETRANSLATE(C760,""fr"",""en"")"),"Simple to access, the price is lower than my previous Moto MAAF insurance, but of course too high in my taste, for efficiency we will see in the future
Cordially")</f>
        <v>Simple to access, the price is lower than my previous Moto MAAF insurance, but of course too high in my taste, for efficiency we will see in the future
Cordially</v>
      </c>
    </row>
    <row r="761" ht="15.75" customHeight="1">
      <c r="A761" s="2">
        <v>2.0</v>
      </c>
      <c r="B761" s="2" t="s">
        <v>2133</v>
      </c>
      <c r="C761" s="2" t="s">
        <v>2134</v>
      </c>
      <c r="D761" s="2" t="s">
        <v>111</v>
      </c>
      <c r="E761" s="2" t="s">
        <v>61</v>
      </c>
      <c r="F761" s="2" t="s">
        <v>15</v>
      </c>
      <c r="G761" s="2" t="s">
        <v>661</v>
      </c>
      <c r="H761" s="2" t="s">
        <v>108</v>
      </c>
      <c r="I761" s="2" t="str">
        <f>IFERROR(__xludf.DUMMYFUNCTION("GOOGLETRANSLATE(C761,""fr"",""en"")"),"Mutual to flee ....
not possible to put children on our two vital cards,
non -existent mobile application,
Website as shabby,
Very backward management of files
Very disapointed.")</f>
        <v>Mutual to flee ....
not possible to put children on our two vital cards,
non -existent mobile application,
Website as shabby,
Very backward management of files
Very disapointed.</v>
      </c>
    </row>
    <row r="762" ht="15.75" customHeight="1">
      <c r="A762" s="2">
        <v>2.0</v>
      </c>
      <c r="B762" s="2" t="s">
        <v>2135</v>
      </c>
      <c r="C762" s="2" t="s">
        <v>2136</v>
      </c>
      <c r="D762" s="2" t="s">
        <v>1014</v>
      </c>
      <c r="E762" s="2" t="s">
        <v>122</v>
      </c>
      <c r="F762" s="2" t="s">
        <v>15</v>
      </c>
      <c r="G762" s="2" t="s">
        <v>2137</v>
      </c>
      <c r="H762" s="2" t="s">
        <v>714</v>
      </c>
      <c r="I762" s="2" t="str">
        <f>IFERROR(__xludf.DUMMYFUNCTION("GOOGLETRANSLATE(C762,""fr"",""en"")"),"To become a customer everything is fine for when there is a disaster at stake we have been terminated like a dog registeredder")</f>
        <v>To become a customer everything is fine for when there is a disaster at stake we have been terminated like a dog registeredder</v>
      </c>
    </row>
    <row r="763" ht="15.75" customHeight="1">
      <c r="A763" s="2">
        <v>3.0</v>
      </c>
      <c r="B763" s="2" t="s">
        <v>2138</v>
      </c>
      <c r="C763" s="2" t="s">
        <v>2139</v>
      </c>
      <c r="D763" s="2" t="s">
        <v>19</v>
      </c>
      <c r="E763" s="2" t="s">
        <v>20</v>
      </c>
      <c r="F763" s="2" t="s">
        <v>15</v>
      </c>
      <c r="G763" s="2" t="s">
        <v>803</v>
      </c>
      <c r="H763" s="2" t="s">
        <v>108</v>
      </c>
      <c r="I763" s="2" t="str">
        <f>IFERROR(__xludf.DUMMYFUNCTION("GOOGLETRANSLATE(C763,""fr"",""en"")"),"Overall satisfied for the service for the price a little less because this an old car that I practically not use it and moreover I have my license since 2016 without accidents without claims")</f>
        <v>Overall satisfied for the service for the price a little less because this an old car that I practically not use it and moreover I have my license since 2016 without accidents without claims</v>
      </c>
    </row>
    <row r="764" ht="15.75" customHeight="1">
      <c r="A764" s="2">
        <v>3.0</v>
      </c>
      <c r="B764" s="2" t="s">
        <v>2140</v>
      </c>
      <c r="C764" s="2" t="s">
        <v>2141</v>
      </c>
      <c r="D764" s="2" t="s">
        <v>19</v>
      </c>
      <c r="E764" s="2" t="s">
        <v>20</v>
      </c>
      <c r="F764" s="2" t="s">
        <v>15</v>
      </c>
      <c r="G764" s="2" t="s">
        <v>2142</v>
      </c>
      <c r="H764" s="2" t="s">
        <v>74</v>
      </c>
      <c r="I764" s="2" t="str">
        <f>IFERROR(__xludf.DUMMYFUNCTION("GOOGLETRANSLATE(C764,""fr"",""en"")"),"I am satisfied. But too expensive. Because today I have proposals that are better than yours to date. Thank you for seeing your prices again to avoid my departure.
Cordially,")</f>
        <v>I am satisfied. But too expensive. Because today I have proposals that are better than yours to date. Thank you for seeing your prices again to avoid my departure.
Cordially,</v>
      </c>
    </row>
    <row r="765" ht="15.75" customHeight="1">
      <c r="A765" s="2">
        <v>5.0</v>
      </c>
      <c r="B765" s="2" t="s">
        <v>2143</v>
      </c>
      <c r="C765" s="2" t="s">
        <v>2144</v>
      </c>
      <c r="D765" s="2" t="s">
        <v>35</v>
      </c>
      <c r="E765" s="2" t="s">
        <v>20</v>
      </c>
      <c r="F765" s="2" t="s">
        <v>15</v>
      </c>
      <c r="G765" s="2" t="s">
        <v>1044</v>
      </c>
      <c r="H765" s="2" t="s">
        <v>131</v>
      </c>
      <c r="I765" s="2" t="str">
        <f>IFERROR(__xludf.DUMMYFUNCTION("GOOGLETRANSLATE(C765,""fr"",""en"")"),"I am satisfied with the services offered simple and fast, management of termination of my current contract, price that suits me, and perfect reception")</f>
        <v>I am satisfied with the services offered simple and fast, management of termination of my current contract, price that suits me, and perfect reception</v>
      </c>
    </row>
    <row r="766" ht="15.75" customHeight="1">
      <c r="A766" s="2">
        <v>1.0</v>
      </c>
      <c r="B766" s="2" t="s">
        <v>2145</v>
      </c>
      <c r="C766" s="2" t="s">
        <v>2146</v>
      </c>
      <c r="D766" s="2" t="s">
        <v>350</v>
      </c>
      <c r="E766" s="2" t="s">
        <v>61</v>
      </c>
      <c r="F766" s="2" t="s">
        <v>15</v>
      </c>
      <c r="G766" s="2" t="s">
        <v>2147</v>
      </c>
      <c r="H766" s="2" t="s">
        <v>395</v>
      </c>
      <c r="I766" s="2" t="str">
        <f>IFERROR(__xludf.DUMMYFUNCTION("GOOGLETRANSLATE(C766,""fr"",""en"")"),"Paying more than 113 euros per month for a single person
I paid 19.90 euros at my ophthalmologist who was not reimbursed to me by April after 6 months
The reason we do not take this act into account.
In addition to paying 113 euros per month they ask m"&amp;"e for management fees 1 euros plus 5 euros plus 2 euros etc ....
Reimbursement period is not 48 hours but minimum 15 days
I just sent me a contract termination on the birthday date
")</f>
        <v>Paying more than 113 euros per month for a single person
I paid 19.90 euros at my ophthalmologist who was not reimbursed to me by April after 6 months
The reason we do not take this act into account.
In addition to paying 113 euros per month they ask me for management fees 1 euros plus 5 euros plus 2 euros etc ....
Reimbursement period is not 48 hours but minimum 15 days
I just sent me a contract termination on the birthday date
</v>
      </c>
    </row>
    <row r="767" ht="15.75" customHeight="1">
      <c r="A767" s="2">
        <v>1.0</v>
      </c>
      <c r="B767" s="2" t="s">
        <v>2148</v>
      </c>
      <c r="C767" s="2" t="s">
        <v>2149</v>
      </c>
      <c r="D767" s="2" t="s">
        <v>193</v>
      </c>
      <c r="E767" s="2" t="s">
        <v>20</v>
      </c>
      <c r="F767" s="2" t="s">
        <v>15</v>
      </c>
      <c r="G767" s="2" t="s">
        <v>1219</v>
      </c>
      <c r="H767" s="2" t="s">
        <v>256</v>
      </c>
      <c r="I767" s="2" t="str">
        <f>IFERROR(__xludf.DUMMYFUNCTION("GOOGLETRANSLATE(C767,""fr"",""en"")"),"Very unhappy on my car contract
Assured all-risk in the Matmut for ten years, I have had several annual cost contracts € 1084 per year.
No luck over the last 3 years = 4 findings including only one (responsible without third party identified) they have "&amp;"supported the replacement of a rear bumper, cost around € 500
For the other three my responsibility is absolutely not engaged.
In addition, I have a bonus for good driving of 0.50.
 My contributions always paid in time.
Know ladies and gentlemen that "&amp;"the Matmut has just canceled me for (loss !!!!)
In other words, if you don't cost them anything if you don't ask them anything will go well if not fired.
")</f>
        <v>Very unhappy on my car contract
Assured all-risk in the Matmut for ten years, I have had several annual cost contracts € 1084 per year.
No luck over the last 3 years = 4 findings including only one (responsible without third party identified) they have supported the replacement of a rear bumper, cost around € 500
For the other three my responsibility is absolutely not engaged.
In addition, I have a bonus for good driving of 0.50.
 My contributions always paid in time.
Know ladies and gentlemen that the Matmut has just canceled me for (loss !!!!)
In other words, if you don't cost them anything if you don't ask them anything will go well if not fired.
</v>
      </c>
    </row>
    <row r="768" ht="15.75" customHeight="1">
      <c r="A768" s="2">
        <v>1.0</v>
      </c>
      <c r="B768" s="2" t="s">
        <v>2150</v>
      </c>
      <c r="C768" s="2" t="s">
        <v>2151</v>
      </c>
      <c r="D768" s="2" t="s">
        <v>100</v>
      </c>
      <c r="E768" s="2" t="s">
        <v>20</v>
      </c>
      <c r="F768" s="2" t="s">
        <v>15</v>
      </c>
      <c r="G768" s="2" t="s">
        <v>2152</v>
      </c>
      <c r="H768" s="2" t="s">
        <v>1757</v>
      </c>
      <c r="I768" s="2" t="str">
        <f>IFERROR(__xludf.DUMMYFUNCTION("GOOGLETRANSLATE(C768,""fr"",""en"")"),"I subscribed to them he changes my contract he sends me a quote that I sign asking myself to pay 45 € which I agree to do then 2 days after they asks me 99 € more we do not know why? ?")</f>
        <v>I subscribed to them he changes my contract he sends me a quote that I sign asking myself to pay 45 € which I agree to do then 2 days after they asks me 99 € more we do not know why? ?</v>
      </c>
    </row>
    <row r="769" ht="15.75" customHeight="1">
      <c r="A769" s="2">
        <v>4.0</v>
      </c>
      <c r="B769" s="2" t="s">
        <v>2153</v>
      </c>
      <c r="C769" s="2" t="s">
        <v>2154</v>
      </c>
      <c r="D769" s="2" t="s">
        <v>35</v>
      </c>
      <c r="E769" s="2" t="s">
        <v>20</v>
      </c>
      <c r="F769" s="2" t="s">
        <v>15</v>
      </c>
      <c r="G769" s="2" t="s">
        <v>570</v>
      </c>
      <c r="H769" s="2" t="s">
        <v>32</v>
      </c>
      <c r="I769" s="2" t="str">
        <f>IFERROR(__xludf.DUMMYFUNCTION("GOOGLETRANSLATE(C769,""fr"",""en"")"),"I am satisfied with the olive assurance which with its very responsive advisers and its competitive prices, meets my expectations as an automotive arrangement")</f>
        <v>I am satisfied with the olive assurance which with its very responsive advisers and its competitive prices, meets my expectations as an automotive arrangement</v>
      </c>
    </row>
    <row r="770" ht="15.75" customHeight="1">
      <c r="A770" s="2">
        <v>2.0</v>
      </c>
      <c r="B770" s="2" t="s">
        <v>2155</v>
      </c>
      <c r="C770" s="2" t="s">
        <v>2156</v>
      </c>
      <c r="D770" s="2" t="s">
        <v>285</v>
      </c>
      <c r="E770" s="2" t="s">
        <v>122</v>
      </c>
      <c r="F770" s="2" t="s">
        <v>15</v>
      </c>
      <c r="G770" s="2" t="s">
        <v>2157</v>
      </c>
      <c r="H770" s="2" t="s">
        <v>1489</v>
      </c>
      <c r="I770" s="2" t="str">
        <f>IFERROR(__xludf.DUMMYFUNCTION("GOOGLETRANSLATE(C770,""fr"",""en"")"),"It's been more than 45 years that I have been a loyal customer of the Macif. I had a problem of external pipes for which I have an option, the Macif sends me an expert it arrives in the pockets without any tools control and disdain lift the visit hatch to"&amp;" access the buried pipes, and automatically it considers the value of the strict minimum of damage caused for obsolescence. I dispute the derisory sum from the Macif and complain as it should be in the quality service, it refers to the experts of the expe"&amp;"rt and refuse my request. Then I am told to make a letter to their mediator who will decide almost a year ago that it lasts I await its decision and according to it I would take note.")</f>
        <v>It's been more than 45 years that I have been a loyal customer of the Macif. I had a problem of external pipes for which I have an option, the Macif sends me an expert it arrives in the pockets without any tools control and disdain lift the visit hatch to access the buried pipes, and automatically it considers the value of the strict minimum of damage caused for obsolescence. I dispute the derisory sum from the Macif and complain as it should be in the quality service, it refers to the experts of the expert and refuse my request. Then I am told to make a letter to their mediator who will decide almost a year ago that it lasts I await its decision and according to it I would take note.</v>
      </c>
    </row>
    <row r="771" ht="15.75" customHeight="1">
      <c r="A771" s="2">
        <v>1.0</v>
      </c>
      <c r="B771" s="2" t="s">
        <v>2158</v>
      </c>
      <c r="C771" s="2" t="s">
        <v>2159</v>
      </c>
      <c r="D771" s="2" t="s">
        <v>24</v>
      </c>
      <c r="E771" s="2" t="s">
        <v>122</v>
      </c>
      <c r="F771" s="2" t="s">
        <v>15</v>
      </c>
      <c r="G771" s="2" t="s">
        <v>1155</v>
      </c>
      <c r="H771" s="2" t="s">
        <v>53</v>
      </c>
      <c r="I771" s="2" t="str">
        <f>IFERROR(__xludf.DUMMYFUNCTION("GOOGLETRANSLATE(C771,""fr"",""en"")"),"Insoling people, with no professionalism, Axa Agence Rue Arson Nice to banish, you always feel like they disturb them, haughty people, receives you with coffee in hand, always on break, and as many staff to do nothing And to discuss, without counting thei"&amp;"r opening hours, inappropriate slots to the working people, opens at 10 a.m. firm at 12 noon to reopen in the afternoon, it is unacceptable, knowing that the agency is at the center of Nice.")</f>
        <v>Insoling people, with no professionalism, Axa Agence Rue Arson Nice to banish, you always feel like they disturb them, haughty people, receives you with coffee in hand, always on break, and as many staff to do nothing And to discuss, without counting their opening hours, inappropriate slots to the working people, opens at 10 a.m. firm at 12 noon to reopen in the afternoon, it is unacceptable, knowing that the agency is at the center of Nice.</v>
      </c>
    </row>
    <row r="772" ht="15.75" customHeight="1">
      <c r="A772" s="2">
        <v>1.0</v>
      </c>
      <c r="B772" s="2" t="s">
        <v>2160</v>
      </c>
      <c r="C772" s="2" t="s">
        <v>2161</v>
      </c>
      <c r="D772" s="2" t="s">
        <v>19</v>
      </c>
      <c r="E772" s="2" t="s">
        <v>20</v>
      </c>
      <c r="F772" s="2" t="s">
        <v>15</v>
      </c>
      <c r="G772" s="2" t="s">
        <v>2162</v>
      </c>
      <c r="H772" s="2" t="s">
        <v>1489</v>
      </c>
      <c r="I772" s="2" t="str">
        <f>IFERROR(__xludf.DUMMYFUNCTION("GOOGLETRANSLATE(C772,""fr"",""en"")"),"The Ice Brisse deductible being 25% of the amount of the invoice is excessive.
Reason why I take steps to change insurer within a short time")</f>
        <v>The Ice Brisse deductible being 25% of the amount of the invoice is excessive.
Reason why I take steps to change insurer within a short time</v>
      </c>
    </row>
    <row r="773" ht="15.75" customHeight="1">
      <c r="A773" s="2">
        <v>3.0</v>
      </c>
      <c r="B773" s="2" t="s">
        <v>2163</v>
      </c>
      <c r="C773" s="2" t="s">
        <v>2164</v>
      </c>
      <c r="D773" s="2" t="s">
        <v>19</v>
      </c>
      <c r="E773" s="2" t="s">
        <v>20</v>
      </c>
      <c r="F773" s="2" t="s">
        <v>15</v>
      </c>
      <c r="G773" s="2" t="s">
        <v>676</v>
      </c>
      <c r="H773" s="2" t="s">
        <v>32</v>
      </c>
      <c r="I773" s="2" t="str">
        <f>IFERROR(__xludf.DUMMYFUNCTION("GOOGLETRANSLATE(C773,""fr"",""en"")"),"RAS for service
However, it is designed to see its annual subscription increase despite a bonus which also increases without explanation on the subject on the notice of due date.")</f>
        <v>RAS for service
However, it is designed to see its annual subscription increase despite a bonus which also increases without explanation on the subject on the notice of due date.</v>
      </c>
    </row>
    <row r="774" ht="15.75" customHeight="1">
      <c r="A774" s="2">
        <v>5.0</v>
      </c>
      <c r="B774" s="2" t="s">
        <v>2165</v>
      </c>
      <c r="C774" s="2" t="s">
        <v>2166</v>
      </c>
      <c r="D774" s="2" t="s">
        <v>35</v>
      </c>
      <c r="E774" s="2" t="s">
        <v>20</v>
      </c>
      <c r="F774" s="2" t="s">
        <v>15</v>
      </c>
      <c r="G774" s="2" t="s">
        <v>290</v>
      </c>
      <c r="H774" s="2" t="s">
        <v>247</v>
      </c>
      <c r="I774" s="2" t="str">
        <f>IFERROR(__xludf.DUMMYFUNCTION("GOOGLETRANSLATE(C774,""fr"",""en"")"),"Competence and empathy + speed of execution. Totally satisfied! Very good value for money, especially for a young driver. Internet accessibility and by phone not criticizing any criticism.")</f>
        <v>Competence and empathy + speed of execution. Totally satisfied! Very good value for money, especially for a young driver. Internet accessibility and by phone not criticizing any criticism.</v>
      </c>
    </row>
    <row r="775" ht="15.75" customHeight="1">
      <c r="A775" s="2">
        <v>1.0</v>
      </c>
      <c r="B775" s="2" t="s">
        <v>2167</v>
      </c>
      <c r="C775" s="2" t="s">
        <v>2168</v>
      </c>
      <c r="D775" s="2" t="s">
        <v>95</v>
      </c>
      <c r="E775" s="2" t="s">
        <v>122</v>
      </c>
      <c r="F775" s="2" t="s">
        <v>15</v>
      </c>
      <c r="G775" s="2" t="s">
        <v>729</v>
      </c>
      <c r="H775" s="2" t="s">
        <v>729</v>
      </c>
      <c r="I775" s="2" t="str">
        <f>IFERROR(__xludf.DUMMYFUNCTION("GOOGLETRANSLATE(C775,""fr"",""en"")"),"Hello, today owner of 35 years of a property home and trade (which I have been paying for 12 years), renting to 1Locataire at the end of 2014 which is ensuring the Maaf de Bourg (01). In 3Mai 2017, criminal fire, almost 3/4 left for smoke apart from 1 low"&amp;"er trade starts again to tastes and leaves the tenant without obligations. His insurance Maaf resilled him approximately 1 month after this incident and leads 1 personal to this fire (as the tenant and his lawyer in court said); blocking these compensatio"&amp;"n whose loss of exploitation and telling him to prohibit me from access to the premises even for quotes despite that there is no police seal where other from the start; And knowing that at the end of June 2017, at the request of my tenant, I had to interv"&amp;"ene and my insurance advance the financing of the intervention of a cleaning company for the perishable foodstuffs of it; Who was starting to cause inconvenience to neighbors in addition to being harmful for the building. It was only after this interventi"&amp;"on that the tenant changed the barrel and said that the MAAF demanded that I no longer return during the investigation. On the 17th Oct 17, 2017, the tenant and his lawyer still asked the court a period of 15 days because they had to have the conclusions "&amp;"of the Maaf investigation in June. This 31oct 2017, in the court again, tenant and lawyer had no answers and tell the president that the MAAF does not respond and gives no information. (I would like to present myself in May, June, July, July on several oc"&amp;"casions at the Maaf de Bourg agency and having called Niort without any possible exchange. I also sent 1Racnder in July without response too.) To date, my tenant No longer pays these rents since June 2017, it has conflict with the MAAF which, you will hav"&amp;"e understood, does not want to answer us (to my insurance, expert and myself), because I am not their insured. . And to my tenant, their insured no longer! I find myself having to attack my tenant to expel him while he pleads to be the victim of his insur"&amp;"ance which does not answer and compensate for him! As waiting for it is me, poor owner, who no longer has rent, 1 credit to pay, a building burning and blocking, 1 pre -procedure which often promotes the protection of tenants, 1 bailiff and 1 -avocado to "&amp;"pay ... struggle to avoid overdrafts And do not give up ... and everyone is crazy! Seeing a good number of comments on this page, we may all have to circulate our stories on the networks so that others avoid living such problems !! Thank you in advance fo"&amp;"r avoiding your response paste Copy quoting your link as in all comments ... I invite you to join me directly, which would not be difficult since my buildings is 50m from your agency in Bourg avenue Alsace Lorraine, sinister already disseminated in progre"&amp;"ss.
Cordially")</f>
        <v>Hello, today owner of 35 years of a property home and trade (which I have been paying for 12 years), renting to 1Locataire at the end of 2014 which is ensuring the Maaf de Bourg (01). In 3Mai 2017, criminal fire, almost 3/4 left for smoke apart from 1 lower trade starts again to tastes and leaves the tenant without obligations. His insurance Maaf resilled him approximately 1 month after this incident and leads 1 personal to this fire (as the tenant and his lawyer in court said); blocking these compensation whose loss of exploitation and telling him to prohibit me from access to the premises even for quotes despite that there is no police seal where other from the start; And knowing that at the end of June 2017, at the request of my tenant, I had to intervene and my insurance advance the financing of the intervention of a cleaning company for the perishable foodstuffs of it; Who was starting to cause inconvenience to neighbors in addition to being harmful for the building. It was only after this intervention that the tenant changed the barrel and said that the MAAF demanded that I no longer return during the investigation. On the 17th Oct 17, 2017, the tenant and his lawyer still asked the court a period of 15 days because they had to have the conclusions of the Maaf investigation in June. This 31oct 2017, in the court again, tenant and lawyer had no answers and tell the president that the MAAF does not respond and gives no information. (I would like to present myself in May, June, July, July on several occasions at the Maaf de Bourg agency and having called Niort without any possible exchange. I also sent 1Racnder in July without response too.) To date, my tenant No longer pays these rents since June 2017, it has conflict with the MAAF which, you will have understood, does not want to answer us (to my insurance, expert and myself), because I am not their insured. . And to my tenant, their insured no longer! I find myself having to attack my tenant to expel him while he pleads to be the victim of his insurance which does not answer and compensate for him! As waiting for it is me, poor owner, who no longer has rent, 1 credit to pay, a building burning and blocking, 1 pre -procedure which often promotes the protection of tenants, 1 bailiff and 1 -avocado to pay ... struggle to avoid overdrafts And do not give up ... and everyone is crazy! Seeing a good number of comments on this page, we may all have to circulate our stories on the networks so that others avoid living such problems !! Thank you in advance for avoiding your response paste Copy quoting your link as in all comments ... I invite you to join me directly, which would not be difficult since my buildings is 50m from your agency in Bourg avenue Alsace Lorraine, sinister already disseminated in progress.
Cordially</v>
      </c>
    </row>
    <row r="776" ht="15.75" customHeight="1">
      <c r="A776" s="2">
        <v>3.0</v>
      </c>
      <c r="B776" s="2" t="s">
        <v>2169</v>
      </c>
      <c r="C776" s="2" t="s">
        <v>2170</v>
      </c>
      <c r="D776" s="2" t="s">
        <v>19</v>
      </c>
      <c r="E776" s="2" t="s">
        <v>20</v>
      </c>
      <c r="F776" s="2" t="s">
        <v>15</v>
      </c>
      <c r="G776" s="2" t="s">
        <v>2171</v>
      </c>
      <c r="H776" s="2" t="s">
        <v>21</v>
      </c>
      <c r="I776" s="2" t="str">
        <f>IFERROR(__xludf.DUMMYFUNCTION("GOOGLETRANSLATE(C776,""fr"",""en"")"),"If we have not installed the digital key, we cannot pay, it's abnormal! It would be necessary in this SAS to be able to receive a code by SMS, as is common ... You do not do it.
And also, we should be able to pay by telephone without going through the In"&amp;"ternet.")</f>
        <v>If we have not installed the digital key, we cannot pay, it's abnormal! It would be necessary in this SAS to be able to receive a code by SMS, as is common ... You do not do it.
And also, we should be able to pay by telephone without going through the Internet.</v>
      </c>
    </row>
    <row r="777" ht="15.75" customHeight="1">
      <c r="A777" s="2">
        <v>3.0</v>
      </c>
      <c r="B777" s="2" t="s">
        <v>2172</v>
      </c>
      <c r="C777" s="2" t="s">
        <v>2173</v>
      </c>
      <c r="D777" s="2" t="s">
        <v>245</v>
      </c>
      <c r="E777" s="2" t="s">
        <v>61</v>
      </c>
      <c r="F777" s="2" t="s">
        <v>15</v>
      </c>
      <c r="G777" s="2" t="s">
        <v>144</v>
      </c>
      <c r="H777" s="2" t="s">
        <v>92</v>
      </c>
      <c r="I777" s="2" t="str">
        <f>IFERROR(__xludf.DUMMYFUNCTION("GOOGLETRANSLATE(C777,""fr"",""en"")"),"Hello,
I contacted my mutual insurance company for a problem of transmission of reimbursement request.
I was put in touch with Emeline who listened to me, checked if my bill had reached them despite the error message on my computer, she was very effec"&amp;"tive very professional. I also thank her for the answers to the questions that I put him.")</f>
        <v>Hello,
I contacted my mutual insurance company for a problem of transmission of reimbursement request.
I was put in touch with Emeline who listened to me, checked if my bill had reached them despite the error message on my computer, she was very effective very professional. I also thank her for the answers to the questions that I put him.</v>
      </c>
    </row>
    <row r="778" ht="15.75" customHeight="1">
      <c r="A778" s="2">
        <v>1.0</v>
      </c>
      <c r="B778" s="2" t="s">
        <v>2174</v>
      </c>
      <c r="C778" s="2" t="s">
        <v>2175</v>
      </c>
      <c r="D778" s="2" t="s">
        <v>43</v>
      </c>
      <c r="E778" s="2" t="s">
        <v>122</v>
      </c>
      <c r="F778" s="2" t="s">
        <v>15</v>
      </c>
      <c r="G778" s="2" t="s">
        <v>2176</v>
      </c>
      <c r="H778" s="2" t="s">
        <v>251</v>
      </c>
      <c r="I778" s="2" t="str">
        <f>IFERROR(__xludf.DUMMYFUNCTION("GOOGLETRANSLATE(C778,""fr"",""en"")"),"Impossible to reach the service in the event of a claim. A voluntarily absent management. a hell!")</f>
        <v>Impossible to reach the service in the event of a claim. A voluntarily absent management. a hell!</v>
      </c>
    </row>
    <row r="779" ht="15.75" customHeight="1">
      <c r="A779" s="2">
        <v>1.0</v>
      </c>
      <c r="B779" s="2" t="s">
        <v>2177</v>
      </c>
      <c r="C779" s="2" t="s">
        <v>2178</v>
      </c>
      <c r="D779" s="2" t="s">
        <v>200</v>
      </c>
      <c r="E779" s="2" t="s">
        <v>30</v>
      </c>
      <c r="F779" s="2" t="s">
        <v>15</v>
      </c>
      <c r="G779" s="2" t="s">
        <v>1146</v>
      </c>
      <c r="H779" s="2" t="s">
        <v>74</v>
      </c>
      <c r="I779" s="2" t="str">
        <f>IFERROR(__xludf.DUMMYFUNCTION("GOOGLETRANSLATE(C779,""fr"",""en"")"),"My wife died on June 25, 2021. In 2019 we subscribed to the BNP credit with 100%death insurance. Cardif has just rejected my request for compensation under the pretext that my wife died from a disease prior to the credit request. However, the doctor who t"&amp;"reated my wife marked on the medical questionnaire that my wife's death was unrelated to his illness. They pretend to ignore this medical opinion. It is unnameable. I challenged their decision by email immediately. I am waiting and their samples continue "&amp;"without moods or empathy ...")</f>
        <v>My wife died on June 25, 2021. In 2019 we subscribed to the BNP credit with 100%death insurance. Cardif has just rejected my request for compensation under the pretext that my wife died from a disease prior to the credit request. However, the doctor who treated my wife marked on the medical questionnaire that my wife's death was unrelated to his illness. They pretend to ignore this medical opinion. It is unnameable. I challenged their decision by email immediately. I am waiting and their samples continue without moods or empathy ...</v>
      </c>
    </row>
    <row r="780" ht="15.75" customHeight="1">
      <c r="A780" s="2">
        <v>1.0</v>
      </c>
      <c r="B780" s="2" t="s">
        <v>2179</v>
      </c>
      <c r="C780" s="2" t="s">
        <v>2180</v>
      </c>
      <c r="D780" s="2" t="s">
        <v>43</v>
      </c>
      <c r="E780" s="2" t="s">
        <v>122</v>
      </c>
      <c r="F780" s="2" t="s">
        <v>15</v>
      </c>
      <c r="G780" s="2" t="s">
        <v>534</v>
      </c>
      <c r="H780" s="2" t="s">
        <v>534</v>
      </c>
      <c r="I780" s="2" t="str">
        <f>IFERROR(__xludf.DUMMYFUNCTION("GOOGLETRANSLATE(C780,""fr"",""en"")"),"I have been insured for a few years at home. We had an electric damage (overvoltage) 1 year ago the fault is Enedis.
We were reimbursed (with obsolete ect) by GMF quickly.
Several of our household appliances have been done and fundamentally we have appr"&amp;"oximately recover half.
The GMF therefore made a curl with Enedis in order to recover the other part of the sum (to give us a part of it but above all to be reimbursed for what they paid us previously)
Enedis reimbursed them and apparently they sent us "&amp;"a check letter that we have never received.
For information I call the GMF every month for 1 year and a half for this disaster I have always been told ""we keep you posted within 1 month"" and it has never been done, I have always been forced to restart."&amp;"
In short, I have one last time called the GMF informing them that I have never received the check letter and the person just answered me to manage with Enedis and that they had closed the file !! So I got a little annoyed, she offered me (not without an"&amp;"noyance) to give me the Enedis contact (so she put me on hold) but strangely she never recovered on the phone !!
In addition concerning the price I made a quote in September last year for the home I inform them that we take the contract with them and o"&amp;"h surprise by receiving the tableai from the monthly payments it had increased!
I admit I was going to give birth I did not have the head of all this but I will now find out in order to quickly change, it is a catastrophe just good to take the money !!")</f>
        <v>I have been insured for a few years at home. We had an electric damage (overvoltage) 1 year ago the fault is Enedis.
We were reimbursed (with obsolete ect) by GMF quickly.
Several of our household appliances have been done and fundamentally we have approximately recover half.
The GMF therefore made a curl with Enedis in order to recover the other part of the sum (to give us a part of it but above all to be reimbursed for what they paid us previously)
Enedis reimbursed them and apparently they sent us a check letter that we have never received.
For information I call the GMF every month for 1 year and a half for this disaster I have always been told "we keep you posted within 1 month" and it has never been done, I have always been forced to restart.
In short, I have one last time called the GMF informing them that I have never received the check letter and the person just answered me to manage with Enedis and that they had closed the file !! So I got a little annoyed, she offered me (not without annoyance) to give me the Enedis contact (so she put me on hold) but strangely she never recovered on the phone !!
In addition concerning the price I made a quote in September last year for the home I inform them that we take the contract with them and oh surprise by receiving the tableai from the monthly payments it had increased!
I admit I was going to give birth I did not have the head of all this but I will now find out in order to quickly change, it is a catastrophe just good to take the money !!</v>
      </c>
    </row>
    <row r="781" ht="15.75" customHeight="1">
      <c r="A781" s="2">
        <v>1.0</v>
      </c>
      <c r="B781" s="2" t="s">
        <v>2181</v>
      </c>
      <c r="C781" s="2" t="s">
        <v>2182</v>
      </c>
      <c r="D781" s="2" t="s">
        <v>13</v>
      </c>
      <c r="E781" s="2" t="s">
        <v>14</v>
      </c>
      <c r="F781" s="2" t="s">
        <v>15</v>
      </c>
      <c r="G781" s="2" t="s">
        <v>1798</v>
      </c>
      <c r="H781" s="2" t="s">
        <v>164</v>
      </c>
      <c r="I781" s="2" t="str">
        <f>IFERROR(__xludf.DUMMYFUNCTION("GOOGLETRANSLATE(C781,""fr"",""en"")"),"Following the sale of the vehicle they take me the following month. I had all the sorrows of the world to join them. No response by email or phone, and miracle after a week I finally manage to have someone on the phone.
This person tells me that I will b"&amp;"e reimbursed the following month .... it's been 1 and a half months, I still haven't had my refund.
And again, it's a radio silence, no response from them.")</f>
        <v>Following the sale of the vehicle they take me the following month. I had all the sorrows of the world to join them. No response by email or phone, and miracle after a week I finally manage to have someone on the phone.
This person tells me that I will be reimbursed the following month .... it's been 1 and a half months, I still haven't had my refund.
And again, it's a radio silence, no response from them.</v>
      </c>
    </row>
    <row r="782" ht="15.75" customHeight="1">
      <c r="A782" s="2">
        <v>2.0</v>
      </c>
      <c r="B782" s="2" t="s">
        <v>2183</v>
      </c>
      <c r="C782" s="2" t="s">
        <v>2184</v>
      </c>
      <c r="D782" s="2" t="s">
        <v>366</v>
      </c>
      <c r="E782" s="2" t="s">
        <v>20</v>
      </c>
      <c r="F782" s="2" t="s">
        <v>15</v>
      </c>
      <c r="G782" s="2" t="s">
        <v>82</v>
      </c>
      <c r="H782" s="2" t="s">
        <v>83</v>
      </c>
      <c r="I782" s="2" t="str">
        <f>IFERROR(__xludf.DUMMYFUNCTION("GOOGLETRANSLATE(C782,""fr"",""en"")"),"Do not answer !!!
I have been trying to get the letter of agreement for supervised driving. I send dozens of emails, remain whole days hanging on the phone with their waiting music, without any return !!!!
However, I provided the necessary documents.
G"&amp;"o your way .. especially not go.")</f>
        <v>Do not answer !!!
I have been trying to get the letter of agreement for supervised driving. I send dozens of emails, remain whole days hanging on the phone with their waiting music, without any return !!!!
However, I provided the necessary documents.
Go your way .. especially not go.</v>
      </c>
    </row>
    <row r="783" ht="15.75" customHeight="1">
      <c r="A783" s="2">
        <v>4.0</v>
      </c>
      <c r="B783" s="2" t="s">
        <v>2185</v>
      </c>
      <c r="C783" s="2" t="s">
        <v>2186</v>
      </c>
      <c r="D783" s="2" t="s">
        <v>171</v>
      </c>
      <c r="E783" s="2" t="s">
        <v>14</v>
      </c>
      <c r="F783" s="2" t="s">
        <v>15</v>
      </c>
      <c r="G783" s="2" t="s">
        <v>935</v>
      </c>
      <c r="H783" s="2" t="s">
        <v>164</v>
      </c>
      <c r="I783" s="2" t="str">
        <f>IFERROR(__xludf.DUMMYFUNCTION("GOOGLETRANSLATE(C783,""fr"",""en"")"),"Perfect, fast, and especially the best market prices. I highly recommend for the simplicity of the file. In a few clicks from my home, what a saving of time.")</f>
        <v>Perfect, fast, and especially the best market prices. I highly recommend for the simplicity of the file. In a few clicks from my home, what a saving of time.</v>
      </c>
    </row>
    <row r="784" ht="15.75" customHeight="1">
      <c r="A784" s="2">
        <v>1.0</v>
      </c>
      <c r="B784" s="2" t="s">
        <v>2187</v>
      </c>
      <c r="C784" s="2" t="s">
        <v>2188</v>
      </c>
      <c r="D784" s="2" t="s">
        <v>285</v>
      </c>
      <c r="E784" s="2" t="s">
        <v>14</v>
      </c>
      <c r="F784" s="2" t="s">
        <v>15</v>
      </c>
      <c r="G784" s="2" t="s">
        <v>2189</v>
      </c>
      <c r="H784" s="2" t="s">
        <v>1113</v>
      </c>
      <c r="I784" s="2" t="str">
        <f>IFERROR(__xludf.DUMMYFUNCTION("GOOGLETRANSLATE(C784,""fr"",""en"")"),"Macif member wishing to ensure a scooter that I will buy I send two emails that day for a quote: 4 hours after no answers the maaf la matmut responded within 10 minutes !!
The Macif does not want to communicate the tel n ° nor the emails of its departmen"&amp;"tal agencies: they are afraid of customers. To flee .... I gradually remove my contracts with them")</f>
        <v>Macif member wishing to ensure a scooter that I will buy I send two emails that day for a quote: 4 hours after no answers the maaf la matmut responded within 10 minutes !!
The Macif does not want to communicate the tel n ° nor the emails of its departmental agencies: they are afraid of customers. To flee .... I gradually remove my contracts with them</v>
      </c>
    </row>
    <row r="785" ht="15.75" customHeight="1">
      <c r="A785" s="2">
        <v>1.0</v>
      </c>
      <c r="B785" s="2" t="s">
        <v>2190</v>
      </c>
      <c r="C785" s="2" t="s">
        <v>2191</v>
      </c>
      <c r="D785" s="2" t="s">
        <v>19</v>
      </c>
      <c r="E785" s="2" t="s">
        <v>20</v>
      </c>
      <c r="F785" s="2" t="s">
        <v>15</v>
      </c>
      <c r="G785" s="2" t="s">
        <v>2192</v>
      </c>
      <c r="H785" s="2" t="s">
        <v>21</v>
      </c>
      <c r="I785" s="2" t="str">
        <f>IFERROR(__xludf.DUMMYFUNCTION("GOOGLETRANSLATE(C785,""fr"",""en"")"),"Frankly very disappointed with your behavior concerning me. Indeed having been insured for many years at home (including several vehicles) without any claim apart from 2 during the year 2020 (no luck for me) you terminate my contract.")</f>
        <v>Frankly very disappointed with your behavior concerning me. Indeed having been insured for many years at home (including several vehicles) without any claim apart from 2 during the year 2020 (no luck for me) you terminate my contract.</v>
      </c>
    </row>
    <row r="786" ht="15.75" customHeight="1">
      <c r="A786" s="2">
        <v>5.0</v>
      </c>
      <c r="B786" s="2" t="s">
        <v>2193</v>
      </c>
      <c r="C786" s="2" t="s">
        <v>2194</v>
      </c>
      <c r="D786" s="2" t="s">
        <v>77</v>
      </c>
      <c r="E786" s="2" t="s">
        <v>61</v>
      </c>
      <c r="F786" s="2" t="s">
        <v>15</v>
      </c>
      <c r="G786" s="2" t="s">
        <v>2195</v>
      </c>
      <c r="H786" s="2" t="s">
        <v>92</v>
      </c>
      <c r="I786" s="2" t="str">
        <f>IFERROR(__xludf.DUMMYFUNCTION("GOOGLETRANSLATE(C786,""fr"",""en"")"),"Satisfied with my mutual, they have always answered all my questions and the call service is really at the top! I highly recommend. And thank you")</f>
        <v>Satisfied with my mutual, they have always answered all my questions and the call service is really at the top! I highly recommend. And thank you</v>
      </c>
    </row>
    <row r="787" ht="15.75" customHeight="1">
      <c r="A787" s="2">
        <v>1.0</v>
      </c>
      <c r="B787" s="2" t="s">
        <v>2196</v>
      </c>
      <c r="C787" s="2" t="s">
        <v>2197</v>
      </c>
      <c r="D787" s="2" t="s">
        <v>111</v>
      </c>
      <c r="E787" s="2" t="s">
        <v>61</v>
      </c>
      <c r="F787" s="2" t="s">
        <v>15</v>
      </c>
      <c r="G787" s="2" t="s">
        <v>2198</v>
      </c>
      <c r="H787" s="2" t="s">
        <v>70</v>
      </c>
      <c r="I787" s="2" t="str">
        <f>IFERROR(__xludf.DUMMYFUNCTION("GOOGLETRANSLATE(C787,""fr"",""en"")"),"A mutual aid to flee")</f>
        <v>A mutual aid to flee</v>
      </c>
    </row>
    <row r="788" ht="15.75" customHeight="1">
      <c r="A788" s="2">
        <v>3.0</v>
      </c>
      <c r="B788" s="2" t="s">
        <v>2199</v>
      </c>
      <c r="C788" s="2" t="s">
        <v>2200</v>
      </c>
      <c r="D788" s="2" t="s">
        <v>285</v>
      </c>
      <c r="E788" s="2" t="s">
        <v>20</v>
      </c>
      <c r="F788" s="2" t="s">
        <v>15</v>
      </c>
      <c r="G788" s="2" t="s">
        <v>2201</v>
      </c>
      <c r="H788" s="2" t="s">
        <v>271</v>
      </c>
      <c r="I788" s="2" t="str">
        <f>IFERROR(__xludf.DUMMYFUNCTION("GOOGLETRANSLATE(C788,""fr"",""en"")"),"Yes I highly recommend this value for money equal to the service of competitors a well -followed service and the seriousness of the person responsible for the care of the competent services listening to the provider, nothing to say")</f>
        <v>Yes I highly recommend this value for money equal to the service of competitors a well -followed service and the seriousness of the person responsible for the care of the competent services listening to the provider, nothing to say</v>
      </c>
    </row>
    <row r="789" ht="15.75" customHeight="1">
      <c r="A789" s="2">
        <v>2.0</v>
      </c>
      <c r="B789" s="2" t="s">
        <v>2202</v>
      </c>
      <c r="C789" s="2" t="s">
        <v>2203</v>
      </c>
      <c r="D789" s="2" t="s">
        <v>285</v>
      </c>
      <c r="E789" s="2" t="s">
        <v>20</v>
      </c>
      <c r="F789" s="2" t="s">
        <v>15</v>
      </c>
      <c r="G789" s="2" t="s">
        <v>101</v>
      </c>
      <c r="H789" s="2" t="s">
        <v>92</v>
      </c>
      <c r="I789" s="2" t="str">
        <f>IFERROR(__xludf.DUMMYFUNCTION("GOOGLETRANSLATE(C789,""fr"",""en"")"),"Always insured with the Macif, I will leave this insurance next month. 2 claims in 12 years, never responsible and the treatment of the manager (not all) arrogant, treating me as a vulgar number of members and which limits hung me up without trying to und"&amp;"erstand.
The management that was done on my last claim is lamentable, I have called insurance every day for a month sometimes several times a day to have answers. More than a month later I still haven't been able to repair my vehicle.
In short to flee")</f>
        <v>Always insured with the Macif, I will leave this insurance next month. 2 claims in 12 years, never responsible and the treatment of the manager (not all) arrogant, treating me as a vulgar number of members and which limits hung me up without trying to understand.
The management that was done on my last claim is lamentable, I have called insurance every day for a month sometimes several times a day to have answers. More than a month later I still haven't been able to repair my vehicle.
In short to flee</v>
      </c>
    </row>
    <row r="790" ht="15.75" customHeight="1">
      <c r="A790" s="2">
        <v>2.0</v>
      </c>
      <c r="B790" s="2" t="s">
        <v>2204</v>
      </c>
      <c r="C790" s="2" t="s">
        <v>2205</v>
      </c>
      <c r="D790" s="2" t="s">
        <v>1014</v>
      </c>
      <c r="E790" s="2" t="s">
        <v>122</v>
      </c>
      <c r="F790" s="2" t="s">
        <v>15</v>
      </c>
      <c r="G790" s="2" t="s">
        <v>2206</v>
      </c>
      <c r="H790" s="2" t="s">
        <v>179</v>
      </c>
      <c r="I790" s="2" t="str">
        <f>IFERROR(__xludf.DUMMYFUNCTION("GOOGLETRANSLATE(C790,""fr"",""en"")"),"Housing contract for 10 years today increase of 87 euros without awarded wise period of the increase I have 2 cars insured I will change insurance if I have no repinations")</f>
        <v>Housing contract for 10 years today increase of 87 euros without awarded wise period of the increase I have 2 cars insured I will change insurance if I have no repinations</v>
      </c>
    </row>
    <row r="791" ht="15.75" customHeight="1">
      <c r="A791" s="2">
        <v>2.0</v>
      </c>
      <c r="B791" s="2" t="s">
        <v>2207</v>
      </c>
      <c r="C791" s="2" t="s">
        <v>2208</v>
      </c>
      <c r="D791" s="2" t="s">
        <v>200</v>
      </c>
      <c r="E791" s="2" t="s">
        <v>30</v>
      </c>
      <c r="F791" s="2" t="s">
        <v>15</v>
      </c>
      <c r="G791" s="2" t="s">
        <v>201</v>
      </c>
      <c r="H791" s="2" t="s">
        <v>202</v>
      </c>
      <c r="I791" s="2" t="str">
        <f>IFERROR(__xludf.DUMMYFUNCTION("GOOGLETRANSLATE(C791,""fr"",""en"")"),"Hello I allow myself to post a comment to push a geule !! because in 2008 we took a real estate credit at the BNP and followed them at the insurance level by taking the cardiff. But following a problem in 2011 and Visits to different specialist is the cle"&amp;"aver !!! myopathy recognized with disabled Category2 disability and recognition of the MDPH !! Except that in January after visit to an expert doctor I have just received a letter from the cardiff stipulating me The non -management of this invalidity and "&amp;"the stop of payments on March 1 !! So for summary recognition of the doctors of national organizations but not the cardid !! So why pay disability insurance ??")</f>
        <v>Hello I allow myself to post a comment to push a geule !! because in 2008 we took a real estate credit at the BNP and followed them at the insurance level by taking the cardiff. But following a problem in 2011 and Visits to different specialist is the cleaver !!! myopathy recognized with disabled Category2 disability and recognition of the MDPH !! Except that in January after visit to an expert doctor I have just received a letter from the cardiff stipulating me The non -management of this invalidity and the stop of payments on March 1 !! So for summary recognition of the doctors of national organizations but not the cardid !! So why pay disability insurance ??</v>
      </c>
    </row>
    <row r="792" ht="15.75" customHeight="1">
      <c r="A792" s="2">
        <v>5.0</v>
      </c>
      <c r="B792" s="2" t="s">
        <v>2209</v>
      </c>
      <c r="C792" s="2" t="s">
        <v>2210</v>
      </c>
      <c r="D792" s="2" t="s">
        <v>35</v>
      </c>
      <c r="E792" s="2" t="s">
        <v>20</v>
      </c>
      <c r="F792" s="2" t="s">
        <v>15</v>
      </c>
      <c r="G792" s="2" t="s">
        <v>930</v>
      </c>
      <c r="H792" s="2" t="s">
        <v>45</v>
      </c>
      <c r="I792" s="2" t="str">
        <f>IFERROR(__xludf.DUMMYFUNCTION("GOOGLETRANSLATE(C792,""fr"",""en"")"),"The prices are the lowest compared to other insurances, especially for young drivers who often have to pay very expensive to be insured.")</f>
        <v>The prices are the lowest compared to other insurances, especially for young drivers who often have to pay very expensive to be insured.</v>
      </c>
    </row>
    <row r="793" ht="15.75" customHeight="1">
      <c r="A793" s="2">
        <v>4.0</v>
      </c>
      <c r="B793" s="2" t="s">
        <v>2211</v>
      </c>
      <c r="C793" s="2" t="s">
        <v>2212</v>
      </c>
      <c r="D793" s="2" t="s">
        <v>245</v>
      </c>
      <c r="E793" s="2" t="s">
        <v>61</v>
      </c>
      <c r="F793" s="2" t="s">
        <v>15</v>
      </c>
      <c r="G793" s="2" t="s">
        <v>1578</v>
      </c>
      <c r="H793" s="2" t="s">
        <v>860</v>
      </c>
      <c r="I793" s="2" t="str">
        <f>IFERROR(__xludf.DUMMYFUNCTION("GOOGLETRANSLATE(C793,""fr"",""en"")"),"Hello to the whole team, very well welcomed by Caroline who all immediately referred to me in my efforts and was attentive and knew how to make the dialogue very pleasant. I advised it to members")</f>
        <v>Hello to the whole team, very well welcomed by Caroline who all immediately referred to me in my efforts and was attentive and knew how to make the dialogue very pleasant. I advised it to members</v>
      </c>
    </row>
    <row r="794" ht="15.75" customHeight="1">
      <c r="A794" s="2">
        <v>3.0</v>
      </c>
      <c r="B794" s="2" t="s">
        <v>2213</v>
      </c>
      <c r="C794" s="2" t="s">
        <v>2214</v>
      </c>
      <c r="D794" s="2" t="s">
        <v>43</v>
      </c>
      <c r="E794" s="2" t="s">
        <v>122</v>
      </c>
      <c r="F794" s="2" t="s">
        <v>15</v>
      </c>
      <c r="G794" s="2" t="s">
        <v>2215</v>
      </c>
      <c r="H794" s="2" t="s">
        <v>239</v>
      </c>
      <c r="I794" s="2" t="str">
        <f>IFERROR(__xludf.DUMMYFUNCTION("GOOGLETRANSLATE(C794,""fr"",""en"")"),"I've been without a claim for 40 years; EDF my grilled my gate because of the numerous cuts he refused because he was 7 years old and he imposes me from Villegiature and other options that I did not want, I had not crossed the door that I felt assaulted b"&amp;"y the lady who received and refused my wife when we were only in the agency")</f>
        <v>I've been without a claim for 40 years; EDF my grilled my gate because of the numerous cuts he refused because he was 7 years old and he imposes me from Villegiature and other options that I did not want, I had not crossed the door that I felt assaulted by the lady who received and refused my wife when we were only in the agency</v>
      </c>
    </row>
    <row r="795" ht="15.75" customHeight="1">
      <c r="A795" s="2">
        <v>3.0</v>
      </c>
      <c r="B795" s="2" t="s">
        <v>2216</v>
      </c>
      <c r="C795" s="2" t="s">
        <v>2217</v>
      </c>
      <c r="D795" s="2" t="s">
        <v>35</v>
      </c>
      <c r="E795" s="2" t="s">
        <v>20</v>
      </c>
      <c r="F795" s="2" t="s">
        <v>15</v>
      </c>
      <c r="G795" s="2" t="s">
        <v>2142</v>
      </c>
      <c r="H795" s="2" t="s">
        <v>74</v>
      </c>
      <c r="I795" s="2" t="str">
        <f>IFERROR(__xludf.DUMMYFUNCTION("GOOGLETRANSLATE(C795,""fr"",""en"")"),"I am satisfied with the service of Olivier Insurance, except the website which very often has concerns. Which makes the transfer of document complicated.")</f>
        <v>I am satisfied with the service of Olivier Insurance, except the website which very often has concerns. Which makes the transfer of document complicated.</v>
      </c>
    </row>
    <row r="796" ht="15.75" customHeight="1">
      <c r="A796" s="2">
        <v>2.0</v>
      </c>
      <c r="B796" s="2" t="s">
        <v>2218</v>
      </c>
      <c r="C796" s="2" t="s">
        <v>2219</v>
      </c>
      <c r="D796" s="2" t="s">
        <v>43</v>
      </c>
      <c r="E796" s="2" t="s">
        <v>20</v>
      </c>
      <c r="F796" s="2" t="s">
        <v>15</v>
      </c>
      <c r="G796" s="2" t="s">
        <v>2220</v>
      </c>
      <c r="H796" s="2" t="s">
        <v>26</v>
      </c>
      <c r="I796" s="2" t="str">
        <f>IFERROR(__xludf.DUMMYFUNCTION("GOOGLETRANSLATE(C796,""fr"",""en"")"),"Understanding problem that made me lose € 75 and impossible to get a commercial gesture to stay at home, despite home insurance for 10 years.
Goodbye GMF")</f>
        <v>Understanding problem that made me lose € 75 and impossible to get a commercial gesture to stay at home, despite home insurance for 10 years.
Goodbye GMF</v>
      </c>
    </row>
    <row r="797" ht="15.75" customHeight="1">
      <c r="A797" s="2">
        <v>4.0</v>
      </c>
      <c r="B797" s="2" t="s">
        <v>2221</v>
      </c>
      <c r="C797" s="2" t="s">
        <v>2222</v>
      </c>
      <c r="D797" s="2" t="s">
        <v>19</v>
      </c>
      <c r="E797" s="2" t="s">
        <v>20</v>
      </c>
      <c r="F797" s="2" t="s">
        <v>15</v>
      </c>
      <c r="G797" s="2" t="s">
        <v>2192</v>
      </c>
      <c r="H797" s="2" t="s">
        <v>21</v>
      </c>
      <c r="I797" s="2" t="str">
        <f>IFERROR(__xludf.DUMMYFUNCTION("GOOGLETRANSLATE(C797,""fr"",""en"")"),"I am satisfied with the sinister service.
I would like to ensure my C1 in all risks but the price is too high. At Direct Insurance the amount I currently pay for at home corresponds to all risks guarantees. Can I negotiate with you?")</f>
        <v>I am satisfied with the sinister service.
I would like to ensure my C1 in all risks but the price is too high. At Direct Insurance the amount I currently pay for at home corresponds to all risks guarantees. Can I negotiate with you?</v>
      </c>
    </row>
    <row r="798" ht="15.75" customHeight="1">
      <c r="A798" s="2">
        <v>2.0</v>
      </c>
      <c r="B798" s="2" t="s">
        <v>2223</v>
      </c>
      <c r="C798" s="2" t="s">
        <v>2224</v>
      </c>
      <c r="D798" s="2" t="s">
        <v>19</v>
      </c>
      <c r="E798" s="2" t="s">
        <v>20</v>
      </c>
      <c r="F798" s="2" t="s">
        <v>15</v>
      </c>
      <c r="G798" s="2" t="s">
        <v>2225</v>
      </c>
      <c r="H798" s="2" t="s">
        <v>79</v>
      </c>
      <c r="I798" s="2" t="str">
        <f>IFERROR(__xludf.DUMMYFUNCTION("GOOGLETRANSLATE(C798,""fr"",""en"")"),"Increase in auto and housing prices of more than 10% in one year, mediocre online service (but as for most insurers today, the platform is relocated, it is often difficult to understand the interlocutor because of his Strong Maghreb accent, when the latte"&amp;"r understands you ...). Three -quarters of an online to ensure a second vehicle (interlocutor seemed to have an qi of oyster) because there is no possibility of adding on the site; Then I was asked for 5 photos of the vehicle (without specifying which one"&amp;"s), which three times were not the right (each new interlocutor had his particular request), under hearing in there that a photo of the counter was needed ( how to guess it); I was also asked for my information statement as well as my driving license (whi"&amp;"le the statement is no more or less provided by ... Direct Assurances itself, well yes, it is the insurer of My first vehicle ... CQFD; And the license will you say? Ben Kif Kif, it is already in their possession, since I had to provide them for the first"&amp;" vehicle). In summary, Guignols insurance (and yet it is AXA, like what), their only asset: the price, which despite this dizzying increase in 1 year, remains competitive. I will probably change the next increase.")</f>
        <v>Increase in auto and housing prices of more than 10% in one year, mediocre online service (but as for most insurers today, the platform is relocated, it is often difficult to understand the interlocutor because of his Strong Maghreb accent, when the latter understands you ...). Three -quarters of an online to ensure a second vehicle (interlocutor seemed to have an qi of oyster) because there is no possibility of adding on the site; Then I was asked for 5 photos of the vehicle (without specifying which ones), which three times were not the right (each new interlocutor had his particular request), under hearing in there that a photo of the counter was needed ( how to guess it); I was also asked for my information statement as well as my driving license (while the statement is no more or less provided by ... Direct Assurances itself, well yes, it is the insurer of My first vehicle ... CQFD; And the license will you say? Ben Kif Kif, it is already in their possession, since I had to provide them for the first vehicle). In summary, Guignols insurance (and yet it is AXA, like what), their only asset: the price, which despite this dizzying increase in 1 year, remains competitive. I will probably change the next increase.</v>
      </c>
    </row>
    <row r="799" ht="15.75" customHeight="1">
      <c r="A799" s="2">
        <v>4.0</v>
      </c>
      <c r="B799" s="2" t="s">
        <v>2226</v>
      </c>
      <c r="C799" s="2" t="s">
        <v>2227</v>
      </c>
      <c r="D799" s="2" t="s">
        <v>19</v>
      </c>
      <c r="E799" s="2" t="s">
        <v>20</v>
      </c>
      <c r="F799" s="2" t="s">
        <v>15</v>
      </c>
      <c r="G799" s="2" t="s">
        <v>1968</v>
      </c>
      <c r="H799" s="2" t="s">
        <v>92</v>
      </c>
      <c r="I799" s="2" t="str">
        <f>IFERROR(__xludf.DUMMYFUNCTION("GOOGLETRANSLATE(C799,""fr"",""en"")"),"The price is very competitive and the website is well done. On the other hand, we cannot pay by E-Carte Bleue. Which is a shame in 2021 .......")</f>
        <v>The price is very competitive and the website is well done. On the other hand, we cannot pay by E-Carte Bleue. Which is a shame in 2021 .......</v>
      </c>
    </row>
    <row r="800" ht="15.75" customHeight="1">
      <c r="A800" s="2">
        <v>3.0</v>
      </c>
      <c r="B800" s="2" t="s">
        <v>2228</v>
      </c>
      <c r="C800" s="2" t="s">
        <v>2229</v>
      </c>
      <c r="D800" s="2" t="s">
        <v>95</v>
      </c>
      <c r="E800" s="2" t="s">
        <v>122</v>
      </c>
      <c r="F800" s="2" t="s">
        <v>15</v>
      </c>
      <c r="G800" s="2" t="s">
        <v>2230</v>
      </c>
      <c r="H800" s="2" t="s">
        <v>271</v>
      </c>
      <c r="I800" s="2" t="str">
        <f>IFERROR(__xludf.DUMMYFUNCTION("GOOGLETRANSLATE(C800,""fr"",""en"")"),"Sinister on 4/06/2019- Mandated company not serious, no compliance with programmed RVs, long response times. 8 months later, the work has not been carried out ... I constantly relaunch the MAAF, nobody takes care of our file.")</f>
        <v>Sinister on 4/06/2019- Mandated company not serious, no compliance with programmed RVs, long response times. 8 months later, the work has not been carried out ... I constantly relaunch the MAAF, nobody takes care of our file.</v>
      </c>
    </row>
    <row r="801" ht="15.75" customHeight="1">
      <c r="A801" s="2">
        <v>3.0</v>
      </c>
      <c r="B801" s="2" t="s">
        <v>2231</v>
      </c>
      <c r="C801" s="2" t="s">
        <v>2232</v>
      </c>
      <c r="D801" s="2" t="s">
        <v>35</v>
      </c>
      <c r="E801" s="2" t="s">
        <v>20</v>
      </c>
      <c r="F801" s="2" t="s">
        <v>15</v>
      </c>
      <c r="G801" s="2" t="s">
        <v>2233</v>
      </c>
      <c r="H801" s="2" t="s">
        <v>92</v>
      </c>
      <c r="I801" s="2" t="str">
        <f>IFERROR(__xludf.DUMMYFUNCTION("GOOGLETRANSLATE(C801,""fr"",""en"")"),"Efficient, simple and quick service.
The electronic signature of documents rather than printing the contract, signing it and then scanning the time and paper.")</f>
        <v>Efficient, simple and quick service.
The electronic signature of documents rather than printing the contract, signing it and then scanning the time and paper.</v>
      </c>
    </row>
    <row r="802" ht="15.75" customHeight="1">
      <c r="A802" s="2">
        <v>4.0</v>
      </c>
      <c r="B802" s="2" t="s">
        <v>2234</v>
      </c>
      <c r="C802" s="2" t="s">
        <v>2235</v>
      </c>
      <c r="D802" s="2" t="s">
        <v>19</v>
      </c>
      <c r="E802" s="2" t="s">
        <v>20</v>
      </c>
      <c r="F802" s="2" t="s">
        <v>15</v>
      </c>
      <c r="G802" s="2" t="s">
        <v>1322</v>
      </c>
      <c r="H802" s="2" t="s">
        <v>164</v>
      </c>
      <c r="I802" s="2" t="str">
        <f>IFERROR(__xludf.DUMMYFUNCTION("GOOGLETRANSLATE(C802,""fr"",""en"")"),"I am satisfied with the prices and the service thank you. The website is clear and simple, I hope that for the future it will always remain as simple and competitive thank you and good luck!")</f>
        <v>I am satisfied with the prices and the service thank you. The website is clear and simple, I hope that for the future it will always remain as simple and competitive thank you and good luck!</v>
      </c>
    </row>
    <row r="803" ht="15.75" customHeight="1">
      <c r="A803" s="2">
        <v>5.0</v>
      </c>
      <c r="B803" s="2" t="s">
        <v>2236</v>
      </c>
      <c r="C803" s="2" t="s">
        <v>2237</v>
      </c>
      <c r="D803" s="2" t="s">
        <v>193</v>
      </c>
      <c r="E803" s="2" t="s">
        <v>20</v>
      </c>
      <c r="F803" s="2" t="s">
        <v>15</v>
      </c>
      <c r="G803" s="2" t="s">
        <v>2238</v>
      </c>
      <c r="H803" s="2" t="s">
        <v>347</v>
      </c>
      <c r="I803" s="2" t="str">
        <f>IFERROR(__xludf.DUMMYFUNCTION("GOOGLETRANSLATE(C803,""fr"",""en"")"),"Faithful for many years I really don't regret being there always
I needed a lot of help regarding my vehicle immobilized in August.
They provide all the help necessary and are good advice
Thank you to Cedric L. who managed our file. A huge thank you "&amp;"for this care.")</f>
        <v>Faithful for many years I really don't regret being there always
I needed a lot of help regarding my vehicle immobilized in August.
They provide all the help necessary and are good advice
Thank you to Cedric L. who managed our file. A huge thank you for this care.</v>
      </c>
    </row>
    <row r="804" ht="15.75" customHeight="1">
      <c r="A804" s="2">
        <v>2.0</v>
      </c>
      <c r="B804" s="2" t="s">
        <v>2239</v>
      </c>
      <c r="C804" s="2" t="s">
        <v>2240</v>
      </c>
      <c r="D804" s="2" t="s">
        <v>366</v>
      </c>
      <c r="E804" s="2" t="s">
        <v>20</v>
      </c>
      <c r="F804" s="2" t="s">
        <v>15</v>
      </c>
      <c r="G804" s="2" t="s">
        <v>2241</v>
      </c>
      <c r="H804" s="2" t="s">
        <v>491</v>
      </c>
      <c r="I804" s="2" t="str">
        <f>IFERROR(__xludf.DUMMYFUNCTION("GOOGLETRANSLATE(C804,""fr"",""en"")"),"hello, 
I do not change insurance every two days, but since Idmacif has closed, I have a hard time with direct insurance and now with Allianz.
Customer service is close to Zero at the latter.")</f>
        <v>hello, 
I do not change insurance every two days, but since Idmacif has closed, I have a hard time with direct insurance and now with Allianz.
Customer service is close to Zero at the latter.</v>
      </c>
    </row>
    <row r="805" ht="15.75" customHeight="1">
      <c r="A805" s="2">
        <v>4.0</v>
      </c>
      <c r="B805" s="2" t="s">
        <v>2242</v>
      </c>
      <c r="C805" s="2" t="s">
        <v>2243</v>
      </c>
      <c r="D805" s="2" t="s">
        <v>35</v>
      </c>
      <c r="E805" s="2" t="s">
        <v>20</v>
      </c>
      <c r="F805" s="2" t="s">
        <v>15</v>
      </c>
      <c r="G805" s="2" t="s">
        <v>624</v>
      </c>
      <c r="H805" s="2" t="s">
        <v>32</v>
      </c>
      <c r="I805" s="2" t="str">
        <f>IFERROR(__xludf.DUMMYFUNCTION("GOOGLETRANSLATE(C805,""fr"",""en"")"),"For the moment satisfied, the signature of adhesion is 2 days. Listening advisor and available and flexible in terms of telephone appointments
")</f>
        <v>For the moment satisfied, the signature of adhesion is 2 days. Listening advisor and available and flexible in terms of telephone appointments
</v>
      </c>
    </row>
    <row r="806" ht="15.75" customHeight="1">
      <c r="A806" s="2">
        <v>1.0</v>
      </c>
      <c r="B806" s="2" t="s">
        <v>2244</v>
      </c>
      <c r="C806" s="2" t="s">
        <v>2245</v>
      </c>
      <c r="D806" s="2" t="s">
        <v>43</v>
      </c>
      <c r="E806" s="2" t="s">
        <v>122</v>
      </c>
      <c r="F806" s="2" t="s">
        <v>15</v>
      </c>
      <c r="G806" s="2" t="s">
        <v>875</v>
      </c>
      <c r="H806" s="2" t="s">
        <v>53</v>
      </c>
      <c r="I806" s="2" t="str">
        <f>IFERROR(__xludf.DUMMYFUNCTION("GOOGLETRANSLATE(C806,""fr"",""en"")"),"Good insurance when you don't need it .... At the agency I am told that they do not take care of the monitoring of claims at all. To say that I had chosen the GMF to have a close advisor!
The manager that I was spent on the phone was execrable (but she k"&amp;"nows her job she told me!).
The file dates from May 2020, I am announced today that I cannot have my roof pierced as possible as long as the neighbor has not repaired the chimney that has fallen. I hallucinate! The stripping of the waters will get worse,"&amp;" but it is not the problem of this lady who almost hung up on me!
I leave this insurance without delay!")</f>
        <v>Good insurance when you don't need it .... At the agency I am told that they do not take care of the monitoring of claims at all. To say that I had chosen the GMF to have a close advisor!
The manager that I was spent on the phone was execrable (but she knows her job she told me!).
The file dates from May 2020, I am announced today that I cannot have my roof pierced as possible as long as the neighbor has not repaired the chimney that has fallen. I hallucinate! The stripping of the waters will get worse, but it is not the problem of this lady who almost hung up on me!
I leave this insurance without delay!</v>
      </c>
    </row>
    <row r="807" ht="15.75" customHeight="1">
      <c r="A807" s="2">
        <v>1.0</v>
      </c>
      <c r="B807" s="2" t="s">
        <v>2246</v>
      </c>
      <c r="C807" s="2" t="s">
        <v>2247</v>
      </c>
      <c r="D807" s="2" t="s">
        <v>366</v>
      </c>
      <c r="E807" s="2" t="s">
        <v>122</v>
      </c>
      <c r="F807" s="2" t="s">
        <v>15</v>
      </c>
      <c r="G807" s="2" t="s">
        <v>2248</v>
      </c>
      <c r="H807" s="2" t="s">
        <v>168</v>
      </c>
      <c r="I807" s="2" t="str">
        <f>IFERROR(__xludf.DUMMYFUNCTION("GOOGLETRANSLATE(C807,""fr"",""en"")"),"Non -occupying owner of accommodation, I was the victim of water damage on March 28, 2019, the origin of which is an overflow on the upper floor. The expertise was diligent on 05/11/2019 and I received a check for 1393.12 on 01/13/2020 for all the damage "&amp;"(wallpaper, painting, ceiling, etc.). But the expert does not want to hold the detachment of mural earthenware following this water damage; Faience in perfect condition when I bought the apartment 4 months earlier. Because he does not see any trace of hum"&amp;"idity behind the tiles; Which seems normal to me after expertise 7 months later! I had asked for a counter-expertise at the expense of the owner's insurance caused the damage: unanswered by Allianz. I even proposed to repair myself on my free time for add"&amp;"itional compensation of € 500; without answer.
Systematically partial response; No responsiveness…. No possibility of amicable settlement. Sorry…. Especially since I am therefore a victim not responsible for damage from an overflow from the upper neighbo"&amp;"r.
")</f>
        <v>Non -occupying owner of accommodation, I was the victim of water damage on March 28, 2019, the origin of which is an overflow on the upper floor. The expertise was diligent on 05/11/2019 and I received a check for 1393.12 on 01/13/2020 for all the damage (wallpaper, painting, ceiling, etc.). But the expert does not want to hold the detachment of mural earthenware following this water damage; Faience in perfect condition when I bought the apartment 4 months earlier. Because he does not see any trace of humidity behind the tiles; Which seems normal to me after expertise 7 months later! I had asked for a counter-expertise at the expense of the owner's insurance caused the damage: unanswered by Allianz. I even proposed to repair myself on my free time for additional compensation of € 500; without answer.
Systematically partial response; No responsiveness…. No possibility of amicable settlement. Sorry…. Especially since I am therefore a victim not responsible for damage from an overflow from the upper neighbor.
</v>
      </c>
    </row>
    <row r="808" ht="15.75" customHeight="1">
      <c r="A808" s="2">
        <v>2.0</v>
      </c>
      <c r="B808" s="2" t="s">
        <v>2249</v>
      </c>
      <c r="C808" s="2" t="s">
        <v>2250</v>
      </c>
      <c r="D808" s="2" t="s">
        <v>19</v>
      </c>
      <c r="E808" s="2" t="s">
        <v>20</v>
      </c>
      <c r="F808" s="2" t="s">
        <v>15</v>
      </c>
      <c r="G808" s="2" t="s">
        <v>2251</v>
      </c>
      <c r="H808" s="2" t="s">
        <v>16</v>
      </c>
      <c r="I808" s="2" t="str">
        <f>IFERROR(__xludf.DUMMYFUNCTION("GOOGLETRANSLATE(C808,""fr"",""en"")"),"Despite a bonus of 50% for more than 12 years and no claim, I see my insurance climbing from year to year: less than 600 euros I am at 799 now. I can't find that normal.
An attractive price is made at the subscription and Direct Insurance is later caught"&amp;" up and becomes more expensive than many insurance.")</f>
        <v>Despite a bonus of 50% for more than 12 years and no claim, I see my insurance climbing from year to year: less than 600 euros I am at 799 now. I can't find that normal.
An attractive price is made at the subscription and Direct Insurance is later caught up and becomes more expensive than many insurance.</v>
      </c>
    </row>
    <row r="809" ht="15.75" customHeight="1">
      <c r="A809" s="2">
        <v>4.0</v>
      </c>
      <c r="B809" s="2" t="s">
        <v>2252</v>
      </c>
      <c r="C809" s="2" t="s">
        <v>2253</v>
      </c>
      <c r="D809" s="2" t="s">
        <v>35</v>
      </c>
      <c r="E809" s="2" t="s">
        <v>20</v>
      </c>
      <c r="F809" s="2" t="s">
        <v>15</v>
      </c>
      <c r="G809" s="2" t="s">
        <v>2254</v>
      </c>
      <c r="H809" s="2" t="s">
        <v>131</v>
      </c>
      <c r="I809" s="2" t="str">
        <f>IFERROR(__xludf.DUMMYFUNCTION("GOOGLETRANSLATE(C809,""fr"",""en"")"),"Simple and fast
Very satisfactory telephone call! Listening advisor, does not seek to make commercial offers, which is pleasant.
Interesting car rates
")</f>
        <v>Simple and fast
Very satisfactory telephone call! Listening advisor, does not seek to make commercial offers, which is pleasant.
Interesting car rates
</v>
      </c>
    </row>
    <row r="810" ht="15.75" customHeight="1">
      <c r="A810" s="2">
        <v>1.0</v>
      </c>
      <c r="B810" s="2" t="s">
        <v>2255</v>
      </c>
      <c r="C810" s="2" t="s">
        <v>2256</v>
      </c>
      <c r="D810" s="2" t="s">
        <v>285</v>
      </c>
      <c r="E810" s="2" t="s">
        <v>122</v>
      </c>
      <c r="F810" s="2" t="s">
        <v>15</v>
      </c>
      <c r="G810" s="2" t="s">
        <v>2257</v>
      </c>
      <c r="H810" s="2" t="s">
        <v>97</v>
      </c>
      <c r="I810" s="2" t="str">
        <f>IFERROR(__xludf.DUMMYFUNCTION("GOOGLETRANSLATE(C810,""fr"",""en"")"),"Following a water damage in July 2017 in a 3 m2 room belongs to me in a condominium, waterproofing of the defective roof, the expert of the Macif, my insurer, concluded that insofar as the damage was superior At 240 euros that it was to the opposing insur"&amp;"ance AXA, insurance, of the condominium to take care of the work and that in any case by ignoring any intellectual honesty and not being afraid to contradict himself, he does not There was no interior paint or degraded exterior plaster no damaged false ce"&amp;"iling no damage to linoleum either, in fact there was nothing. To believe that water is stopped just at the limit of what is provided by the Macif. Of course the Macif expert did not tell me that face to face, I will have probably tried to make him hear r"&amp;"eason but he has recorded him in his expert report that he wrote in his office without I can intervene.")</f>
        <v>Following a water damage in July 2017 in a 3 m2 room belongs to me in a condominium, waterproofing of the defective roof, the expert of the Macif, my insurer, concluded that insofar as the damage was superior At 240 euros that it was to the opposing insurance AXA, insurance, of the condominium to take care of the work and that in any case by ignoring any intellectual honesty and not being afraid to contradict himself, he does not There was no interior paint or degraded exterior plaster no damaged false ceiling no damage to linoleum either, in fact there was nothing. To believe that water is stopped just at the limit of what is provided by the Macif. Of course the Macif expert did not tell me that face to face, I will have probably tried to make him hear reason but he has recorded him in his expert report that he wrote in his office without I can intervene.</v>
      </c>
    </row>
    <row r="811" ht="15.75" customHeight="1">
      <c r="A811" s="2">
        <v>2.0</v>
      </c>
      <c r="B811" s="2" t="s">
        <v>2258</v>
      </c>
      <c r="C811" s="2" t="s">
        <v>2259</v>
      </c>
      <c r="D811" s="2" t="s">
        <v>56</v>
      </c>
      <c r="E811" s="2" t="s">
        <v>20</v>
      </c>
      <c r="F811" s="2" t="s">
        <v>15</v>
      </c>
      <c r="G811" s="2" t="s">
        <v>2260</v>
      </c>
      <c r="H811" s="2" t="s">
        <v>256</v>
      </c>
      <c r="I811" s="2" t="str">
        <f>IFERROR(__xludf.DUMMYFUNCTION("GOOGLETRANSLATE(C811,""fr"",""en"")"),"No longer ensures a real customer service. I signed an auto contract in February 2020, in renewal of a contract for another vehicle already assured at home. 1 year later, unilaterally, he decides to modify the contractual conditions without there being no"&amp;" claim in the meantime. It really makes fun of the customer.
In addition, I received an e-mail daring to ask me for an information statement, which could suggest that I had not provided it for renewal when all the information was at home. It's abusive.")</f>
        <v>No longer ensures a real customer service. I signed an auto contract in February 2020, in renewal of a contract for another vehicle already assured at home. 1 year later, unilaterally, he decides to modify the contractual conditions without there being no claim in the meantime. It really makes fun of the customer.
In addition, I received an e-mail daring to ask me for an information statement, which could suggest that I had not provided it for renewal when all the information was at home. It's abusive.</v>
      </c>
    </row>
    <row r="812" ht="15.75" customHeight="1">
      <c r="A812" s="2">
        <v>2.0</v>
      </c>
      <c r="B812" s="2" t="s">
        <v>2261</v>
      </c>
      <c r="C812" s="2" t="s">
        <v>2262</v>
      </c>
      <c r="D812" s="2" t="s">
        <v>19</v>
      </c>
      <c r="E812" s="2" t="s">
        <v>20</v>
      </c>
      <c r="F812" s="2" t="s">
        <v>15</v>
      </c>
      <c r="G812" s="2" t="s">
        <v>930</v>
      </c>
      <c r="H812" s="2" t="s">
        <v>45</v>
      </c>
      <c r="I812" s="2" t="str">
        <f>IFERROR(__xludf.DUMMYFUNCTION("GOOGLETRANSLATE(C812,""fr"",""en"")"),"Bad insurance:
For a break in ice refusal to take care of the total invoice minus the deductible (25%)!
Over € 1,000 in bills, € 400 remains at my expense and impossible to have someone on the phone.
Obligation to go to a partner to pay full pot!
")</f>
        <v>Bad insurance:
For a break in ice refusal to take care of the total invoice minus the deductible (25%)!
Over € 1,000 in bills, € 400 remains at my expense and impossible to have someone on the phone.
Obligation to go to a partner to pay full pot!
</v>
      </c>
    </row>
    <row r="813" ht="15.75" customHeight="1">
      <c r="A813" s="2">
        <v>4.0</v>
      </c>
      <c r="B813" s="2" t="s">
        <v>2263</v>
      </c>
      <c r="C813" s="2" t="s">
        <v>2264</v>
      </c>
      <c r="D813" s="2" t="s">
        <v>245</v>
      </c>
      <c r="E813" s="2" t="s">
        <v>61</v>
      </c>
      <c r="F813" s="2" t="s">
        <v>15</v>
      </c>
      <c r="G813" s="2" t="s">
        <v>878</v>
      </c>
      <c r="H813" s="2" t="s">
        <v>74</v>
      </c>
      <c r="I813" s="2" t="str">
        <f>IFERROR(__xludf.DUMMYFUNCTION("GOOGLETRANSLATE(C813,""fr"",""en"")"),"I have just obtained satisfaction after several calls concerning my paid third party card and with the collaboration of Nisrine I was able to obtain my final paid third card
have a good day")</f>
        <v>I have just obtained satisfaction after several calls concerning my paid third party card and with the collaboration of Nisrine I was able to obtain my final paid third card
have a good day</v>
      </c>
    </row>
    <row r="814" ht="15.75" customHeight="1">
      <c r="A814" s="2">
        <v>3.0</v>
      </c>
      <c r="B814" s="2" t="s">
        <v>2265</v>
      </c>
      <c r="C814" s="2" t="s">
        <v>2266</v>
      </c>
      <c r="D814" s="2" t="s">
        <v>285</v>
      </c>
      <c r="E814" s="2" t="s">
        <v>20</v>
      </c>
      <c r="F814" s="2" t="s">
        <v>15</v>
      </c>
      <c r="G814" s="2" t="s">
        <v>2267</v>
      </c>
      <c r="H814" s="2" t="s">
        <v>256</v>
      </c>
      <c r="I814" s="2" t="str">
        <f>IFERROR(__xludf.DUMMYFUNCTION("GOOGLETRANSLATE(C814,""fr"",""en"")"),"A big weak point the deductible that I was reduced by 90 € namely from 340 € to 250 € and for that increase in my subscription of 75 € !!!
I call it a diverted increase me !!!")</f>
        <v>A big weak point the deductible that I was reduced by 90 € namely from 340 € to 250 € and for that increase in my subscription of 75 € !!!
I call it a diverted increase me !!!</v>
      </c>
    </row>
    <row r="815" ht="15.75" customHeight="1">
      <c r="A815" s="2">
        <v>1.0</v>
      </c>
      <c r="B815" s="2" t="s">
        <v>2268</v>
      </c>
      <c r="C815" s="2" t="s">
        <v>2269</v>
      </c>
      <c r="D815" s="2" t="s">
        <v>1014</v>
      </c>
      <c r="E815" s="2" t="s">
        <v>122</v>
      </c>
      <c r="F815" s="2" t="s">
        <v>15</v>
      </c>
      <c r="G815" s="2" t="s">
        <v>2270</v>
      </c>
      <c r="H815" s="2" t="s">
        <v>701</v>
      </c>
      <c r="I815" s="2" t="str">
        <f>IFERROR(__xludf.DUMMYFUNCTION("GOOGLETRANSLATE(C815,""fr"",""en"")"),"To situate myself, I changed home insurance, due to the change of bank. I regret a lot today !!!!
We left for a long weekend of 5 days, unfortunately our fridge/freezer broke down, so all the commodity in the trash (it's not that the pb !!) I therefore m"&amp;"ake a statement to the insurance August 13 (very very very unpleasant and central advisor to the outside territory) and I did not wait for the return of insurance to buy one (a family with 3 children !!), return of insurance 26Aout !!!!! You read well 26A"&amp;"ut !!!! Either 13 days later to ask me to have the fridge of the fridge for care, it's a huge joke by a professional, because they think I will keep the fridge rot in my house or in the garden !! !!!
Result I sent everything C ...
in my opinion to flee "&amp;"!!!")</f>
        <v>To situate myself, I changed home insurance, due to the change of bank. I regret a lot today !!!!
We left for a long weekend of 5 days, unfortunately our fridge/freezer broke down, so all the commodity in the trash (it's not that the pb !!) I therefore make a statement to the insurance August 13 (very very very unpleasant and central advisor to the outside territory) and I did not wait for the return of insurance to buy one (a family with 3 children !!), return of insurance 26Aout !!!!! You read well 26Aut !!!! Either 13 days later to ask me to have the fridge of the fridge for care, it's a huge joke by a professional, because they think I will keep the fridge rot in my house or in the garden !! !!!
Result I sent everything C ...
in my opinion to flee !!!</v>
      </c>
    </row>
    <row r="816" ht="15.75" customHeight="1">
      <c r="A816" s="2">
        <v>5.0</v>
      </c>
      <c r="B816" s="2" t="s">
        <v>2271</v>
      </c>
      <c r="C816" s="2" t="s">
        <v>2272</v>
      </c>
      <c r="D816" s="2" t="s">
        <v>442</v>
      </c>
      <c r="E816" s="2" t="s">
        <v>30</v>
      </c>
      <c r="F816" s="2" t="s">
        <v>15</v>
      </c>
      <c r="G816" s="2" t="s">
        <v>1698</v>
      </c>
      <c r="H816" s="2" t="s">
        <v>92</v>
      </c>
      <c r="I816" s="2" t="str">
        <f>IFERROR(__xludf.DUMMYFUNCTION("GOOGLETRANSLATE(C816,""fr"",""en"")"),"Very attractive price for guarantees. The tranquility option is also very good.
Competent and responsive advisor.
I would recommend zen-ups to my loved ones without worries")</f>
        <v>Very attractive price for guarantees. The tranquility option is also very good.
Competent and responsive advisor.
I would recommend zen-ups to my loved ones without worries</v>
      </c>
    </row>
    <row r="817" ht="15.75" customHeight="1">
      <c r="A817" s="2">
        <v>4.0</v>
      </c>
      <c r="B817" s="2" t="s">
        <v>2273</v>
      </c>
      <c r="C817" s="2" t="s">
        <v>2274</v>
      </c>
      <c r="D817" s="2" t="s">
        <v>35</v>
      </c>
      <c r="E817" s="2" t="s">
        <v>20</v>
      </c>
      <c r="F817" s="2" t="s">
        <v>15</v>
      </c>
      <c r="G817" s="2" t="s">
        <v>2275</v>
      </c>
      <c r="H817" s="2" t="s">
        <v>74</v>
      </c>
      <c r="I817" s="2" t="str">
        <f>IFERROR(__xludf.DUMMYFUNCTION("GOOGLETRANSLATE(C817,""fr"",""en"")"),"Prices suit me compared to my old car insurance. To see in the future the advantages that I can get. Kind person on the phone.")</f>
        <v>Prices suit me compared to my old car insurance. To see in the future the advantages that I can get. Kind person on the phone.</v>
      </c>
    </row>
    <row r="818" ht="15.75" customHeight="1">
      <c r="A818" s="2">
        <v>1.0</v>
      </c>
      <c r="B818" s="2" t="s">
        <v>2276</v>
      </c>
      <c r="C818" s="2" t="s">
        <v>2277</v>
      </c>
      <c r="D818" s="2" t="s">
        <v>305</v>
      </c>
      <c r="E818" s="2" t="s">
        <v>214</v>
      </c>
      <c r="F818" s="2" t="s">
        <v>15</v>
      </c>
      <c r="G818" s="2" t="s">
        <v>1572</v>
      </c>
      <c r="H818" s="2" t="s">
        <v>422</v>
      </c>
      <c r="I818" s="2" t="str">
        <f>IFERROR(__xludf.DUMMYFUNCTION("GOOGLETRANSLATE(C818,""fr"",""en"")"),"If you are of a liberal profession, a little advice, especially do not subscribe to complementary health with this organization because despite a pathological pregnancy with mail from the attending physician and the Swisslife gynecologist does not want to"&amp;" pay me, I have been stopped now almost 3 month and I must constantly provide supporting documents and despite this it is refusal on refusal and obviously no way of joining the doctor advice in order to know these successive refusals. On the other hand to"&amp;" take me every month, there is never had a problem.")</f>
        <v>If you are of a liberal profession, a little advice, especially do not subscribe to complementary health with this organization because despite a pathological pregnancy with mail from the attending physician and the Swisslife gynecologist does not want to pay me, I have been stopped now almost 3 month and I must constantly provide supporting documents and despite this it is refusal on refusal and obviously no way of joining the doctor advice in order to know these successive refusals. On the other hand to take me every month, there is never had a problem.</v>
      </c>
    </row>
    <row r="819" ht="15.75" customHeight="1">
      <c r="A819" s="2">
        <v>4.0</v>
      </c>
      <c r="B819" s="2" t="s">
        <v>2278</v>
      </c>
      <c r="C819" s="2" t="s">
        <v>2279</v>
      </c>
      <c r="D819" s="2" t="s">
        <v>43</v>
      </c>
      <c r="E819" s="2" t="s">
        <v>20</v>
      </c>
      <c r="F819" s="2" t="s">
        <v>15</v>
      </c>
      <c r="G819" s="2" t="s">
        <v>878</v>
      </c>
      <c r="H819" s="2" t="s">
        <v>74</v>
      </c>
      <c r="I819" s="2" t="str">
        <f>IFERROR(__xludf.DUMMYFUNCTION("GOOGLETRANSLATE(C819,""fr"",""en"")"),"I am satisfied with the prices
contracts
By cons where I am less satisfied see not at all it is when you want to join you or modify a contract")</f>
        <v>I am satisfied with the prices
contracts
By cons where I am less satisfied see not at all it is when you want to join you or modify a contract</v>
      </c>
    </row>
    <row r="820" ht="15.75" customHeight="1">
      <c r="A820" s="2">
        <v>3.0</v>
      </c>
      <c r="B820" s="2" t="s">
        <v>2280</v>
      </c>
      <c r="C820" s="2" t="s">
        <v>2281</v>
      </c>
      <c r="D820" s="2" t="s">
        <v>35</v>
      </c>
      <c r="E820" s="2" t="s">
        <v>20</v>
      </c>
      <c r="F820" s="2" t="s">
        <v>15</v>
      </c>
      <c r="G820" s="2" t="s">
        <v>2282</v>
      </c>
      <c r="H820" s="2" t="s">
        <v>92</v>
      </c>
      <c r="I820" s="2" t="str">
        <f>IFERROR(__xludf.DUMMYFUNCTION("GOOGLETRANSLATE(C820,""fr"",""en"")"),"Listening advisers. High price for young driver but remains a little cheaper than the others.
I recommend for those looking for insurance.")</f>
        <v>Listening advisers. High price for young driver but remains a little cheaper than the others.
I recommend for those looking for insurance.</v>
      </c>
    </row>
    <row r="821" ht="15.75" customHeight="1">
      <c r="A821" s="2">
        <v>1.0</v>
      </c>
      <c r="B821" s="2" t="s">
        <v>2283</v>
      </c>
      <c r="C821" s="2" t="s">
        <v>2284</v>
      </c>
      <c r="D821" s="2" t="s">
        <v>245</v>
      </c>
      <c r="E821" s="2" t="s">
        <v>61</v>
      </c>
      <c r="F821" s="2" t="s">
        <v>15</v>
      </c>
      <c r="G821" s="2" t="s">
        <v>2285</v>
      </c>
      <c r="H821" s="2" t="s">
        <v>26</v>
      </c>
      <c r="I821" s="2" t="str">
        <f>IFERROR(__xludf.DUMMYFUNCTION("GOOGLETRANSLATE(C821,""fr"",""en"")"),"Bad group never responds to requests, that erroneous information must always pay attention to our reimbursements in one year it is the horror flee !!")</f>
        <v>Bad group never responds to requests, that erroneous information must always pay attention to our reimbursements in one year it is the horror flee !!</v>
      </c>
    </row>
    <row r="822" ht="15.75" customHeight="1">
      <c r="A822" s="2">
        <v>1.0</v>
      </c>
      <c r="B822" s="2" t="s">
        <v>2286</v>
      </c>
      <c r="C822" s="2" t="s">
        <v>2287</v>
      </c>
      <c r="D822" s="2" t="s">
        <v>193</v>
      </c>
      <c r="E822" s="2" t="s">
        <v>122</v>
      </c>
      <c r="F822" s="2" t="s">
        <v>15</v>
      </c>
      <c r="G822" s="2" t="s">
        <v>2288</v>
      </c>
      <c r="H822" s="2" t="s">
        <v>501</v>
      </c>
      <c r="I822" s="2" t="str">
        <f>IFERROR(__xludf.DUMMYFUNCTION("GOOGLETRANSLATE(C822,""fr"",""en"")"),"Very disappointed with the legal service")</f>
        <v>Very disappointed with the legal service</v>
      </c>
    </row>
    <row r="823" ht="15.75" customHeight="1">
      <c r="A823" s="2">
        <v>5.0</v>
      </c>
      <c r="B823" s="2" t="s">
        <v>2289</v>
      </c>
      <c r="C823" s="2" t="s">
        <v>2290</v>
      </c>
      <c r="D823" s="2" t="s">
        <v>35</v>
      </c>
      <c r="E823" s="2" t="s">
        <v>20</v>
      </c>
      <c r="F823" s="2" t="s">
        <v>15</v>
      </c>
      <c r="G823" s="2" t="s">
        <v>2083</v>
      </c>
      <c r="H823" s="2" t="s">
        <v>131</v>
      </c>
      <c r="I823" s="2" t="str">
        <f>IFERROR(__xludf.DUMMYFUNCTION("GOOGLETRANSLATE(C823,""fr"",""en"")"),"Satisfied with my quote from my fast and efficient insurance, good customer relationship by phone. I recommend olivine assurance thank you to tojt the team")</f>
        <v>Satisfied with my quote from my fast and efficient insurance, good customer relationship by phone. I recommend olivine assurance thank you to tojt the team</v>
      </c>
    </row>
    <row r="824" ht="15.75" customHeight="1">
      <c r="A824" s="2">
        <v>5.0</v>
      </c>
      <c r="B824" s="2" t="s">
        <v>2291</v>
      </c>
      <c r="C824" s="2" t="s">
        <v>2292</v>
      </c>
      <c r="D824" s="2" t="s">
        <v>35</v>
      </c>
      <c r="E824" s="2" t="s">
        <v>20</v>
      </c>
      <c r="F824" s="2" t="s">
        <v>15</v>
      </c>
      <c r="G824" s="2" t="s">
        <v>1236</v>
      </c>
      <c r="H824" s="2" t="s">
        <v>21</v>
      </c>
      <c r="I824" s="2" t="str">
        <f>IFERROR(__xludf.DUMMYFUNCTION("GOOGLETRANSLATE(C824,""fr"",""en"")"),"Very positive global service. Very good listening and competitive price. Very responsive and efficient. The formulas are flexible and very understandable. And above all simple")</f>
        <v>Very positive global service. Very good listening and competitive price. Very responsive and efficient. The formulas are flexible and very understandable. And above all simple</v>
      </c>
    </row>
    <row r="825" ht="15.75" customHeight="1">
      <c r="A825" s="2">
        <v>5.0</v>
      </c>
      <c r="B825" s="2" t="s">
        <v>2293</v>
      </c>
      <c r="C825" s="2" t="s">
        <v>2294</v>
      </c>
      <c r="D825" s="2" t="s">
        <v>35</v>
      </c>
      <c r="E825" s="2" t="s">
        <v>20</v>
      </c>
      <c r="F825" s="2" t="s">
        <v>15</v>
      </c>
      <c r="G825" s="2" t="s">
        <v>708</v>
      </c>
      <c r="H825" s="2" t="s">
        <v>332</v>
      </c>
      <c r="I825" s="2" t="str">
        <f>IFERROR(__xludf.DUMMYFUNCTION("GOOGLETRANSLATE(C825,""fr"",""en"")"),"Formerly of direct insurance, the price I attracted, I tried, and I am far from disappointed.
I have had a small hanging since I was at home, fast and efficient support!")</f>
        <v>Formerly of direct insurance, the price I attracted, I tried, and I am far from disappointed.
I have had a small hanging since I was at home, fast and efficient support!</v>
      </c>
    </row>
    <row r="826" ht="15.75" customHeight="1">
      <c r="A826" s="2">
        <v>3.0</v>
      </c>
      <c r="B826" s="2" t="s">
        <v>2295</v>
      </c>
      <c r="C826" s="2" t="s">
        <v>2296</v>
      </c>
      <c r="D826" s="2" t="s">
        <v>19</v>
      </c>
      <c r="E826" s="2" t="s">
        <v>20</v>
      </c>
      <c r="F826" s="2" t="s">
        <v>15</v>
      </c>
      <c r="G826" s="2" t="s">
        <v>1057</v>
      </c>
      <c r="H826" s="2" t="s">
        <v>108</v>
      </c>
      <c r="I826" s="2" t="str">
        <f>IFERROR(__xludf.DUMMYFUNCTION("GOOGLETRANSLATE(C826,""fr"",""en"")"),"I am not too satisfied given the high price of the insurance policy.
The monthly price too expensive as the annual price.
Police compared to other cheaper companies")</f>
        <v>I am not too satisfied given the high price of the insurance policy.
The monthly price too expensive as the annual price.
Police compared to other cheaper companies</v>
      </c>
    </row>
    <row r="827" ht="15.75" customHeight="1">
      <c r="A827" s="2">
        <v>2.0</v>
      </c>
      <c r="B827" s="2" t="s">
        <v>2297</v>
      </c>
      <c r="C827" s="2" t="s">
        <v>2298</v>
      </c>
      <c r="D827" s="2" t="s">
        <v>1661</v>
      </c>
      <c r="E827" s="2" t="s">
        <v>214</v>
      </c>
      <c r="F827" s="2" t="s">
        <v>15</v>
      </c>
      <c r="G827" s="2" t="s">
        <v>1850</v>
      </c>
      <c r="H827" s="2" t="s">
        <v>332</v>
      </c>
      <c r="I827" s="2" t="str">
        <f>IFERROR(__xludf.DUMMYFUNCTION("GOOGLETRANSLATE(C827,""fr"",""en"")"),"Flee intermeau. They lose the papers sent. The telephone platform should not be returned. The files and of which no help is.
3 months of delay currently on my reimbursements and that without any explanations of their shares.
 ")</f>
        <v>Flee intermeau. They lose the papers sent. The telephone platform should not be returned. The files and of which no help is.
3 months of delay currently on my reimbursements and that without any explanations of their shares.
 </v>
      </c>
    </row>
    <row r="828" ht="15.75" customHeight="1">
      <c r="A828" s="2">
        <v>5.0</v>
      </c>
      <c r="B828" s="2" t="s">
        <v>2299</v>
      </c>
      <c r="C828" s="2" t="s">
        <v>2300</v>
      </c>
      <c r="D828" s="2" t="s">
        <v>35</v>
      </c>
      <c r="E828" s="2" t="s">
        <v>20</v>
      </c>
      <c r="F828" s="2" t="s">
        <v>15</v>
      </c>
      <c r="G828" s="2" t="s">
        <v>908</v>
      </c>
      <c r="H828" s="2" t="s">
        <v>108</v>
      </c>
      <c r="I828" s="2" t="str">
        <f>IFERROR(__xludf.DUMMYFUNCTION("GOOGLETRANSLATE(C828,""fr"",""en"")"),"Price much more satisfactory than my those of my old insurer. A more sympathetic television. I do not regret this new subscription!")</f>
        <v>Price much more satisfactory than my those of my old insurer. A more sympathetic television. I do not regret this new subscription!</v>
      </c>
    </row>
    <row r="829" ht="15.75" customHeight="1">
      <c r="A829" s="2">
        <v>2.0</v>
      </c>
      <c r="B829" s="2" t="s">
        <v>2301</v>
      </c>
      <c r="C829" s="2" t="s">
        <v>2302</v>
      </c>
      <c r="D829" s="2" t="s">
        <v>19</v>
      </c>
      <c r="E829" s="2" t="s">
        <v>20</v>
      </c>
      <c r="F829" s="2" t="s">
        <v>15</v>
      </c>
      <c r="G829" s="2" t="s">
        <v>2303</v>
      </c>
      <c r="H829" s="2" t="s">
        <v>239</v>
      </c>
      <c r="I829" s="2" t="str">
        <f>IFERROR(__xludf.DUMMYFUNCTION("GOOGLETRANSLATE(C829,""fr"",""en"")"),"The prices increase every year when I have never had a claim and despite the bonus increase (mini-third offer). Interesting assurance for young drivers only.")</f>
        <v>The prices increase every year when I have never had a claim and despite the bonus increase (mini-third offer). Interesting assurance for young drivers only.</v>
      </c>
    </row>
    <row r="830" ht="15.75" customHeight="1">
      <c r="A830" s="2">
        <v>2.0</v>
      </c>
      <c r="B830" s="2" t="s">
        <v>2304</v>
      </c>
      <c r="C830" s="2" t="s">
        <v>2305</v>
      </c>
      <c r="D830" s="2" t="s">
        <v>337</v>
      </c>
      <c r="E830" s="2" t="s">
        <v>20</v>
      </c>
      <c r="F830" s="2" t="s">
        <v>15</v>
      </c>
      <c r="G830" s="2" t="s">
        <v>1945</v>
      </c>
      <c r="H830" s="2" t="s">
        <v>729</v>
      </c>
      <c r="I830" s="2" t="str">
        <f>IFERROR(__xludf.DUMMYFUNCTION("GOOGLETRANSLATE(C830,""fr"",""en"")"),"2 months ago, I called for information to ensure my daughter's car who had just found work on a permanent contract in the private sector. The person on the phone told me that my daughter's friend (they have only been together for 1 year) could become a me"&amp;"mber due to his job. This person created a member number, telling me that he could terminate without problem if he did not agree to be a member. He did not sign anything, my daughter either, neither the papers received, nor the electronic signature. 2 day"&amp;"s later my daughter receives the vehicle green card with her boyfriend. All this without any signature! He wanted to cancel all this, sent a registered mail ... and he continues to be harassed with letters telling him that he is a member and that he canno"&amp;"t terminate the car contract. I conclude that we can call the maif and ensure his neighbor (or his worst enemy if you want him to live in hell!) Without his agreement, as long as we know his date of birth, his address and The car registration number! No s"&amp;"ignature! Inadmissible! I will call on 60 million consumers because it goes far too far. Some are ejected from MAIF but others are harassed and cannot get rid of it. I also point out that my spouse has been a member for 25 years and is outraged by this ab"&amp;"usive behavior! We have all our insurance at home ... I sincerely regret having called them for simple information and to help my daughter who had asked nothing ... and I ask myself, namely if I will not withdraw All our contracts and go to Groupama.")</f>
        <v>2 months ago, I called for information to ensure my daughter's car who had just found work on a permanent contract in the private sector. The person on the phone told me that my daughter's friend (they have only been together for 1 year) could become a member due to his job. This person created a member number, telling me that he could terminate without problem if he did not agree to be a member. He did not sign anything, my daughter either, neither the papers received, nor the electronic signature. 2 days later my daughter receives the vehicle green card with her boyfriend. All this without any signature! He wanted to cancel all this, sent a registered mail ... and he continues to be harassed with letters telling him that he is a member and that he cannot terminate the car contract. I conclude that we can call the maif and ensure his neighbor (or his worst enemy if you want him to live in hell!) Without his agreement, as long as we know his date of birth, his address and The car registration number! No signature! Inadmissible! I will call on 60 million consumers because it goes far too far. Some are ejected from MAIF but others are harassed and cannot get rid of it. I also point out that my spouse has been a member for 25 years and is outraged by this abusive behavior! We have all our insurance at home ... I sincerely regret having called them for simple information and to help my daughter who had asked nothing ... and I ask myself, namely if I will not withdraw All our contracts and go to Groupama.</v>
      </c>
    </row>
    <row r="831" ht="15.75" customHeight="1">
      <c r="A831" s="2">
        <v>4.0</v>
      </c>
      <c r="B831" s="2" t="s">
        <v>2306</v>
      </c>
      <c r="C831" s="2" t="s">
        <v>2307</v>
      </c>
      <c r="D831" s="2" t="s">
        <v>245</v>
      </c>
      <c r="E831" s="2" t="s">
        <v>61</v>
      </c>
      <c r="F831" s="2" t="s">
        <v>15</v>
      </c>
      <c r="G831" s="2" t="s">
        <v>2308</v>
      </c>
      <c r="H831" s="2" t="s">
        <v>534</v>
      </c>
      <c r="I831" s="2" t="str">
        <f>IFERROR(__xludf.DUMMYFUNCTION("GOOGLETRANSLATE(C831,""fr"",""en"")"),"Very good welcome from Oumaima, goes to the end of the council so that I have no more questions. All my questions had an answer.")</f>
        <v>Very good welcome from Oumaima, goes to the end of the council so that I have no more questions. All my questions had an answer.</v>
      </c>
    </row>
    <row r="832" ht="15.75" customHeight="1">
      <c r="A832" s="2">
        <v>5.0</v>
      </c>
      <c r="B832" s="2" t="s">
        <v>2309</v>
      </c>
      <c r="C832" s="2" t="s">
        <v>2310</v>
      </c>
      <c r="D832" s="2" t="s">
        <v>35</v>
      </c>
      <c r="E832" s="2" t="s">
        <v>20</v>
      </c>
      <c r="F832" s="2" t="s">
        <v>15</v>
      </c>
      <c r="G832" s="2" t="s">
        <v>31</v>
      </c>
      <c r="H832" s="2" t="s">
        <v>32</v>
      </c>
      <c r="I832" s="2" t="str">
        <f>IFERROR(__xludf.DUMMYFUNCTION("GOOGLETRANSLATE(C832,""fr"",""en"")"),"I am satisfied with the price and the telephone, professional and polished reception. I am talking about my insurer to my loved ones so that he also registers it thank you for your kindness and politeness!")</f>
        <v>I am satisfied with the price and the telephone, professional and polished reception. I am talking about my insurer to my loved ones so that he also registers it thank you for your kindness and politeness!</v>
      </c>
    </row>
    <row r="833" ht="15.75" customHeight="1">
      <c r="A833" s="2">
        <v>2.0</v>
      </c>
      <c r="B833" s="2" t="s">
        <v>2311</v>
      </c>
      <c r="C833" s="2" t="s">
        <v>2312</v>
      </c>
      <c r="D833" s="2" t="s">
        <v>337</v>
      </c>
      <c r="E833" s="2" t="s">
        <v>20</v>
      </c>
      <c r="F833" s="2" t="s">
        <v>15</v>
      </c>
      <c r="G833" s="2" t="s">
        <v>2313</v>
      </c>
      <c r="H833" s="2" t="s">
        <v>53</v>
      </c>
      <c r="I833" s="2" t="str">
        <f>IFERROR(__xludf.DUMMYFUNCTION("GOOGLETRANSLATE(C833,""fr"",""en"")"),"Je.suis doubly disappointed by this insurer, everything is fine until a disaster arrives and you are so alone.
24 years old members in Maiff: perfect given no sinister
1st disaster without regard, it treats you without proof like a dangerous person an"&amp;"d in addition me who follows as a main driver on another car I have the same treatment:
A Ouila MAIF is BIFTABLE AND SOLIDARIOUS .....................................
And I ask for the name of a mediator to treat the problem well no they cannot give you"&amp;"
Thank you maiff")</f>
        <v>Je.suis doubly disappointed by this insurer, everything is fine until a disaster arrives and you are so alone.
24 years old members in Maiff: perfect given no sinister
1st disaster without regard, it treats you without proof like a dangerous person and in addition me who follows as a main driver on another car I have the same treatment:
A Ouila MAIF is BIFTABLE AND SOLIDARIOUS .....................................
And I ask for the name of a mediator to treat the problem well no they cannot give you
Thank you maiff</v>
      </c>
    </row>
    <row r="834" ht="15.75" customHeight="1">
      <c r="A834" s="2">
        <v>1.0</v>
      </c>
      <c r="B834" s="2" t="s">
        <v>2314</v>
      </c>
      <c r="C834" s="2" t="s">
        <v>2315</v>
      </c>
      <c r="D834" s="2" t="s">
        <v>559</v>
      </c>
      <c r="E834" s="2" t="s">
        <v>135</v>
      </c>
      <c r="F834" s="2" t="s">
        <v>15</v>
      </c>
      <c r="G834" s="2" t="s">
        <v>2316</v>
      </c>
      <c r="H834" s="2" t="s">
        <v>202</v>
      </c>
      <c r="I834" s="2" t="str">
        <f>IFERROR(__xludf.DUMMYFUNCTION("GOOGLETRANSLATE(C834,""fr"",""en"")"),"My mother died on September 11, 2016, she had time to tell us where all the documents she had at her place and to tell us that she was the beneficiary of life insurance at Generali. Here we go for an endless hassle, total ignorance of the commercial which"&amp;" gives an appointment and then ""forget"" to come without apologizing and then we will never meet it, I had to do research on the net to Being able to find an email address or contact me to be told or is our file and there an answer with a long list like "&amp;"the arm with a complete request on the cause of death to the doctor, we have Luck, the doctor agreed to complete this certificate knowing that what is requested does not in any way concern my mother's file. Well we manage to group all the documents and sh"&amp;"ip on December 16 in AR, they receive it on December 19. At the beginning of January I call and there we are told that there is a delay in the processing processing (they would only have taken care of the files received on October 12, the right joke) well"&amp;" we wait and we recall the January 31, 2017, here we are told that the mail informing us of the sum that we are going to receive has already left this very day (we laugh at who?) But that the check will be received separately, we receive the mail on Febru"&amp;"ary 4, Ho say it is dated February 1 and posted on February 2 (well, then just after our call)
It is said in this letter that the salesperson (who kindly left us managed and never answers the phone) must in the days to come and contact us to give us our "&amp;"check, we know that it is only to try to us resell something, lack of bowl I call this salesperson and ho astonishment it still does not answer!
Today we have received a letter dated January 31 and posted on February 7 (always the date or we called them)"&amp;" indicating that they lack a document and that we will have a reduction of so much money, so me furious I call them and tell them all the good that I think of this breach I am told that it is an informative letter, I ask them to settle the amount immediat"&amp;"ely that we do not want to deal with the salesperson and there the answer I Sends him an email to send you the check by mail, I tell them about late indemnities and there ""no madam we are not late, we have no allowances to owe you"" and bah if You have l"&amp;"argely had of it since the 2007 law you have owed us since January 20! If the salesperson continues not to do his job, I will call the magazine what to choose with whom we subscribe and see what can be done.")</f>
        <v>My mother died on September 11, 2016, she had time to tell us where all the documents she had at her place and to tell us that she was the beneficiary of life insurance at Generali. Here we go for an endless hassle, total ignorance of the commercial which gives an appointment and then "forget" to come without apologizing and then we will never meet it, I had to do research on the net to Being able to find an email address or contact me to be told or is our file and there an answer with a long list like the arm with a complete request on the cause of death to the doctor, we have Luck, the doctor agreed to complete this certificate knowing that what is requested does not in any way concern my mother's file. Well we manage to group all the documents and ship on December 16 in AR, they receive it on December 19. At the beginning of January I call and there we are told that there is a delay in the processing processing (they would only have taken care of the files received on October 12, the right joke) well we wait and we recall the January 31, 2017, here we are told that the mail informing us of the sum that we are going to receive has already left this very day (we laugh at who?) But that the check will be received separately, we receive the mail on February 4, Ho say it is dated February 1 and posted on February 2 (well, then just after our call)
It is said in this letter that the salesperson (who kindly left us managed and never answers the phone) must in the days to come and contact us to give us our check, we know that it is only to try to us resell something, lack of bowl I call this salesperson and ho astonishment it still does not answer!
Today we have received a letter dated January 31 and posted on February 7 (always the date or we called them) indicating that they lack a document and that we will have a reduction of so much money, so me furious I call them and tell them all the good that I think of this breach I am told that it is an informative letter, I ask them to settle the amount immediately that we do not want to deal with the salesperson and there the answer I Sends him an email to send you the check by mail, I tell them about late indemnities and there "no madam we are not late, we have no allowances to owe you" and bah if You have largely had of it since the 2007 law you have owed us since January 20! If the salesperson continues not to do his job, I will call the magazine what to choose with whom we subscribe and see what can be done.</v>
      </c>
    </row>
    <row r="835" ht="15.75" customHeight="1">
      <c r="A835" s="2">
        <v>1.0</v>
      </c>
      <c r="B835" s="2" t="s">
        <v>2317</v>
      </c>
      <c r="C835" s="2" t="s">
        <v>2318</v>
      </c>
      <c r="D835" s="2" t="s">
        <v>378</v>
      </c>
      <c r="E835" s="2" t="s">
        <v>61</v>
      </c>
      <c r="F835" s="2" t="s">
        <v>15</v>
      </c>
      <c r="G835" s="2" t="s">
        <v>2319</v>
      </c>
      <c r="H835" s="2" t="s">
        <v>190</v>
      </c>
      <c r="I835" s="2" t="str">
        <f>IFERROR(__xludf.DUMMYFUNCTION("GOOGLETRANSLATE(C835,""fr"",""en"")"),"Mutual harmony has trouble making the reimbursement on the other hand to send back threat letters SA c les kings because yes I blocked the last sample but after what is it going to be ??? So it lasts since my shocking with them Mutual Card Arrival when Ja"&amp;"nuary so invoice of 173 euros over the 3 months ???? So immediately in short, I advised her unpleasant telephone service take us from high and not very cordial")</f>
        <v>Mutual harmony has trouble making the reimbursement on the other hand to send back threat letters SA c les kings because yes I blocked the last sample but after what is it going to be ??? So it lasts since my shocking with them Mutual Card Arrival when January so invoice of 173 euros over the 3 months ???? So immediately in short, I advised her unpleasant telephone service take us from high and not very cordial</v>
      </c>
    </row>
    <row r="836" ht="15.75" customHeight="1">
      <c r="A836" s="2">
        <v>1.0</v>
      </c>
      <c r="B836" s="2" t="s">
        <v>2320</v>
      </c>
      <c r="C836" s="2" t="s">
        <v>2321</v>
      </c>
      <c r="D836" s="2" t="s">
        <v>19</v>
      </c>
      <c r="E836" s="2" t="s">
        <v>20</v>
      </c>
      <c r="F836" s="2" t="s">
        <v>15</v>
      </c>
      <c r="G836" s="2" t="s">
        <v>1968</v>
      </c>
      <c r="H836" s="2" t="s">
        <v>92</v>
      </c>
      <c r="I836" s="2" t="str">
        <f>IFERROR(__xludf.DUMMYFUNCTION("GOOGLETRANSLATE(C836,""fr"",""en"")"),"I have been insured for 30 years in this company, a single disaster broken ice in 2013.
At the end of January, a vehicle struck mine, a crumpled wing, not enough to whip a cat!
However, in a first step, the expert estimated that I had made a false state"&amp;"ment, then he decreed that I had hit a post and finally that I had lost control of my vehicle. After several email exchanges, the company finally accepts the care of this disaster in early April. The expert, not having bothering to quantify the damage, I "&amp;"ask that the necessary be done, so as not to start a discussion for months, in passing I ask for a commercial gesture. Since then, radio silence !!!
In short, I was dealing with a platform where as a manager, I had interlocutors who were content to read "&amp;"their script. No way, to exchange with a competent manager! Maybe there isn't any?
I am furious to be considered a crook!
In addition, bonuses increase inconidate, for a very unsatisfactory result")</f>
        <v>I have been insured for 30 years in this company, a single disaster broken ice in 2013.
At the end of January, a vehicle struck mine, a crumpled wing, not enough to whip a cat!
However, in a first step, the expert estimated that I had made a false statement, then he decreed that I had hit a post and finally that I had lost control of my vehicle. After several email exchanges, the company finally accepts the care of this disaster in early April. The expert, not having bothering to quantify the damage, I ask that the necessary be done, so as not to start a discussion for months, in passing I ask for a commercial gesture. Since then, radio silence !!!
In short, I was dealing with a platform where as a manager, I had interlocutors who were content to read their script. No way, to exchange with a competent manager! Maybe there isn't any?
I am furious to be considered a crook!
In addition, bonuses increase inconidate, for a very unsatisfactory result</v>
      </c>
    </row>
    <row r="837" ht="15.75" customHeight="1">
      <c r="A837" s="2">
        <v>1.0</v>
      </c>
      <c r="B837" s="2" t="s">
        <v>2322</v>
      </c>
      <c r="C837" s="2" t="s">
        <v>2323</v>
      </c>
      <c r="D837" s="2" t="s">
        <v>350</v>
      </c>
      <c r="E837" s="2" t="s">
        <v>61</v>
      </c>
      <c r="F837" s="2" t="s">
        <v>15</v>
      </c>
      <c r="G837" s="2" t="s">
        <v>2324</v>
      </c>
      <c r="H837" s="2" t="s">
        <v>256</v>
      </c>
      <c r="I837" s="2" t="str">
        <f>IFERROR(__xludf.DUMMYFUNCTION("GOOGLETRANSLATE(C837,""fr"",""en"")"),"Dissatisfied! They cut you off 2 euros with each use of the card, take you 80 cents per month for a so -called association, and in addition, even when you take a level 6 of a senior contract, you are entitled to three months of deficiency or Rather pseudo"&amp;" limitation at 100 % of the security base of the security which represents Queudale hahaha the big damn what")</f>
        <v>Dissatisfied! They cut you off 2 euros with each use of the card, take you 80 cents per month for a so -called association, and in addition, even when you take a level 6 of a senior contract, you are entitled to three months of deficiency or Rather pseudo limitation at 100 % of the security base of the security which represents Queudale hahaha the big damn what</v>
      </c>
    </row>
    <row r="838" ht="15.75" customHeight="1">
      <c r="A838" s="2">
        <v>4.0</v>
      </c>
      <c r="B838" s="2" t="s">
        <v>2325</v>
      </c>
      <c r="C838" s="2" t="s">
        <v>2326</v>
      </c>
      <c r="D838" s="2" t="s">
        <v>35</v>
      </c>
      <c r="E838" s="2" t="s">
        <v>20</v>
      </c>
      <c r="F838" s="2" t="s">
        <v>15</v>
      </c>
      <c r="G838" s="2" t="s">
        <v>1888</v>
      </c>
      <c r="H838" s="2" t="s">
        <v>45</v>
      </c>
      <c r="I838" s="2" t="str">
        <f>IFERROR(__xludf.DUMMYFUNCTION("GOOGLETRANSLATE(C838,""fr"",""en"")"),"I am satisfied with the service given by Olivier Insurance. Very kind interlocutor. Attractive price with enough guarantees. I would recommend Olivier Insurance.")</f>
        <v>I am satisfied with the service given by Olivier Insurance. Very kind interlocutor. Attractive price with enough guarantees. I would recommend Olivier Insurance.</v>
      </c>
    </row>
    <row r="839" ht="15.75" customHeight="1">
      <c r="A839" s="2">
        <v>1.0</v>
      </c>
      <c r="B839" s="2" t="s">
        <v>2327</v>
      </c>
      <c r="C839" s="2" t="s">
        <v>2328</v>
      </c>
      <c r="D839" s="2" t="s">
        <v>100</v>
      </c>
      <c r="E839" s="2" t="s">
        <v>20</v>
      </c>
      <c r="F839" s="2" t="s">
        <v>15</v>
      </c>
      <c r="G839" s="2" t="s">
        <v>2329</v>
      </c>
      <c r="H839" s="2" t="s">
        <v>1489</v>
      </c>
      <c r="I839" s="2" t="str">
        <f>IFERROR(__xludf.DUMMYFUNCTION("GOOGLETRANSLATE(C839,""fr"",""en"")"),"The quote is interesting but when you contact them for the purchase of the car: miracle you benefit from the case fees at 15 euros (notified free on the quote) and an increase of 10 euros ... you have the keys to the car and have to go home ... you have n"&amp;"o other choices than to contract insurance")</f>
        <v>The quote is interesting but when you contact them for the purchase of the car: miracle you benefit from the case fees at 15 euros (notified free on the quote) and an increase of 10 euros ... you have the keys to the car and have to go home ... you have no other choices than to contract insurance</v>
      </c>
    </row>
    <row r="840" ht="15.75" customHeight="1">
      <c r="A840" s="2">
        <v>4.0</v>
      </c>
      <c r="B840" s="2" t="s">
        <v>2330</v>
      </c>
      <c r="C840" s="2" t="s">
        <v>2331</v>
      </c>
      <c r="D840" s="2" t="s">
        <v>43</v>
      </c>
      <c r="E840" s="2" t="s">
        <v>20</v>
      </c>
      <c r="F840" s="2" t="s">
        <v>15</v>
      </c>
      <c r="G840" s="2" t="s">
        <v>2332</v>
      </c>
      <c r="H840" s="2" t="s">
        <v>74</v>
      </c>
      <c r="I840" s="2" t="str">
        <f>IFERROR(__xludf.DUMMYFUNCTION("GOOGLETRANSLATE(C840,""fr"",""en"")"),"I am very satisfied with the internet service and that of the advisor,
- quickly resolution of demand but the price is much more expensive than in local insurers")</f>
        <v>I am very satisfied with the internet service and that of the advisor,
- quickly resolution of demand but the price is much more expensive than in local insurers</v>
      </c>
    </row>
    <row r="841" ht="15.75" customHeight="1">
      <c r="A841" s="2">
        <v>4.0</v>
      </c>
      <c r="B841" s="2" t="s">
        <v>2333</v>
      </c>
      <c r="C841" s="2" t="s">
        <v>2334</v>
      </c>
      <c r="D841" s="2" t="s">
        <v>35</v>
      </c>
      <c r="E841" s="2" t="s">
        <v>20</v>
      </c>
      <c r="F841" s="2" t="s">
        <v>15</v>
      </c>
      <c r="G841" s="2" t="s">
        <v>2083</v>
      </c>
      <c r="H841" s="2" t="s">
        <v>131</v>
      </c>
      <c r="I841" s="2" t="str">
        <f>IFERROR(__xludf.DUMMYFUNCTION("GOOGLETRANSLATE(C841,""fr"",""en"")"),"I am very satisfied with my proposed contract and subscribed to the Olivier Insurance, the prices are really good and I hope to be so satisfied in the following months.")</f>
        <v>I am very satisfied with my proposed contract and subscribed to the Olivier Insurance, the prices are really good and I hope to be so satisfied in the following months.</v>
      </c>
    </row>
    <row r="842" ht="15.75" customHeight="1">
      <c r="A842" s="2">
        <v>4.0</v>
      </c>
      <c r="B842" s="2" t="s">
        <v>2335</v>
      </c>
      <c r="C842" s="2" t="s">
        <v>2336</v>
      </c>
      <c r="D842" s="2" t="s">
        <v>48</v>
      </c>
      <c r="E842" s="2" t="s">
        <v>14</v>
      </c>
      <c r="F842" s="2" t="s">
        <v>15</v>
      </c>
      <c r="G842" s="2" t="s">
        <v>354</v>
      </c>
      <c r="H842" s="2" t="s">
        <v>45</v>
      </c>
      <c r="I842" s="2" t="str">
        <f>IFERROR(__xludf.DUMMYFUNCTION("GOOGLETRANSLATE(C842,""fr"",""en"")"),"Simple subscription via the website, too bad the multi -contract reduction is not accessible to the loyal customer who only changes their main vehicle")</f>
        <v>Simple subscription via the website, too bad the multi -contract reduction is not accessible to the loyal customer who only changes their main vehicle</v>
      </c>
    </row>
    <row r="843" ht="15.75" customHeight="1">
      <c r="A843" s="2">
        <v>4.0</v>
      </c>
      <c r="B843" s="2" t="s">
        <v>2337</v>
      </c>
      <c r="C843" s="2" t="s">
        <v>2338</v>
      </c>
      <c r="D843" s="2" t="s">
        <v>442</v>
      </c>
      <c r="E843" s="2" t="s">
        <v>30</v>
      </c>
      <c r="F843" s="2" t="s">
        <v>15</v>
      </c>
      <c r="G843" s="2" t="s">
        <v>131</v>
      </c>
      <c r="H843" s="2" t="s">
        <v>131</v>
      </c>
      <c r="I843" s="2" t="str">
        <f>IFERROR(__xludf.DUMMYFUNCTION("GOOGLETRANSLATE(C843,""fr"",""en"")"),"Simple and practical, already customer
I hope that monitoring the implementation of the insurance change will be made in a more reactive way, and better than my first contract with Zen Up.")</f>
        <v>Simple and practical, already customer
I hope that monitoring the implementation of the insurance change will be made in a more reactive way, and better than my first contract with Zen Up.</v>
      </c>
    </row>
    <row r="844" ht="15.75" customHeight="1">
      <c r="A844" s="2">
        <v>4.0</v>
      </c>
      <c r="B844" s="2" t="s">
        <v>2339</v>
      </c>
      <c r="C844" s="2" t="s">
        <v>2340</v>
      </c>
      <c r="D844" s="2" t="s">
        <v>19</v>
      </c>
      <c r="E844" s="2" t="s">
        <v>20</v>
      </c>
      <c r="F844" s="2" t="s">
        <v>15</v>
      </c>
      <c r="G844" s="2" t="s">
        <v>101</v>
      </c>
      <c r="H844" s="2" t="s">
        <v>92</v>
      </c>
      <c r="I844" s="2" t="str">
        <f>IFERROR(__xludf.DUMMYFUNCTION("GOOGLETRANSLATE(C844,""fr"",""en"")"),"We are satisfied with the prices, the steps are easy,
Note: we have not yet encountered any problems on the road since we have insured their home, so let's cross our fingers so that our satisfaction continues in the event of a glitch!")</f>
        <v>We are satisfied with the prices, the steps are easy,
Note: we have not yet encountered any problems on the road since we have insured their home, so let's cross our fingers so that our satisfaction continues in the event of a glitch!</v>
      </c>
    </row>
    <row r="845" ht="15.75" customHeight="1">
      <c r="A845" s="2">
        <v>5.0</v>
      </c>
      <c r="B845" s="2" t="s">
        <v>2341</v>
      </c>
      <c r="C845" s="2" t="s">
        <v>2342</v>
      </c>
      <c r="D845" s="2" t="s">
        <v>19</v>
      </c>
      <c r="E845" s="2" t="s">
        <v>20</v>
      </c>
      <c r="F845" s="2" t="s">
        <v>15</v>
      </c>
      <c r="G845" s="2" t="s">
        <v>1236</v>
      </c>
      <c r="H845" s="2" t="s">
        <v>21</v>
      </c>
      <c r="I845" s="2" t="str">
        <f>IFERROR(__xludf.DUMMYFUNCTION("GOOGLETRANSLATE(C845,""fr"",""en"")"),"Simple and practical, fast, fast, efficient
Sympathetic contact and telephone reception, single documents transmission, attractive price, related to competition")</f>
        <v>Simple and practical, fast, fast, efficient
Sympathetic contact and telephone reception, single documents transmission, attractive price, related to competition</v>
      </c>
    </row>
    <row r="846" ht="15.75" customHeight="1">
      <c r="A846" s="2">
        <v>1.0</v>
      </c>
      <c r="B846" s="2" t="s">
        <v>2343</v>
      </c>
      <c r="C846" s="2" t="s">
        <v>2344</v>
      </c>
      <c r="D846" s="2" t="s">
        <v>337</v>
      </c>
      <c r="E846" s="2" t="s">
        <v>122</v>
      </c>
      <c r="F846" s="2" t="s">
        <v>15</v>
      </c>
      <c r="G846" s="2" t="s">
        <v>1428</v>
      </c>
      <c r="H846" s="2" t="s">
        <v>216</v>
      </c>
      <c r="I846" s="2" t="str">
        <f>IFERROR(__xludf.DUMMYFUNCTION("GOOGLETRANSLATE(C846,""fr"",""en"")"),"To flee absolutely! An incompetence as it scare sends young and unskilled experts who are unable to identify the damage no empathy in the processing of ubiquitous slowness files: three months for an email referral !!!!!!!")</f>
        <v>To flee absolutely! An incompetence as it scare sends young and unskilled experts who are unable to identify the damage no empathy in the processing of ubiquitous slowness files: three months for an email referral !!!!!!!</v>
      </c>
    </row>
    <row r="847" ht="15.75" customHeight="1">
      <c r="A847" s="2">
        <v>4.0</v>
      </c>
      <c r="B847" s="2" t="s">
        <v>2345</v>
      </c>
      <c r="C847" s="2" t="s">
        <v>2346</v>
      </c>
      <c r="D847" s="2" t="s">
        <v>171</v>
      </c>
      <c r="E847" s="2" t="s">
        <v>14</v>
      </c>
      <c r="F847" s="2" t="s">
        <v>15</v>
      </c>
      <c r="G847" s="2" t="s">
        <v>1555</v>
      </c>
      <c r="H847" s="2" t="s">
        <v>45</v>
      </c>
      <c r="I847" s="2" t="str">
        <f>IFERROR(__xludf.DUMMYFUNCTION("GOOGLETRANSLATE(C847,""fr"",""en"")"),"Quick quote, fast and practical registration.
It remains to be seen in the event of a problem, hoping there will be no problem.
For the moment I recommend")</f>
        <v>Quick quote, fast and practical registration.
It remains to be seen in the event of a problem, hoping there will be no problem.
For the moment I recommend</v>
      </c>
    </row>
    <row r="848" ht="15.75" customHeight="1">
      <c r="A848" s="2">
        <v>5.0</v>
      </c>
      <c r="B848" s="2" t="s">
        <v>2347</v>
      </c>
      <c r="C848" s="2" t="s">
        <v>2348</v>
      </c>
      <c r="D848" s="2" t="s">
        <v>2349</v>
      </c>
      <c r="E848" s="2" t="s">
        <v>30</v>
      </c>
      <c r="F848" s="2" t="s">
        <v>15</v>
      </c>
      <c r="G848" s="2" t="s">
        <v>2350</v>
      </c>
      <c r="H848" s="2" t="s">
        <v>239</v>
      </c>
      <c r="I848" s="2" t="str">
        <f>IFERROR(__xludf.DUMMYFUNCTION("GOOGLETRANSLATE(C848,""fr"",""en"")"),"Super customer service, listening advisers! I was able to change my loan insurance in time and saved 49 euros per month. I did everything online rather easily. The bank took 3 weeks to respond to my request, so I was lucky, I believe that this is not the "&amp;"case for everyone!")</f>
        <v>Super customer service, listening advisers! I was able to change my loan insurance in time and saved 49 euros per month. I did everything online rather easily. The bank took 3 weeks to respond to my request, so I was lucky, I believe that this is not the case for everyone!</v>
      </c>
    </row>
    <row r="849" ht="15.75" customHeight="1">
      <c r="A849" s="2">
        <v>4.0</v>
      </c>
      <c r="B849" s="2" t="s">
        <v>2351</v>
      </c>
      <c r="C849" s="2" t="s">
        <v>2352</v>
      </c>
      <c r="D849" s="2" t="s">
        <v>35</v>
      </c>
      <c r="E849" s="2" t="s">
        <v>20</v>
      </c>
      <c r="F849" s="2" t="s">
        <v>15</v>
      </c>
      <c r="G849" s="2" t="s">
        <v>131</v>
      </c>
      <c r="H849" s="2" t="s">
        <v>131</v>
      </c>
      <c r="I849" s="2" t="str">
        <f>IFERROR(__xludf.DUMMYFUNCTION("GOOGLETRANSLATE(C849,""fr"",""en"")"),"Hello I am very happy with the service I recommend I do not think to find such low prices for a car insurance thank you very much I really request")</f>
        <v>Hello I am very happy with the service I recommend I do not think to find such low prices for a car insurance thank you very much I really request</v>
      </c>
    </row>
    <row r="850" ht="15.75" customHeight="1">
      <c r="A850" s="2">
        <v>2.0</v>
      </c>
      <c r="B850" s="2" t="s">
        <v>2353</v>
      </c>
      <c r="C850" s="2" t="s">
        <v>2354</v>
      </c>
      <c r="D850" s="2" t="s">
        <v>35</v>
      </c>
      <c r="E850" s="2" t="s">
        <v>20</v>
      </c>
      <c r="F850" s="2" t="s">
        <v>15</v>
      </c>
      <c r="G850" s="2" t="s">
        <v>847</v>
      </c>
      <c r="H850" s="2" t="s">
        <v>53</v>
      </c>
      <c r="I850" s="2" t="str">
        <f>IFERROR(__xludf.DUMMYFUNCTION("GOOGLETRANSLATE(C850,""fr"",""en"")"),"Modify contract, price increased without agreement or even a call to the customer.
Terminated contract, reason for sale invented by the Olivier Insurance, such without calling the customer. I advise to watch SFR or Orange they have offers for companies.
"&amp;"
")</f>
        <v>Modify contract, price increased without agreement or even a call to the customer.
Terminated contract, reason for sale invented by the Olivier Insurance, such without calling the customer. I advise to watch SFR or Orange they have offers for companies.
</v>
      </c>
    </row>
    <row r="851" ht="15.75" customHeight="1">
      <c r="A851" s="2">
        <v>2.0</v>
      </c>
      <c r="B851" s="2" t="s">
        <v>2355</v>
      </c>
      <c r="C851" s="2" t="s">
        <v>2356</v>
      </c>
      <c r="D851" s="2" t="s">
        <v>337</v>
      </c>
      <c r="E851" s="2" t="s">
        <v>20</v>
      </c>
      <c r="F851" s="2" t="s">
        <v>15</v>
      </c>
      <c r="G851" s="2" t="s">
        <v>2357</v>
      </c>
      <c r="H851" s="2" t="s">
        <v>652</v>
      </c>
      <c r="I851" s="2" t="str">
        <f>IFERROR(__xludf.DUMMYFUNCTION("GOOGLETRANSLATE(C851,""fr"",""en"")"),"Hello everyone, I have been insured in Maif for more than forty years, so far I have always been satisfied with his services. Last year on the occasion of a non -gravity disaster I noted that the reception on the phone had nothing to do with what we have "&amp;"known in the past. This time, during several calls, I was dealing with interlocutors not very pleasant not to say more. I was really struggled, how is it possible such a degradation? Since the idea of ​​changing my creamy has been in my head.")</f>
        <v>Hello everyone, I have been insured in Maif for more than forty years, so far I have always been satisfied with his services. Last year on the occasion of a non -gravity disaster I noted that the reception on the phone had nothing to do with what we have known in the past. This time, during several calls, I was dealing with interlocutors not very pleasant not to say more. I was really struggled, how is it possible such a degradation? Since the idea of ​​changing my creamy has been in my head.</v>
      </c>
    </row>
    <row r="852" ht="15.75" customHeight="1">
      <c r="A852" s="2">
        <v>1.0</v>
      </c>
      <c r="B852" s="2" t="s">
        <v>2358</v>
      </c>
      <c r="C852" s="2" t="s">
        <v>2359</v>
      </c>
      <c r="D852" s="2" t="s">
        <v>269</v>
      </c>
      <c r="E852" s="2" t="s">
        <v>61</v>
      </c>
      <c r="F852" s="2" t="s">
        <v>15</v>
      </c>
      <c r="G852" s="2" t="s">
        <v>2360</v>
      </c>
      <c r="H852" s="2" t="s">
        <v>395</v>
      </c>
      <c r="I852" s="2" t="str">
        <f>IFERROR(__xludf.DUMMYFUNCTION("GOOGLETRANSLATE(C852,""fr"",""en"")"),"Disappointed very disappointed. No understanding. They stopped the care for a late deadline. My husband who has the Caner I have to pay his intervention, it's a shame.")</f>
        <v>Disappointed very disappointed. No understanding. They stopped the care for a late deadline. My husband who has the Caner I have to pay his intervention, it's a shame.</v>
      </c>
    </row>
    <row r="853" ht="15.75" customHeight="1">
      <c r="A853" s="2">
        <v>1.0</v>
      </c>
      <c r="B853" s="2" t="s">
        <v>2361</v>
      </c>
      <c r="C853" s="2" t="s">
        <v>2362</v>
      </c>
      <c r="D853" s="2" t="s">
        <v>86</v>
      </c>
      <c r="E853" s="2" t="s">
        <v>61</v>
      </c>
      <c r="F853" s="2" t="s">
        <v>15</v>
      </c>
      <c r="G853" s="2" t="s">
        <v>2363</v>
      </c>
      <c r="H853" s="2" t="s">
        <v>491</v>
      </c>
      <c r="I853" s="2" t="str">
        <f>IFERROR(__xludf.DUMMYFUNCTION("GOOGLETRANSLATE(C853,""fr"",""en"")"),"Deplorable customer service who does not bother to respond to your emails or responds 1 month later with lots of spelling mistakes.
No professionalism")</f>
        <v>Deplorable customer service who does not bother to respond to your emails or responds 1 month later with lots of spelling mistakes.
No professionalism</v>
      </c>
    </row>
    <row r="854" ht="15.75" customHeight="1">
      <c r="A854" s="2">
        <v>1.0</v>
      </c>
      <c r="B854" s="2" t="s">
        <v>2364</v>
      </c>
      <c r="C854" s="2" t="s">
        <v>2365</v>
      </c>
      <c r="D854" s="2" t="s">
        <v>844</v>
      </c>
      <c r="E854" s="2" t="s">
        <v>20</v>
      </c>
      <c r="F854" s="2" t="s">
        <v>15</v>
      </c>
      <c r="G854" s="2" t="s">
        <v>2366</v>
      </c>
      <c r="H854" s="2" t="s">
        <v>567</v>
      </c>
      <c r="I854" s="2" t="str">
        <f>IFERROR(__xludf.DUMMYFUNCTION("GOOGLETRANSLATE(C854,""fr"",""en"")"),"Hello
Following a debut of contract creation on August 26 and a payment of 280 euros they indicate today September 20 that in my reports of information a period is not valid because I have been ensured as a second driver.
Not being a professional in the"&amp;" insurance world, it is with all my honesty that I was persuaded that to be assured in the second driver on the vehicle of my partner was also valid.
Certainly I recognize my error on the meconnerance of the information system system and I want them to"&amp;" therefore accept me as a customer, but I made a complaint to the payment of the payment that I made to them 280th.
One month to relaunch me to tell me that the file would not hold and of course the money has been collected.
Given the circumstances "&amp;"it seems completely unacceptable to me I have never seen this.")</f>
        <v>Hello
Following a debut of contract creation on August 26 and a payment of 280 euros they indicate today September 20 that in my reports of information a period is not valid because I have been ensured as a second driver.
Not being a professional in the insurance world, it is with all my honesty that I was persuaded that to be assured in the second driver on the vehicle of my partner was also valid.
Certainly I recognize my error on the meconnerance of the information system system and I want them to therefore accept me as a customer, but I made a complaint to the payment of the payment that I made to them 280th.
One month to relaunch me to tell me that the file would not hold and of course the money has been collected.
Given the circumstances it seems completely unacceptable to me I have never seen this.</v>
      </c>
    </row>
    <row r="855" ht="15.75" customHeight="1">
      <c r="A855" s="2">
        <v>2.0</v>
      </c>
      <c r="B855" s="2" t="s">
        <v>2367</v>
      </c>
      <c r="C855" s="2" t="s">
        <v>2368</v>
      </c>
      <c r="D855" s="2" t="s">
        <v>337</v>
      </c>
      <c r="E855" s="2" t="s">
        <v>20</v>
      </c>
      <c r="F855" s="2" t="s">
        <v>15</v>
      </c>
      <c r="G855" s="2" t="s">
        <v>2369</v>
      </c>
      <c r="H855" s="2" t="s">
        <v>332</v>
      </c>
      <c r="I855" s="2" t="str">
        <f>IFERROR(__xludf.DUMMYFUNCTION("GOOGLETRANSLATE(C855,""fr"",""en"")"),"Problem with my 5 -year -old car: engine failure at the outlet of a repair in the mechanic (change of hose). The legal protection service of MAIF simply advised us to involve an expert and a lawyer, at our expense, telling us that the mechanic was in his "&amp;"wrong since he was bound to an obligation of result. The expert we have mandated concluded that a breakdown ""that the mechanic could not detect"", which seems light to say the least. In summary: MAIF's legal protection comes down to some tips on the phon"&amp;"e, advice that we could have found on any consumer assistance site. We end up with a 5 -year -old Ford CMAX which is only worth the price of the breakage, or an 8,000 euros repair quote (at our usual mechanic, not the Ford dealer)")</f>
        <v>Problem with my 5 -year -old car: engine failure at the outlet of a repair in the mechanic (change of hose). The legal protection service of MAIF simply advised us to involve an expert and a lawyer, at our expense, telling us that the mechanic was in his wrong since he was bound to an obligation of result. The expert we have mandated concluded that a breakdown "that the mechanic could not detect", which seems light to say the least. In summary: MAIF's legal protection comes down to some tips on the phone, advice that we could have found on any consumer assistance site. We end up with a 5 -year -old Ford CMAX which is only worth the price of the breakage, or an 8,000 euros repair quote (at our usual mechanic, not the Ford dealer)</v>
      </c>
    </row>
    <row r="856" ht="15.75" customHeight="1">
      <c r="A856" s="2">
        <v>1.0</v>
      </c>
      <c r="B856" s="2" t="s">
        <v>2370</v>
      </c>
      <c r="C856" s="2" t="s">
        <v>2371</v>
      </c>
      <c r="D856" s="2" t="s">
        <v>193</v>
      </c>
      <c r="E856" s="2" t="s">
        <v>20</v>
      </c>
      <c r="F856" s="2" t="s">
        <v>15</v>
      </c>
      <c r="G856" s="2" t="s">
        <v>2372</v>
      </c>
      <c r="H856" s="2" t="s">
        <v>16</v>
      </c>
      <c r="I856" s="2" t="str">
        <f>IFERROR(__xludf.DUMMYFUNCTION("GOOGLETRANSLATE(C856,""fr"",""en"")"),"The Matmut made me wait for a year after the steal of my vehicle (assured all risks +) to ultimately never reimburse my due. They did not want to reimburse me because vehicle buy cash and not in a check. Why did he assume me in this case?")</f>
        <v>The Matmut made me wait for a year after the steal of my vehicle (assured all risks +) to ultimately never reimburse my due. They did not want to reimburse me because vehicle buy cash and not in a check. Why did he assume me in this case?</v>
      </c>
    </row>
    <row r="857" ht="15.75" customHeight="1">
      <c r="A857" s="2">
        <v>4.0</v>
      </c>
      <c r="B857" s="2" t="s">
        <v>2373</v>
      </c>
      <c r="C857" s="2" t="s">
        <v>2374</v>
      </c>
      <c r="D857" s="2" t="s">
        <v>19</v>
      </c>
      <c r="E857" s="2" t="s">
        <v>20</v>
      </c>
      <c r="F857" s="2" t="s">
        <v>15</v>
      </c>
      <c r="G857" s="2" t="s">
        <v>412</v>
      </c>
      <c r="H857" s="2" t="s">
        <v>179</v>
      </c>
      <c r="I857" s="2" t="str">
        <f>IFERROR(__xludf.DUMMYFUNCTION("GOOGLETRANSLATE(C857,""fr"",""en"")"),"Prices suit me easy to insure very good insurance not very expensive for young drivers with cars more than 100hp")</f>
        <v>Prices suit me easy to insure very good insurance not very expensive for young drivers with cars more than 100hp</v>
      </c>
    </row>
    <row r="858" ht="15.75" customHeight="1">
      <c r="A858" s="2">
        <v>5.0</v>
      </c>
      <c r="B858" s="2" t="s">
        <v>2375</v>
      </c>
      <c r="C858" s="2" t="s">
        <v>2376</v>
      </c>
      <c r="D858" s="2" t="s">
        <v>245</v>
      </c>
      <c r="E858" s="2" t="s">
        <v>61</v>
      </c>
      <c r="F858" s="2" t="s">
        <v>15</v>
      </c>
      <c r="G858" s="2" t="s">
        <v>2377</v>
      </c>
      <c r="H858" s="2" t="s">
        <v>860</v>
      </c>
      <c r="I858" s="2" t="str">
        <f>IFERROR(__xludf.DUMMYFUNCTION("GOOGLETRANSLATE(C858,""fr"",""en"")"),"I was received by Caroline, who was very effective, kind and smiling. Problem immediately solved by phone. No waiting before being taken care of.")</f>
        <v>I was received by Caroline, who was very effective, kind and smiling. Problem immediately solved by phone. No waiting before being taken care of.</v>
      </c>
    </row>
    <row r="859" ht="15.75" customHeight="1">
      <c r="A859" s="2">
        <v>1.0</v>
      </c>
      <c r="B859" s="2" t="s">
        <v>2378</v>
      </c>
      <c r="C859" s="2" t="s">
        <v>2379</v>
      </c>
      <c r="D859" s="2" t="s">
        <v>13</v>
      </c>
      <c r="E859" s="2" t="s">
        <v>14</v>
      </c>
      <c r="F859" s="2" t="s">
        <v>15</v>
      </c>
      <c r="G859" s="2" t="s">
        <v>2380</v>
      </c>
      <c r="H859" s="2" t="s">
        <v>168</v>
      </c>
      <c r="I859" s="2" t="str">
        <f>IFERROR(__xludf.DUMMYFUNCTION("GOOGLETRANSLATE(C859,""fr"",""en"")"),"Not yet a customer I try in vain to have them on the phone for personal insurance (vehicle modify) person on the phone, I wait more than 25 minutes without anyone at the other end of the phone.")</f>
        <v>Not yet a customer I try in vain to have them on the phone for personal insurance (vehicle modify) person on the phone, I wait more than 25 minutes without anyone at the other end of the phone.</v>
      </c>
    </row>
    <row r="860" ht="15.75" customHeight="1">
      <c r="A860" s="2">
        <v>3.0</v>
      </c>
      <c r="B860" s="2" t="s">
        <v>2381</v>
      </c>
      <c r="C860" s="2" t="s">
        <v>2382</v>
      </c>
      <c r="D860" s="2" t="s">
        <v>245</v>
      </c>
      <c r="E860" s="2" t="s">
        <v>61</v>
      </c>
      <c r="F860" s="2" t="s">
        <v>15</v>
      </c>
      <c r="G860" s="2" t="s">
        <v>2383</v>
      </c>
      <c r="H860" s="2" t="s">
        <v>701</v>
      </c>
      <c r="I860" s="2" t="str">
        <f>IFERROR(__xludf.DUMMYFUNCTION("GOOGLETRANSLATE(C860,""fr"",""en"")"),"Thank you very much to Caroline of the Customer Service that I had on the phone this day which informed me perfectly")</f>
        <v>Thank you very much to Caroline of the Customer Service that I had on the phone this day which informed me perfectly</v>
      </c>
    </row>
    <row r="861" ht="15.75" customHeight="1">
      <c r="A861" s="2">
        <v>5.0</v>
      </c>
      <c r="B861" s="2" t="s">
        <v>2384</v>
      </c>
      <c r="C861" s="2" t="s">
        <v>2385</v>
      </c>
      <c r="D861" s="2" t="s">
        <v>171</v>
      </c>
      <c r="E861" s="2" t="s">
        <v>14</v>
      </c>
      <c r="F861" s="2" t="s">
        <v>15</v>
      </c>
      <c r="G861" s="2" t="s">
        <v>613</v>
      </c>
      <c r="H861" s="2" t="s">
        <v>92</v>
      </c>
      <c r="I861" s="2" t="str">
        <f>IFERROR(__xludf.DUMMYFUNCTION("GOOGLETRANSLATE(C861,""fr"",""en"")"),"I am satisfied with services and speed, and prices. To recommend, the assistance is fast, and good care. interressive coverage")</f>
        <v>I am satisfied with services and speed, and prices. To recommend, the assistance is fast, and good care. interressive coverage</v>
      </c>
    </row>
    <row r="862" ht="15.75" customHeight="1">
      <c r="A862" s="2">
        <v>2.0</v>
      </c>
      <c r="B862" s="2" t="s">
        <v>2386</v>
      </c>
      <c r="C862" s="2" t="s">
        <v>2387</v>
      </c>
      <c r="D862" s="2" t="s">
        <v>100</v>
      </c>
      <c r="E862" s="2" t="s">
        <v>20</v>
      </c>
      <c r="F862" s="2" t="s">
        <v>15</v>
      </c>
      <c r="G862" s="2" t="s">
        <v>2388</v>
      </c>
      <c r="H862" s="2" t="s">
        <v>1489</v>
      </c>
      <c r="I862" s="2" t="str">
        <f>IFERROR(__xludf.DUMMYFUNCTION("GOOGLETRANSLATE(C862,""fr"",""en"")"),"2 complete files sent, 2 quotes set, never transformed into a contract following an accumulation of incompetence on their part. Always awaiting reimbursement of the second
quote for 4 months. Unreachable without going through a surcharged number.")</f>
        <v>2 complete files sent, 2 quotes set, never transformed into a contract following an accumulation of incompetence on their part. Always awaiting reimbursement of the second
quote for 4 months. Unreachable without going through a surcharged number.</v>
      </c>
    </row>
    <row r="863" ht="15.75" customHeight="1">
      <c r="A863" s="2">
        <v>3.0</v>
      </c>
      <c r="B863" s="2" t="s">
        <v>2389</v>
      </c>
      <c r="C863" s="2" t="s">
        <v>2390</v>
      </c>
      <c r="D863" s="2" t="s">
        <v>19</v>
      </c>
      <c r="E863" s="2" t="s">
        <v>20</v>
      </c>
      <c r="F863" s="2" t="s">
        <v>15</v>
      </c>
      <c r="G863" s="2" t="s">
        <v>31</v>
      </c>
      <c r="H863" s="2" t="s">
        <v>32</v>
      </c>
      <c r="I863" s="2" t="str">
        <f>IFERROR(__xludf.DUMMYFUNCTION("GOOGLETRANSLATE(C863,""fr"",""en"")"),"The service is satisfactory.
However, there is no way to explain the circumstances of a sinister by telephone and cases of vandalism are not all planned.")</f>
        <v>The service is satisfactory.
However, there is no way to explain the circumstances of a sinister by telephone and cases of vandalism are not all planned.</v>
      </c>
    </row>
    <row r="864" ht="15.75" customHeight="1">
      <c r="A864" s="2">
        <v>2.0</v>
      </c>
      <c r="B864" s="2" t="s">
        <v>2391</v>
      </c>
      <c r="C864" s="2" t="s">
        <v>2392</v>
      </c>
      <c r="D864" s="2" t="s">
        <v>19</v>
      </c>
      <c r="E864" s="2" t="s">
        <v>20</v>
      </c>
      <c r="F864" s="2" t="s">
        <v>15</v>
      </c>
      <c r="G864" s="2" t="s">
        <v>2002</v>
      </c>
      <c r="H864" s="2" t="s">
        <v>108</v>
      </c>
      <c r="I864" s="2" t="str">
        <f>IFERROR(__xludf.DUMMYFUNCTION("GOOGLETRANSLATE(C864,""fr"",""en"")"),"After 1 week of battle, 3 different advice which never reminded me.
I manage to confirm and validate my quote alone.
The first advisor I had on the phone never knew what the forces were to switch to a new contract &amp; had to contact me, something he never"&amp;" did!
The second advised, did not know much about informing me &amp; did not even have the design to remind me the next day as agreed.
After applying for a complaint, one of your advice unfortunately called me I was not available.
At the end of a third att"&amp;"empt, I was finally able to have one of your advisers who was more experienced, the latter could create a new quote but much more expensive than the original one!
The latter informed me that with the numbers of concerns that I have met, I am in the possi"&amp;"bility of making a trade gesture request. Especially since good numbers of my automotive contracts as well as housing have been contracting at home for several years now!
In view of the many problems that I have been able to encounter for a simple contra"&amp;"ct creation &amp; especially in view of the many contracts I have had at home, I would like to benefit from a commercial gesture for the damage I have encountered.
Cordially,
Claudel Louis")</f>
        <v>After 1 week of battle, 3 different advice which never reminded me.
I manage to confirm and validate my quote alone.
The first advisor I had on the phone never knew what the forces were to switch to a new contract &amp; had to contact me, something he never did!
The second advised, did not know much about informing me &amp; did not even have the design to remind me the next day as agreed.
After applying for a complaint, one of your advice unfortunately called me I was not available.
At the end of a third attempt, I was finally able to have one of your advisers who was more experienced, the latter could create a new quote but much more expensive than the original one!
The latter informed me that with the numbers of concerns that I have met, I am in the possibility of making a trade gesture request. Especially since good numbers of my automotive contracts as well as housing have been contracting at home for several years now!
In view of the many problems that I have been able to encounter for a simple contract creation &amp; especially in view of the many contracts I have had at home, I would like to benefit from a commercial gesture for the damage I have encountered.
Cordially,
Claudel Louis</v>
      </c>
    </row>
    <row r="865" ht="15.75" customHeight="1">
      <c r="A865" s="2">
        <v>4.0</v>
      </c>
      <c r="B865" s="2" t="s">
        <v>2393</v>
      </c>
      <c r="C865" s="2" t="s">
        <v>2394</v>
      </c>
      <c r="D865" s="2" t="s">
        <v>43</v>
      </c>
      <c r="E865" s="2" t="s">
        <v>20</v>
      </c>
      <c r="F865" s="2" t="s">
        <v>15</v>
      </c>
      <c r="G865" s="2" t="s">
        <v>2395</v>
      </c>
      <c r="H865" s="2" t="s">
        <v>45</v>
      </c>
      <c r="I865" s="2" t="str">
        <f>IFERROR(__xludf.DUMMYFUNCTION("GOOGLETRANSLATE(C865,""fr"",""en"")"),"Friendly team at the Sélestat agency
Always a good welcome
Price adjusted to competition
Office not far from my home
Fast taking into account claims")</f>
        <v>Friendly team at the Sélestat agency
Always a good welcome
Price adjusted to competition
Office not far from my home
Fast taking into account claims</v>
      </c>
    </row>
    <row r="866" ht="15.75" customHeight="1">
      <c r="A866" s="2">
        <v>4.0</v>
      </c>
      <c r="B866" s="2" t="s">
        <v>2396</v>
      </c>
      <c r="C866" s="2" t="s">
        <v>2397</v>
      </c>
      <c r="D866" s="2" t="s">
        <v>19</v>
      </c>
      <c r="E866" s="2" t="s">
        <v>20</v>
      </c>
      <c r="F866" s="2" t="s">
        <v>15</v>
      </c>
      <c r="G866" s="2" t="s">
        <v>2398</v>
      </c>
      <c r="H866" s="2" t="s">
        <v>21</v>
      </c>
      <c r="I866" s="2" t="str">
        <f>IFERROR(__xludf.DUMMYFUNCTION("GOOGLETRANSLATE(C866,""fr"",""en"")"),"I am satisfied with all services, and reactivity, despite certain constraints linked to certain claims (creases).
everything is in order.
thank you
")</f>
        <v>I am satisfied with all services, and reactivity, despite certain constraints linked to certain claims (creases).
everything is in order.
thank you
</v>
      </c>
    </row>
    <row r="867" ht="15.75" customHeight="1">
      <c r="A867" s="2">
        <v>5.0</v>
      </c>
      <c r="B867" s="2" t="s">
        <v>2399</v>
      </c>
      <c r="C867" s="2" t="s">
        <v>2400</v>
      </c>
      <c r="D867" s="2" t="s">
        <v>35</v>
      </c>
      <c r="E867" s="2" t="s">
        <v>20</v>
      </c>
      <c r="F867" s="2" t="s">
        <v>15</v>
      </c>
      <c r="G867" s="2" t="s">
        <v>371</v>
      </c>
      <c r="H867" s="2" t="s">
        <v>108</v>
      </c>
      <c r="I867" s="2" t="str">
        <f>IFERROR(__xludf.DUMMYFUNCTION("GOOGLETRANSLATE(C867,""fr"",""en"")"),"I am satisfied, the price, the ease to contact insurance I hope remains always when I need help me thank you for the insurance service")</f>
        <v>I am satisfied, the price, the ease to contact insurance I hope remains always when I need help me thank you for the insurance service</v>
      </c>
    </row>
    <row r="868" ht="15.75" customHeight="1">
      <c r="A868" s="2">
        <v>2.0</v>
      </c>
      <c r="B868" s="2" t="s">
        <v>2401</v>
      </c>
      <c r="C868" s="2" t="s">
        <v>2402</v>
      </c>
      <c r="D868" s="2" t="s">
        <v>86</v>
      </c>
      <c r="E868" s="2" t="s">
        <v>61</v>
      </c>
      <c r="F868" s="2" t="s">
        <v>15</v>
      </c>
      <c r="G868" s="2" t="s">
        <v>2403</v>
      </c>
      <c r="H868" s="2" t="s">
        <v>26</v>
      </c>
      <c r="I868" s="2" t="str">
        <f>IFERROR(__xludf.DUMMYFUNCTION("GOOGLETRANSLATE(C868,""fr"",""en"")"),"The reimbursement of services is random and their customer service is close to zero! No way to reach them by email and by phone. In short, cheap service but not good either !!!")</f>
        <v>The reimbursement of services is random and their customer service is close to zero! No way to reach them by email and by phone. In short, cheap service but not good either !!!</v>
      </c>
    </row>
    <row r="869" ht="15.75" customHeight="1">
      <c r="A869" s="2">
        <v>2.0</v>
      </c>
      <c r="B869" s="2" t="s">
        <v>2404</v>
      </c>
      <c r="C869" s="2" t="s">
        <v>2405</v>
      </c>
      <c r="D869" s="2" t="s">
        <v>56</v>
      </c>
      <c r="E869" s="2" t="s">
        <v>122</v>
      </c>
      <c r="F869" s="2" t="s">
        <v>15</v>
      </c>
      <c r="G869" s="2" t="s">
        <v>2406</v>
      </c>
      <c r="H869" s="2" t="s">
        <v>534</v>
      </c>
      <c r="I869" s="2" t="str">
        <f>IFERROR(__xludf.DUMMYFUNCTION("GOOGLETRANSLATE(C869,""fr"",""en"")"),"Frankly, it's been a month since I have a detachment of the waters. And I get nothing but nothing. I call: I am told we're going to send a plumber for a quote, (with a company that is 200 km from my home) .5 days after still nothing, then I stopped the es"&amp;"cape otherwise the damage would be huge. Then I proposed advanced myself in the work because with Pacifica: nothing is advancing, I am told you need an expert 3 days after still nothing. In a word I will call my legal assistance to see what I can do again"&amp;"st my insurance.
Pacifica's goal is to wait until you wait and wait !!!!
The only positive point, Sophie de Pacifica understands our distress !!!")</f>
        <v>Frankly, it's been a month since I have a detachment of the waters. And I get nothing but nothing. I call: I am told we're going to send a plumber for a quote, (with a company that is 200 km from my home) .5 days after still nothing, then I stopped the escape otherwise the damage would be huge. Then I proposed advanced myself in the work because with Pacifica: nothing is advancing, I am told you need an expert 3 days after still nothing. In a word I will call my legal assistance to see what I can do against my insurance.
Pacifica's goal is to wait until you wait and wait !!!!
The only positive point, Sophie de Pacifica understands our distress !!!</v>
      </c>
    </row>
    <row r="870" ht="15.75" customHeight="1">
      <c r="A870" s="2">
        <v>1.0</v>
      </c>
      <c r="B870" s="2" t="s">
        <v>2407</v>
      </c>
      <c r="C870" s="2" t="s">
        <v>2408</v>
      </c>
      <c r="D870" s="2" t="s">
        <v>532</v>
      </c>
      <c r="E870" s="2" t="s">
        <v>214</v>
      </c>
      <c r="F870" s="2" t="s">
        <v>15</v>
      </c>
      <c r="G870" s="2" t="s">
        <v>2409</v>
      </c>
      <c r="H870" s="2" t="s">
        <v>251</v>
      </c>
      <c r="I870" s="2" t="str">
        <f>IFERROR(__xludf.DUMMYFUNCTION("GOOGLETRANSLATE(C870,""fr"",""en"")"),"Compulsory holder of credit insurance at the Caisse d Epargne for a mortgage; and being unable to work for two years, I thought I was covered by this insurance. After two years of correspondence with this insurance to answer questions Administrative I fin"&amp;"d myself having to answer on medical questions of the type; Date and nature of treatment followed from October 2009 to May 2016, Nature of conditions having motivated sickness arrets from October 2009 to May 2016 and still lots of questions of this type. "&amp;"All these questions after two years of exchange of mail. Enough I am in a relationship and that my wife works, because if I had to wait for CNP insurance of my home I will already be on the street. It is obvious that I will not perceive Never anything abo"&amp;"ut this insurance; I was warned that to assert your rights to credit insurance in the event of illness it was necessary to have faith. Being in sick leave for two years I had time to Answer the many CNP questionnaires. But given the turn of the questions "&amp;"I leave for two more years of correspondence. I sent a letter to my bank by asking to delete this insurance or change my insurer; Will I have to pay for up to my 74 years an insurance that will never pay or with years of delay?")</f>
        <v>Compulsory holder of credit insurance at the Caisse d Epargne for a mortgage; and being unable to work for two years, I thought I was covered by this insurance. After two years of correspondence with this insurance to answer questions Administrative I find myself having to answer on medical questions of the type; Date and nature of treatment followed from October 2009 to May 2016, Nature of conditions having motivated sickness arrets from October 2009 to May 2016 and still lots of questions of this type. All these questions after two years of exchange of mail. Enough I am in a relationship and that my wife works, because if I had to wait for CNP insurance of my home I will already be on the street. It is obvious that I will not perceive Never anything about this insurance; I was warned that to assert your rights to credit insurance in the event of illness it was necessary to have faith. Being in sick leave for two years I had time to Answer the many CNP questionnaires. But given the turn of the questions I leave for two more years of correspondence. I sent a letter to my bank by asking to delete this insurance or change my insurer; Will I have to pay for up to my 74 years an insurance that will never pay or with years of delay?</v>
      </c>
    </row>
    <row r="871" ht="15.75" customHeight="1">
      <c r="A871" s="2">
        <v>4.0</v>
      </c>
      <c r="B871" s="2" t="s">
        <v>2410</v>
      </c>
      <c r="C871" s="2" t="s">
        <v>2411</v>
      </c>
      <c r="D871" s="2" t="s">
        <v>35</v>
      </c>
      <c r="E871" s="2" t="s">
        <v>20</v>
      </c>
      <c r="F871" s="2" t="s">
        <v>15</v>
      </c>
      <c r="G871" s="2" t="s">
        <v>2412</v>
      </c>
      <c r="H871" s="2" t="s">
        <v>131</v>
      </c>
      <c r="I871" s="2" t="str">
        <f>IFERROR(__xludf.DUMMYFUNCTION("GOOGLETRANSLATE(C871,""fr"",""en"")"),"Serious and attentive telephone service as the previous time. All the guarantees were explained again by the advisor as had been agreed when the quote is completed.")</f>
        <v>Serious and attentive telephone service as the previous time. All the guarantees were explained again by the advisor as had been agreed when the quote is completed.</v>
      </c>
    </row>
    <row r="872" ht="15.75" customHeight="1">
      <c r="A872" s="2">
        <v>2.0</v>
      </c>
      <c r="B872" s="2" t="s">
        <v>2413</v>
      </c>
      <c r="C872" s="2" t="s">
        <v>2414</v>
      </c>
      <c r="D872" s="2" t="s">
        <v>337</v>
      </c>
      <c r="E872" s="2" t="s">
        <v>122</v>
      </c>
      <c r="F872" s="2" t="s">
        <v>15</v>
      </c>
      <c r="G872" s="2" t="s">
        <v>2415</v>
      </c>
      <c r="H872" s="2" t="s">
        <v>332</v>
      </c>
      <c r="I872" s="2" t="str">
        <f>IFERROR(__xludf.DUMMYFUNCTION("GOOGLETRANSLATE(C872,""fr"",""en"")"),"A member of Maif for almost 6 years, I had 2 claims (flight) very well supported (responsiveness, reimbursement)
Last October I suffered a flight with violence when I put my suitcase in my vehicle when I return from the wedding trip. The scooter thieves "&amp;"torn my suitcase violently. The Maif advisor in charge of my file told me that this flight, committed with aggression was not subject to the franchise (14x125 euros). A complaint was filed with the police station following this flight. Today after asking "&amp;"me for all the invoices, the complaint, the dimensions of the suitcase, the plane tickets which justified the content of this suitcase, after having questioned the veracity of this flight which was for Me and my children a real trauma, the maif announces "&amp;"to me that this flight was committed during a luggage unloading, suddenly, the criterion of aggression is not retained ... The MAIF offers me 1500 euros ( 14x125 euros-200 euros). The amount of goods stolen in my suitcase was greater than 10,000 euros (I "&amp;"transported, among other things, precious jewelry and my wedding dress). When I called them to find out the general conditions of the contract, no advisor could inform me. I was told that I was going to receive an email indicating the texts of the statute"&amp;"s concerned. And I was told that the advisers who had informed me until then, had made a ""lack of advice"" on my file. Nothing has been transmitted to me for the moment and the advisers who were very clear about the processing of my file are now in the a"&amp;"voidance of all responses.
Everything brings me to think that beyond a certain number of claims, the MAIF wishes to dismiss you, yet all my contracts (auto, housing) are with them and no self -disaster is to be deplored to date. I await their response to"&amp;" possibly modify my opinion.
")</f>
        <v>A member of Maif for almost 6 years, I had 2 claims (flight) very well supported (responsiveness, reimbursement)
Last October I suffered a flight with violence when I put my suitcase in my vehicle when I return from the wedding trip. The scooter thieves torn my suitcase violently. The Maif advisor in charge of my file told me that this flight, committed with aggression was not subject to the franchise (14x125 euros). A complaint was filed with the police station following this flight. Today after asking me for all the invoices, the complaint, the dimensions of the suitcase, the plane tickets which justified the content of this suitcase, after having questioned the veracity of this flight which was for Me and my children a real trauma, the maif announces to me that this flight was committed during a luggage unloading, suddenly, the criterion of aggression is not retained ... The MAIF offers me 1500 euros ( 14x125 euros-200 euros). The amount of goods stolen in my suitcase was greater than 10,000 euros (I transported, among other things, precious jewelry and my wedding dress). When I called them to find out the general conditions of the contract, no advisor could inform me. I was told that I was going to receive an email indicating the texts of the statutes concerned. And I was told that the advisers who had informed me until then, had made a "lack of advice" on my file. Nothing has been transmitted to me for the moment and the advisers who were very clear about the processing of my file are now in the avoidance of all responses.
Everything brings me to think that beyond a certain number of claims, the MAIF wishes to dismiss you, yet all my contracts (auto, housing) are with them and no self -disaster is to be deplored to date. I await their response to possibly modify my opinion.
</v>
      </c>
    </row>
    <row r="873" ht="15.75" customHeight="1">
      <c r="A873" s="2">
        <v>1.0</v>
      </c>
      <c r="B873" s="2" t="s">
        <v>2416</v>
      </c>
      <c r="C873" s="2" t="s">
        <v>2417</v>
      </c>
      <c r="D873" s="2" t="s">
        <v>24</v>
      </c>
      <c r="E873" s="2" t="s">
        <v>14</v>
      </c>
      <c r="F873" s="2" t="s">
        <v>15</v>
      </c>
      <c r="G873" s="2" t="s">
        <v>746</v>
      </c>
      <c r="H873" s="2" t="s">
        <v>40</v>
      </c>
      <c r="I873" s="2" t="str">
        <f>IFERROR(__xludf.DUMMYFUNCTION("GOOGLETRANSLATE(C873,""fr"",""en"")"),"Insured for more than 20 years at AXA, I note that anxa does not make the checks and does not process the files. Unable to manage a change of address (while I signed a new home contract with my new address) AXA sends you to the litigation system with addi"&amp;"tional costs. You have to see the effort made by AXA to inform you: 0 email, 0 phone call (provided for 22 or 23 years) on the other hand at the same time, a personalized telephone message for borrower insurance, pubs on emails , it's not like you were un"&amp;"known. AXA thinks they have all the rights once their formal notice has been sent when they did not send it to my address !! They explain to you that it's up to you to pay them if they don't do their job !! So I will see what I can do to terminate my AXA "&amp;"contracts as soon as possible.")</f>
        <v>Insured for more than 20 years at AXA, I note that anxa does not make the checks and does not process the files. Unable to manage a change of address (while I signed a new home contract with my new address) AXA sends you to the litigation system with additional costs. You have to see the effort made by AXA to inform you: 0 email, 0 phone call (provided for 22 or 23 years) on the other hand at the same time, a personalized telephone message for borrower insurance, pubs on emails , it's not like you were unknown. AXA thinks they have all the rights once their formal notice has been sent when they did not send it to my address !! They explain to you that it's up to you to pay them if they don't do their job !! So I will see what I can do to terminate my AXA contracts as soon as possible.</v>
      </c>
    </row>
    <row r="874" ht="15.75" customHeight="1">
      <c r="A874" s="2">
        <v>3.0</v>
      </c>
      <c r="B874" s="2" t="s">
        <v>2418</v>
      </c>
      <c r="C874" s="2" t="s">
        <v>2419</v>
      </c>
      <c r="D874" s="2" t="s">
        <v>366</v>
      </c>
      <c r="E874" s="2" t="s">
        <v>135</v>
      </c>
      <c r="F874" s="2" t="s">
        <v>15</v>
      </c>
      <c r="G874" s="2" t="s">
        <v>545</v>
      </c>
      <c r="H874" s="2" t="s">
        <v>271</v>
      </c>
      <c r="I874" s="2" t="str">
        <f>IFERROR(__xludf.DUMMYFUNCTION("GOOGLETRANSLATE(C874,""fr"",""en"")"),"Good evening there are people who use my identity to make credits same thing for my wife I ask for damage s and interest to litter my phone number 0617845555 and 0651590056 now listen to me not played clever with me I have nothing I have a bank account I "&amp;"await a transfer for damage s and interest regarding soft and my wife thank you don't delay")</f>
        <v>Good evening there are people who use my identity to make credits same thing for my wife I ask for damage s and interest to litter my phone number 0617845555 and 0651590056 now listen to me not played clever with me I have nothing I have a bank account I await a transfer for damage s and interest regarding soft and my wife thank you don't delay</v>
      </c>
    </row>
    <row r="875" ht="15.75" customHeight="1">
      <c r="A875" s="2">
        <v>3.0</v>
      </c>
      <c r="B875" s="2" t="s">
        <v>2420</v>
      </c>
      <c r="C875" s="2" t="s">
        <v>2421</v>
      </c>
      <c r="D875" s="2" t="s">
        <v>19</v>
      </c>
      <c r="E875" s="2" t="s">
        <v>20</v>
      </c>
      <c r="F875" s="2" t="s">
        <v>15</v>
      </c>
      <c r="G875" s="2" t="s">
        <v>144</v>
      </c>
      <c r="H875" s="2" t="s">
        <v>92</v>
      </c>
      <c r="I875" s="2" t="str">
        <f>IFERROR(__xludf.DUMMYFUNCTION("GOOGLETRANSLATE(C875,""fr"",""en"")"),"Hello, on your site it is impossible to have a confirmation by email for a quote for the new Citroën C4 III petrol 5 -door BVM 7 CV Shine. I have an error message. By phone it's the same we can't send me a quote. FYI I receive this new car Friday 16/04/21"&amp;" to replace my C4 Cactus. Regards Alain Rinche")</f>
        <v>Hello, on your site it is impossible to have a confirmation by email for a quote for the new Citroën C4 III petrol 5 -door BVM 7 CV Shine. I have an error message. By phone it's the same we can't send me a quote. FYI I receive this new car Friday 16/04/21 to replace my C4 Cactus. Regards Alain Rinche</v>
      </c>
    </row>
    <row r="876" ht="15.75" customHeight="1">
      <c r="A876" s="2">
        <v>5.0</v>
      </c>
      <c r="B876" s="2" t="s">
        <v>474</v>
      </c>
      <c r="C876" s="2" t="s">
        <v>2422</v>
      </c>
      <c r="D876" s="2" t="s">
        <v>285</v>
      </c>
      <c r="E876" s="2" t="s">
        <v>122</v>
      </c>
      <c r="F876" s="2" t="s">
        <v>15</v>
      </c>
      <c r="G876" s="2" t="s">
        <v>477</v>
      </c>
      <c r="H876" s="2" t="s">
        <v>53</v>
      </c>
      <c r="I876" s="2" t="str">
        <f>IFERROR(__xludf.DUMMYFUNCTION("GOOGLETRANSLATE(C876,""fr"",""en"")"),"Very nice home. Services that are attentive to the customer and best respond to you according to your request.
Prices are available and many contracts are available for your needs as well as options to add to your low -prices contract for good services"&amp;".
Very good customer service and well -managed customer area, easily accessible and well organized. We find ourselves very easily and all the documents we need are available for download.")</f>
        <v>Very nice home. Services that are attentive to the customer and best respond to you according to your request.
Prices are available and many contracts are available for your needs as well as options to add to your low -prices contract for good services.
Very good customer service and well -managed customer area, easily accessible and well organized. We find ourselves very easily and all the documents we need are available for download.</v>
      </c>
    </row>
    <row r="877" ht="15.75" customHeight="1">
      <c r="A877" s="2">
        <v>3.0</v>
      </c>
      <c r="B877" s="2" t="s">
        <v>2423</v>
      </c>
      <c r="C877" s="2" t="s">
        <v>2424</v>
      </c>
      <c r="D877" s="2" t="s">
        <v>35</v>
      </c>
      <c r="E877" s="2" t="s">
        <v>20</v>
      </c>
      <c r="F877" s="2" t="s">
        <v>15</v>
      </c>
      <c r="G877" s="2" t="s">
        <v>607</v>
      </c>
      <c r="H877" s="2" t="s">
        <v>164</v>
      </c>
      <c r="I877" s="2" t="str">
        <f>IFERROR(__xludf.DUMMYFUNCTION("GOOGLETRANSLATE(C877,""fr"",""en"")"),"A little expensive but corresponds to my request, you had promised me a 10 % discount on the assurance of a second car which I did with the assurance of my big Cherokee,
But disappointed I did not have a discount I hope that you will catch up")</f>
        <v>A little expensive but corresponds to my request, you had promised me a 10 % discount on the assurance of a second car which I did with the assurance of my big Cherokee,
But disappointed I did not have a discount I hope that you will catch up</v>
      </c>
    </row>
    <row r="878" ht="15.75" customHeight="1">
      <c r="A878" s="2">
        <v>1.0</v>
      </c>
      <c r="B878" s="2" t="s">
        <v>2425</v>
      </c>
      <c r="C878" s="2" t="s">
        <v>2426</v>
      </c>
      <c r="D878" s="2" t="s">
        <v>95</v>
      </c>
      <c r="E878" s="2" t="s">
        <v>122</v>
      </c>
      <c r="F878" s="2" t="s">
        <v>15</v>
      </c>
      <c r="G878" s="2" t="s">
        <v>1020</v>
      </c>
      <c r="H878" s="2" t="s">
        <v>567</v>
      </c>
      <c r="I878" s="2" t="str">
        <f>IFERROR(__xludf.DUMMYFUNCTION("GOOGLETRANSLATE(C878,""fr"",""en"")"),"I have been at Maaf since 2004, for my car and at home. I cannot blame their car insurance, but I had real problems with home insurance. The first complaint I made was for a broken groundwater pipe which flooded the garden, the cave and the kitchen. I kne"&amp;"w that I was not covered for repair, but I was covered for the cost of research but they insisted that I was not covered. The second was a tile destroyed by a bad storm, they told me that the wind did not exceed 100 km, but that was the case. The televisi"&amp;"on screen was broken after an accident, not covered. I am now very sick and retired and I can no longer afford to home, I asked for insurance for civil liability and I cannot. I must now ask for advice because it cannot continue.")</f>
        <v>I have been at Maaf since 2004, for my car and at home. I cannot blame their car insurance, but I had real problems with home insurance. The first complaint I made was for a broken groundwater pipe which flooded the garden, the cave and the kitchen. I knew that I was not covered for repair, but I was covered for the cost of research but they insisted that I was not covered. The second was a tile destroyed by a bad storm, they told me that the wind did not exceed 100 km, but that was the case. The television screen was broken after an accident, not covered. I am now very sick and retired and I can no longer afford to home, I asked for insurance for civil liability and I cannot. I must now ask for advice because it cannot continue.</v>
      </c>
    </row>
    <row r="879" ht="15.75" customHeight="1">
      <c r="A879" s="2">
        <v>3.0</v>
      </c>
      <c r="B879" s="2" t="s">
        <v>2427</v>
      </c>
      <c r="C879" s="2" t="s">
        <v>2428</v>
      </c>
      <c r="D879" s="2" t="s">
        <v>171</v>
      </c>
      <c r="E879" s="2" t="s">
        <v>14</v>
      </c>
      <c r="F879" s="2" t="s">
        <v>15</v>
      </c>
      <c r="G879" s="2" t="s">
        <v>2195</v>
      </c>
      <c r="H879" s="2" t="s">
        <v>92</v>
      </c>
      <c r="I879" s="2" t="str">
        <f>IFERROR(__xludf.DUMMYFUNCTION("GOOGLETRANSLATE(C879,""fr"",""en"")"),"It seems to me a contract with a cheap price. have long -term service and customer service with the follow -up that this company presents to see
")</f>
        <v>It seems to me a contract with a cheap price. have long -term service and customer service with the follow -up that this company presents to see
</v>
      </c>
    </row>
    <row r="880" ht="15.75" customHeight="1">
      <c r="A880" s="2">
        <v>1.0</v>
      </c>
      <c r="B880" s="2" t="s">
        <v>2429</v>
      </c>
      <c r="C880" s="2" t="s">
        <v>2430</v>
      </c>
      <c r="D880" s="2" t="s">
        <v>366</v>
      </c>
      <c r="E880" s="2" t="s">
        <v>122</v>
      </c>
      <c r="F880" s="2" t="s">
        <v>15</v>
      </c>
      <c r="G880" s="2" t="s">
        <v>2431</v>
      </c>
      <c r="H880" s="2" t="s">
        <v>1489</v>
      </c>
      <c r="I880" s="2" t="str">
        <f>IFERROR(__xludf.DUMMYFUNCTION("GOOGLETRANSLATE(C880,""fr"",""en"")"),"Too bad we can't put a zero !! Management and repair of a loss of barely average waters! Big administrative slowness!")</f>
        <v>Too bad we can't put a zero !! Management and repair of a loss of barely average waters! Big administrative slowness!</v>
      </c>
    </row>
    <row r="881" ht="15.75" customHeight="1">
      <c r="A881" s="2">
        <v>5.0</v>
      </c>
      <c r="B881" s="2" t="s">
        <v>2432</v>
      </c>
      <c r="C881" s="2" t="s">
        <v>2433</v>
      </c>
      <c r="D881" s="2" t="s">
        <v>35</v>
      </c>
      <c r="E881" s="2" t="s">
        <v>20</v>
      </c>
      <c r="F881" s="2" t="s">
        <v>15</v>
      </c>
      <c r="G881" s="2" t="s">
        <v>2434</v>
      </c>
      <c r="H881" s="2" t="s">
        <v>714</v>
      </c>
      <c r="I881" s="2" t="str">
        <f>IFERROR(__xludf.DUMMYFUNCTION("GOOGLETRANSLATE(C881,""fr"",""en"")"),"Very competitive at the price level, for very suitable basic guarantees.")</f>
        <v>Very competitive at the price level, for very suitable basic guarantees.</v>
      </c>
    </row>
    <row r="882" ht="15.75" customHeight="1">
      <c r="A882" s="2">
        <v>2.0</v>
      </c>
      <c r="B882" s="2" t="s">
        <v>2435</v>
      </c>
      <c r="C882" s="2" t="s">
        <v>2436</v>
      </c>
      <c r="D882" s="2" t="s">
        <v>86</v>
      </c>
      <c r="E882" s="2" t="s">
        <v>61</v>
      </c>
      <c r="F882" s="2" t="s">
        <v>15</v>
      </c>
      <c r="G882" s="2" t="s">
        <v>1915</v>
      </c>
      <c r="H882" s="2" t="s">
        <v>256</v>
      </c>
      <c r="I882" s="2" t="str">
        <f>IFERROR(__xludf.DUMMYFUNCTION("GOOGLETRANSLATE(C882,""fr"",""en"")"),"If you want a good mutual insurance for your way. I am really furious after Neoliane. My mother 82 years old joined 3 years ago. Until then no problem. No wonder that is never sick. Only the day she needs it. She is hospitalized and must go to a rehabilit"&amp;"ation house. Not having the contract under the eyes we take the initiative to contact Neoliane to find out the conditions of care. We are told no problem and two written confirmations are sent to us. Except that it's been 3 months after paying we are told"&amp;" that ultimately no. 2000 € to pay from our pocket. My mother does not have the means. Having obliged to find a solution via a schedule with the center. You call the mutual and good luck. It's not this service but another. You send messages via their comp"&amp;"laints site they do not receive them. You send emails they do not find them. I come to a point where I take the names of the people I have online and the strangely they find the calls but still not the documents. Suddenly we come back, we have a good old "&amp;"man recommended with acknowledgment of receipt. There no choice they have the documents. Since we go around in circles I put a legal service on the file, they are at I do not know how many letter in recommended - without response. Honestly I prefer to pay"&amp;" more and have a service worthy of the name. Doing that to an 82 -year -old woman is pitiful. If you know a good mutual, I take. Thanks for your advices.")</f>
        <v>If you want a good mutual insurance for your way. I am really furious after Neoliane. My mother 82 years old joined 3 years ago. Until then no problem. No wonder that is never sick. Only the day she needs it. She is hospitalized and must go to a rehabilitation house. Not having the contract under the eyes we take the initiative to contact Neoliane to find out the conditions of care. We are told no problem and two written confirmations are sent to us. Except that it's been 3 months after paying we are told that ultimately no. 2000 € to pay from our pocket. My mother does not have the means. Having obliged to find a solution via a schedule with the center. You call the mutual and good luck. It's not this service but another. You send messages via their complaints site they do not receive them. You send emails they do not find them. I come to a point where I take the names of the people I have online and the strangely they find the calls but still not the documents. Suddenly we come back, we have a good old man recommended with acknowledgment of receipt. There no choice they have the documents. Since we go around in circles I put a legal service on the file, they are at I do not know how many letter in recommended - without response. Honestly I prefer to pay more and have a service worthy of the name. Doing that to an 82 -year -old woman is pitiful. If you know a good mutual, I take. Thanks for your advices.</v>
      </c>
    </row>
    <row r="883" ht="15.75" customHeight="1">
      <c r="A883" s="2">
        <v>5.0</v>
      </c>
      <c r="B883" s="2" t="s">
        <v>2437</v>
      </c>
      <c r="C883" s="2" t="s">
        <v>2438</v>
      </c>
      <c r="D883" s="2" t="s">
        <v>43</v>
      </c>
      <c r="E883" s="2" t="s">
        <v>20</v>
      </c>
      <c r="F883" s="2" t="s">
        <v>15</v>
      </c>
      <c r="G883" s="2" t="s">
        <v>610</v>
      </c>
      <c r="H883" s="2" t="s">
        <v>74</v>
      </c>
      <c r="I883" s="2" t="str">
        <f>IFERROR(__xludf.DUMMYFUNCTION("GOOGLETRANSLATE(C883,""fr"",""en"")"),"Good listening taken into account our expectations.
The concept of price certainly but the management of our needs is important.
No complaints for years")</f>
        <v>Good listening taken into account our expectations.
The concept of price certainly but the management of our needs is important.
No complaints for years</v>
      </c>
    </row>
    <row r="884" ht="15.75" customHeight="1">
      <c r="A884" s="2">
        <v>1.0</v>
      </c>
      <c r="B884" s="2" t="s">
        <v>2439</v>
      </c>
      <c r="C884" s="2" t="s">
        <v>2440</v>
      </c>
      <c r="D884" s="2" t="s">
        <v>100</v>
      </c>
      <c r="E884" s="2" t="s">
        <v>20</v>
      </c>
      <c r="F884" s="2" t="s">
        <v>15</v>
      </c>
      <c r="G884" s="2" t="s">
        <v>2441</v>
      </c>
      <c r="H884" s="2" t="s">
        <v>534</v>
      </c>
      <c r="I884" s="2" t="str">
        <f>IFERROR(__xludf.DUMMYFUNCTION("GOOGLETRANSLATE(C884,""fr"",""en"")"),"A lamentable company. I was insured at home for several years for my car. They refused to make sure when I obtained my motorcycle license, so I terminated my car contract too.")</f>
        <v>A lamentable company. I was insured at home for several years for my car. They refused to make sure when I obtained my motorcycle license, so I terminated my car contract too.</v>
      </c>
    </row>
    <row r="885" ht="15.75" customHeight="1">
      <c r="A885" s="2">
        <v>2.0</v>
      </c>
      <c r="B885" s="2" t="s">
        <v>2442</v>
      </c>
      <c r="C885" s="2" t="s">
        <v>2443</v>
      </c>
      <c r="D885" s="2" t="s">
        <v>19</v>
      </c>
      <c r="E885" s="2" t="s">
        <v>122</v>
      </c>
      <c r="F885" s="2" t="s">
        <v>15</v>
      </c>
      <c r="G885" s="2" t="s">
        <v>1681</v>
      </c>
      <c r="H885" s="2" t="s">
        <v>561</v>
      </c>
      <c r="I885" s="2" t="str">
        <f>IFERROR(__xludf.DUMMYFUNCTION("GOOGLETRANSLATE(C885,""fr"",""en"")"),"Hello, your conditions of termination of the home insurance are complicated by the requirement of documents which depend on the goodwill of the owner. Many phone calls with different agents of your business, long minutes, half an hour of waiting, contradi"&amp;"ctory instructions, ""We will give you a manager"" and Bing, that hangs up. And when finally, we get this document, you inform us that your new procedures no longer require this document and that in your new procedures, the time to be reimbursed has chang"&amp;"ed and that in our case, it is exceeded ????! !!! And this morning, you tell us that you will not reimburse us for the 350 euros paid for a year of insurance of a good that we no longer occupy. Notice to consumers: Flee direct insurance.")</f>
        <v>Hello, your conditions of termination of the home insurance are complicated by the requirement of documents which depend on the goodwill of the owner. Many phone calls with different agents of your business, long minutes, half an hour of waiting, contradictory instructions, "We will give you a manager" and Bing, that hangs up. And when finally, we get this document, you inform us that your new procedures no longer require this document and that in your new procedures, the time to be reimbursed has changed and that in our case, it is exceeded ????! !!! And this morning, you tell us that you will not reimburse us for the 350 euros paid for a year of insurance of a good that we no longer occupy. Notice to consumers: Flee direct insurance.</v>
      </c>
    </row>
    <row r="886" ht="15.75" customHeight="1">
      <c r="A886" s="2">
        <v>1.0</v>
      </c>
      <c r="B886" s="2" t="s">
        <v>2444</v>
      </c>
      <c r="C886" s="2" t="s">
        <v>2445</v>
      </c>
      <c r="D886" s="2" t="s">
        <v>24</v>
      </c>
      <c r="E886" s="2" t="s">
        <v>20</v>
      </c>
      <c r="F886" s="2" t="s">
        <v>15</v>
      </c>
      <c r="G886" s="2" t="s">
        <v>1008</v>
      </c>
      <c r="H886" s="2" t="s">
        <v>164</v>
      </c>
      <c r="I886" s="2" t="str">
        <f>IFERROR(__xludf.DUMMYFUNCTION("GOOGLETRANSLATE(C886,""fr"",""en"")"),"I have been insured for my cars for over 10 years.
The only reason for this fidelity: the impossibility of obtaining an information statement.
The online request remains without effect, except an email confirming taking into account, and when the manage"&amp;"r calls you, or answers you (which sometimes happens), this remains without effect.
I recently decided to ensure an additional vehicle with an online insurer (even if it means obtaining a zero service), but would soon be the subject of a cancellation of "&amp;"the contract for not having provided this information statement.")</f>
        <v>I have been insured for my cars for over 10 years.
The only reason for this fidelity: the impossibility of obtaining an information statement.
The online request remains without effect, except an email confirming taking into account, and when the manager calls you, or answers you (which sometimes happens), this remains without effect.
I recently decided to ensure an additional vehicle with an online insurer (even if it means obtaining a zero service), but would soon be the subject of a cancellation of the contract for not having provided this information statement.</v>
      </c>
    </row>
    <row r="887" ht="15.75" customHeight="1">
      <c r="A887" s="2">
        <v>1.0</v>
      </c>
      <c r="B887" s="2" t="s">
        <v>2446</v>
      </c>
      <c r="C887" s="2" t="s">
        <v>2447</v>
      </c>
      <c r="D887" s="2" t="s">
        <v>200</v>
      </c>
      <c r="E887" s="2" t="s">
        <v>30</v>
      </c>
      <c r="F887" s="2" t="s">
        <v>15</v>
      </c>
      <c r="G887" s="2" t="s">
        <v>2448</v>
      </c>
      <c r="H887" s="2" t="s">
        <v>652</v>
      </c>
      <c r="I887" s="2" t="str">
        <f>IFERROR(__xludf.DUMMYFUNCTION("GOOGLETRANSLATE(C887,""fr"",""en"")"),"In disability category 2 for 3 years now for spondylarthropathy (autoimmune degenerative disease), I find myself today in the same case as many people here: Cardif no longer supports my mortgage. At the beginning of my disability, the management was done "&amp;"without too many problems (although a deficiency period of 130 days instead of 90 is frankly questionable) and after a cardif year called me for a first expertise ... Well, ok, on the limit, it seems normal to me that they control at the start! But this y"&amp;"ear, so two years after the first, I am re-advised for a new expertise !!! There, I find it hard to understand ... I have a disease that can not go better, it can only go from worse to worse and, indeed, my state of health has greatly deteriorated in two "&amp;"years: I have 3 cervical prostheses, a lombo-sacred arthrodesis and a total left hip prosthesis and the right hip prosthesis is planned in the fairly close future, as well as another lumbar arthrodesis, I find it difficult to move around From one room to "&amp;"another at home, I even find it difficult to dress on my own and, needless to say: no more leisure, no more leisure, nothing, more life what ... just pain ! ... and I am told that I am not disabled enough to be taken care of ??? Thanks to Cardif for sendi"&amp;"ng me to see an expert at 1:30 a.m. from home! 3 hours of ordeal, atrocious suffering by car for nothing! It has been almost 35 years that I am a client of the BNP, all my accounts, both private and professional have been at home, all the credits have bee"&amp;"n taken from them and I have always reimbursed them in full in time. BNP-CARDIF treats its customers with contempt, we are only there to bring money! Well no ! I would no longer give this bank a penny! Cardif is an assurance to be fleeing absolutely, the "&amp;"prices may seem interesting, but there is no coverage in the event of illness, even serious. Needless to say, I definitely leave the BNP (as soon as I have made an appointment with my lawyer!)")</f>
        <v>In disability category 2 for 3 years now for spondylarthropathy (autoimmune degenerative disease), I find myself today in the same case as many people here: Cardif no longer supports my mortgage. At the beginning of my disability, the management was done without too many problems (although a deficiency period of 130 days instead of 90 is frankly questionable) and after a cardif year called me for a first expertise ... Well, ok, on the limit, it seems normal to me that they control at the start! But this year, so two years after the first, I am re-advised for a new expertise !!! There, I find it hard to understand ... I have a disease that can not go better, it can only go from worse to worse and, indeed, my state of health has greatly deteriorated in two years: I have 3 cervical prostheses, a lombo-sacred arthrodesis and a total left hip prosthesis and the right hip prosthesis is planned in the fairly close future, as well as another lumbar arthrodesis, I find it difficult to move around From one room to another at home, I even find it difficult to dress on my own and, needless to say: no more leisure, no more leisure, nothing, more life what ... just pain ! ... and I am told that I am not disabled enough to be taken care of ??? Thanks to Cardif for sending me to see an expert at 1:30 a.m. from home! 3 hours of ordeal, atrocious suffering by car for nothing! It has been almost 35 years that I am a client of the BNP, all my accounts, both private and professional have been at home, all the credits have been taken from them and I have always reimbursed them in full in time. BNP-CARDIF treats its customers with contempt, we are only there to bring money! Well no ! I would no longer give this bank a penny! Cardif is an assurance to be fleeing absolutely, the prices may seem interesting, but there is no coverage in the event of illness, even serious. Needless to say, I definitely leave the BNP (as soon as I have made an appointment with my lawyer!)</v>
      </c>
    </row>
    <row r="888" ht="15.75" customHeight="1">
      <c r="A888" s="2">
        <v>3.0</v>
      </c>
      <c r="B888" s="2" t="s">
        <v>2449</v>
      </c>
      <c r="C888" s="2" t="s">
        <v>2450</v>
      </c>
      <c r="D888" s="2" t="s">
        <v>254</v>
      </c>
      <c r="E888" s="2" t="s">
        <v>61</v>
      </c>
      <c r="F888" s="2" t="s">
        <v>15</v>
      </c>
      <c r="G888" s="2" t="s">
        <v>1469</v>
      </c>
      <c r="H888" s="2" t="s">
        <v>45</v>
      </c>
      <c r="I888" s="2" t="str">
        <f>IFERROR(__xludf.DUMMYFUNCTION("GOOGLETRANSLATE(C888,""fr"",""en"")"),"Adhered to MG P since my start of career in the national police in 1961; I res (you fided to this mutual, despite that it is not the cheapest. But I am satisfied.")</f>
        <v>Adhered to MG P since my start of career in the national police in 1961; I res (you fided to this mutual, despite that it is not the cheapest. But I am satisfied.</v>
      </c>
    </row>
    <row r="889" ht="15.75" customHeight="1">
      <c r="A889" s="2">
        <v>1.0</v>
      </c>
      <c r="B889" s="2" t="s">
        <v>2451</v>
      </c>
      <c r="C889" s="2" t="s">
        <v>2452</v>
      </c>
      <c r="D889" s="2" t="s">
        <v>378</v>
      </c>
      <c r="E889" s="2" t="s">
        <v>61</v>
      </c>
      <c r="F889" s="2" t="s">
        <v>15</v>
      </c>
      <c r="G889" s="2" t="s">
        <v>681</v>
      </c>
      <c r="H889" s="2" t="s">
        <v>239</v>
      </c>
      <c r="I889" s="2" t="str">
        <f>IFERROR(__xludf.DUMMYFUNCTION("GOOGLETRANSLATE(C889,""fr"",""en"")"),"I do not at all recommend mutual harmony which was imposed on us by the employer.
4 years, that every month I request them, by emails, of which sometimes I have no return, by phone to find out if my file was processed for the maintenance of disability sa"&amp;"lary. A lot of delay, of which I have banking costs")</f>
        <v>I do not at all recommend mutual harmony which was imposed on us by the employer.
4 years, that every month I request them, by emails, of which sometimes I have no return, by phone to find out if my file was processed for the maintenance of disability salary. A lot of delay, of which I have banking costs</v>
      </c>
    </row>
    <row r="890" ht="15.75" customHeight="1">
      <c r="A890" s="2">
        <v>5.0</v>
      </c>
      <c r="B890" s="2" t="s">
        <v>2453</v>
      </c>
      <c r="C890" s="2" t="s">
        <v>2454</v>
      </c>
      <c r="D890" s="2" t="s">
        <v>19</v>
      </c>
      <c r="E890" s="2" t="s">
        <v>20</v>
      </c>
      <c r="F890" s="2" t="s">
        <v>15</v>
      </c>
      <c r="G890" s="2" t="s">
        <v>1231</v>
      </c>
      <c r="H890" s="2" t="s">
        <v>74</v>
      </c>
      <c r="I890" s="2" t="str">
        <f>IFERROR(__xludf.DUMMYFUNCTION("GOOGLETRANSLATE(C890,""fr"",""en"")"),"Nothing special to mention on my automotive contract. Insurer present and responsive when I needed the troubleshooting and towing services of my vehicle.")</f>
        <v>Nothing special to mention on my automotive contract. Insurer present and responsive when I needed the troubleshooting and towing services of my vehicle.</v>
      </c>
    </row>
    <row r="891" ht="15.75" customHeight="1">
      <c r="A891" s="2">
        <v>2.0</v>
      </c>
      <c r="B891" s="2" t="s">
        <v>2455</v>
      </c>
      <c r="C891" s="2" t="s">
        <v>2456</v>
      </c>
      <c r="D891" s="2" t="s">
        <v>43</v>
      </c>
      <c r="E891" s="2" t="s">
        <v>20</v>
      </c>
      <c r="F891" s="2" t="s">
        <v>15</v>
      </c>
      <c r="G891" s="2" t="s">
        <v>2457</v>
      </c>
      <c r="H891" s="2" t="s">
        <v>164</v>
      </c>
      <c r="I891" s="2" t="str">
        <f>IFERROR(__xludf.DUMMYFUNCTION("GOOGLETRANSLATE(C891,""fr"",""en"")"),"Faced with competition you are relatively poorly placed despite the civil lush ....
I will resume everything and probably see the competition because I really start to be a loser with you (and all your advisers say all the time ""yes we are not good on"&amp;" that or that) ... it is and motorcycle insurance, And the mutual, and home insurance etc ...")</f>
        <v>Faced with competition you are relatively poorly placed despite the civil lush ....
I will resume everything and probably see the competition because I really start to be a loser with you (and all your advisers say all the time "yes we are not good on that or that) ... it is and motorcycle insurance, And the mutual, and home insurance etc ...</v>
      </c>
    </row>
    <row r="892" ht="15.75" customHeight="1">
      <c r="A892" s="2">
        <v>1.0</v>
      </c>
      <c r="B892" s="2" t="s">
        <v>2458</v>
      </c>
      <c r="C892" s="2" t="s">
        <v>2459</v>
      </c>
      <c r="D892" s="2" t="s">
        <v>86</v>
      </c>
      <c r="E892" s="2" t="s">
        <v>61</v>
      </c>
      <c r="F892" s="2" t="s">
        <v>15</v>
      </c>
      <c r="G892" s="2" t="s">
        <v>2460</v>
      </c>
      <c r="H892" s="2" t="s">
        <v>186</v>
      </c>
      <c r="I892" s="2" t="str">
        <f>IFERROR(__xludf.DUMMYFUNCTION("GOOGLETRANSLATE(C892,""fr"",""en"")"),"A disaster. I have been with them since 2013. At the beginning we pay a correct price and as time goes by we see the price increased significantly. But the worst is the service! I wanted to leave this mutual because I had a mandatory mutual company. I sen"&amp;"t messages to their site, recommended with a mandatory mutual certificate, I called ... Nothing to do they refused that I leave. And we can always try to fight with them. I ended up opposing and they have the cheek to continue to claim money and block aut"&amp;"omatic reimbursement with my other mutual. Each call I was told that we were going to do something. Nothing has been done apart from asking me for money! I do not recommend it to anyone. Impossible to get out of it.")</f>
        <v>A disaster. I have been with them since 2013. At the beginning we pay a correct price and as time goes by we see the price increased significantly. But the worst is the service! I wanted to leave this mutual because I had a mandatory mutual company. I sent messages to their site, recommended with a mandatory mutual certificate, I called ... Nothing to do they refused that I leave. And we can always try to fight with them. I ended up opposing and they have the cheek to continue to claim money and block automatic reimbursement with my other mutual. Each call I was told that we were going to do something. Nothing has been done apart from asking me for money! I do not recommend it to anyone. Impossible to get out of it.</v>
      </c>
    </row>
    <row r="893" ht="15.75" customHeight="1">
      <c r="A893" s="2">
        <v>4.0</v>
      </c>
      <c r="B893" s="2" t="s">
        <v>2461</v>
      </c>
      <c r="C893" s="2" t="s">
        <v>2462</v>
      </c>
      <c r="D893" s="2" t="s">
        <v>285</v>
      </c>
      <c r="E893" s="2" t="s">
        <v>122</v>
      </c>
      <c r="F893" s="2" t="s">
        <v>15</v>
      </c>
      <c r="G893" s="2" t="s">
        <v>1336</v>
      </c>
      <c r="H893" s="2" t="s">
        <v>70</v>
      </c>
      <c r="I893" s="2" t="str">
        <f>IFERROR(__xludf.DUMMYFUNCTION("GOOGLETRANSLATE(C893,""fr"",""en"")"),"In short, Insurance Banking. Nothing to see price and quality of service. A problem meeting is I was able to benefit from a lawyer renowned for paying my dispute with my owner. I had not made a difference between the legal advice of the bank and the legal"&amp;" protection of the Macif. I understood that the price difference did not fall into the shareholder pocket. Thank you for this company model")</f>
        <v>In short, Insurance Banking. Nothing to see price and quality of service. A problem meeting is I was able to benefit from a lawyer renowned for paying my dispute with my owner. I had not made a difference between the legal advice of the bank and the legal protection of the Macif. I understood that the price difference did not fall into the shareholder pocket. Thank you for this company model</v>
      </c>
    </row>
    <row r="894" ht="15.75" customHeight="1">
      <c r="A894" s="2">
        <v>1.0</v>
      </c>
      <c r="B894" s="2" t="s">
        <v>2463</v>
      </c>
      <c r="C894" s="2" t="s">
        <v>2464</v>
      </c>
      <c r="D894" s="2" t="s">
        <v>19</v>
      </c>
      <c r="E894" s="2" t="s">
        <v>20</v>
      </c>
      <c r="F894" s="2" t="s">
        <v>15</v>
      </c>
      <c r="G894" s="2" t="s">
        <v>526</v>
      </c>
      <c r="H894" s="2" t="s">
        <v>16</v>
      </c>
      <c r="I894" s="2" t="str">
        <f>IFERROR(__xludf.DUMMYFUNCTION("GOOGLETRANSLATE(C894,""fr"",""en"")"),"To flee
I tried to make sure at home after paying
Impossible to send them anything their software does not even accept a photo !!!
Impossible communication")</f>
        <v>To flee
I tried to make sure at home after paying
Impossible to send them anything their software does not even accept a photo !!!
Impossible communication</v>
      </c>
    </row>
    <row r="895" ht="15.75" customHeight="1">
      <c r="A895" s="2">
        <v>3.0</v>
      </c>
      <c r="B895" s="2" t="s">
        <v>2465</v>
      </c>
      <c r="C895" s="2" t="s">
        <v>2466</v>
      </c>
      <c r="D895" s="2" t="s">
        <v>19</v>
      </c>
      <c r="E895" s="2" t="s">
        <v>20</v>
      </c>
      <c r="F895" s="2" t="s">
        <v>15</v>
      </c>
      <c r="G895" s="2" t="s">
        <v>2467</v>
      </c>
      <c r="H895" s="2" t="s">
        <v>652</v>
      </c>
      <c r="I895" s="2" t="str">
        <f>IFERROR(__xludf.DUMMYFUNCTION("GOOGLETRANSLATE(C895,""fr"",""en"")"),"I have 2 vehicles insured at all risks, one Q3 for 20 months and a mini for 7 months. My daughter was in accompanied and declared driving on contracts. She had her license and was 18 years old recently, so I called to notify this change and declare it as "&amp;"an occasional driver. Response from Direct Insurance: This is not possible because your cars are at high risk! incomprehensible! She was able to drive in accompanied driving without problem, she has acquired control over our vehicles but now she can no lo"&amp;"nger drive! Even with us! How do we do ? We cannot buy him a vehicle since she does not have the utility every day. We will therefore terminate our contracts. For the Q3, this will be possible since the contract has more than 1 year but for the mini, they"&amp;" replied that not because the contract is less than 1 year old. Once again, it is incomprehensible. We do not want to insure your child and you are not allowed to terminate!
I specify that on the contract, it is possible to declare authorized children bu"&amp;"t it is never specified on what type of power of the cars.
I had planned to take more home insurance at Direct Insurance and well I think they will lose everything!")</f>
        <v>I have 2 vehicles insured at all risks, one Q3 for 20 months and a mini for 7 months. My daughter was in accompanied and declared driving on contracts. She had her license and was 18 years old recently, so I called to notify this change and declare it as an occasional driver. Response from Direct Insurance: This is not possible because your cars are at high risk! incomprehensible! She was able to drive in accompanied driving without problem, she has acquired control over our vehicles but now she can no longer drive! Even with us! How do we do ? We cannot buy him a vehicle since she does not have the utility every day. We will therefore terminate our contracts. For the Q3, this will be possible since the contract has more than 1 year but for the mini, they replied that not because the contract is less than 1 year old. Once again, it is incomprehensible. We do not want to insure your child and you are not allowed to terminate!
I specify that on the contract, it is possible to declare authorized children but it is never specified on what type of power of the cars.
I had planned to take more home insurance at Direct Insurance and well I think they will lose everything!</v>
      </c>
    </row>
    <row r="896" ht="15.75" customHeight="1">
      <c r="A896" s="2">
        <v>5.0</v>
      </c>
      <c r="B896" s="2" t="s">
        <v>2468</v>
      </c>
      <c r="C896" s="2" t="s">
        <v>2469</v>
      </c>
      <c r="D896" s="2" t="s">
        <v>19</v>
      </c>
      <c r="E896" s="2" t="s">
        <v>20</v>
      </c>
      <c r="F896" s="2" t="s">
        <v>15</v>
      </c>
      <c r="G896" s="2" t="s">
        <v>31</v>
      </c>
      <c r="H896" s="2" t="s">
        <v>32</v>
      </c>
      <c r="I896" s="2" t="str">
        <f>IFERROR(__xludf.DUMMYFUNCTION("GOOGLETRANSLATE(C896,""fr"",""en"")"),"Yes I am satisfied by the Telephonic Cceuil and by the follow -up of the welcome very good insurance
I would like to know the price of my freelance broken ice and accident")</f>
        <v>Yes I am satisfied by the Telephonic Cceuil and by the follow -up of the welcome very good insurance
I would like to know the price of my freelance broken ice and accident</v>
      </c>
    </row>
    <row r="897" ht="15.75" customHeight="1">
      <c r="A897" s="2">
        <v>2.0</v>
      </c>
      <c r="B897" s="2" t="s">
        <v>2470</v>
      </c>
      <c r="C897" s="2" t="s">
        <v>2471</v>
      </c>
      <c r="D897" s="2" t="s">
        <v>35</v>
      </c>
      <c r="E897" s="2" t="s">
        <v>20</v>
      </c>
      <c r="F897" s="2" t="s">
        <v>15</v>
      </c>
      <c r="G897" s="2" t="s">
        <v>2472</v>
      </c>
      <c r="H897" s="2" t="s">
        <v>332</v>
      </c>
      <c r="I897" s="2" t="str">
        <f>IFERROR(__xludf.DUMMYFUNCTION("GOOGLETRANSLATE(C897,""fr"",""en"")"),"Disappointed ... Following the signing of my contract and the sending of my information statement, I receive an amendment to my contract for non -declaration of an ice break (declared on my information statement) which causes a increase of around 40 euros"&amp;" annually. I agree except that following an editorial error on this endorsement that I reported, it increased by 200 euros !! For a break of ice .. and in addition I have to pay 15 euros in costs a second time, for an error that is not mine. To date I had"&amp;" to receive a new amendment with the deduction of 15 euros and 40 euros from the first endorsement which had obviously not been removed in the second. No responsiveness, from one advisor to another is not the same speech ... I expect a justification for s"&amp;"uch an increase? I was moreover taken before having signed the legal endorsement?")</f>
        <v>Disappointed ... Following the signing of my contract and the sending of my information statement, I receive an amendment to my contract for non -declaration of an ice break (declared on my information statement) which causes a increase of around 40 euros annually. I agree except that following an editorial error on this endorsement that I reported, it increased by 200 euros !! For a break of ice .. and in addition I have to pay 15 euros in costs a second time, for an error that is not mine. To date I had to receive a new amendment with the deduction of 15 euros and 40 euros from the first endorsement which had obviously not been removed in the second. No responsiveness, from one advisor to another is not the same speech ... I expect a justification for such an increase? I was moreover taken before having signed the legal endorsement?</v>
      </c>
    </row>
    <row r="898" ht="15.75" customHeight="1">
      <c r="A898" s="2">
        <v>4.0</v>
      </c>
      <c r="B898" s="2" t="s">
        <v>2473</v>
      </c>
      <c r="C898" s="2" t="s">
        <v>2474</v>
      </c>
      <c r="D898" s="2" t="s">
        <v>35</v>
      </c>
      <c r="E898" s="2" t="s">
        <v>20</v>
      </c>
      <c r="F898" s="2" t="s">
        <v>15</v>
      </c>
      <c r="G898" s="2" t="s">
        <v>2475</v>
      </c>
      <c r="H898" s="2" t="s">
        <v>347</v>
      </c>
      <c r="I898" s="2" t="str">
        <f>IFERROR(__xludf.DUMMYFUNCTION("GOOGLETRANSLATE(C898,""fr"",""en"")"),"Good coverage, respond fairly quickly on the phone, not too much waiting, the subscription does not increase without reason after the second year unlike a lot of low cost competing insurance.")</f>
        <v>Good coverage, respond fairly quickly on the phone, not too much waiting, the subscription does not increase without reason after the second year unlike a lot of low cost competing insurance.</v>
      </c>
    </row>
    <row r="899" ht="15.75" customHeight="1">
      <c r="A899" s="2">
        <v>3.0</v>
      </c>
      <c r="B899" s="2" t="s">
        <v>2476</v>
      </c>
      <c r="C899" s="2" t="s">
        <v>2477</v>
      </c>
      <c r="D899" s="2" t="s">
        <v>19</v>
      </c>
      <c r="E899" s="2" t="s">
        <v>20</v>
      </c>
      <c r="F899" s="2" t="s">
        <v>15</v>
      </c>
      <c r="G899" s="2" t="s">
        <v>902</v>
      </c>
      <c r="H899" s="2" t="s">
        <v>164</v>
      </c>
      <c r="I899" s="2" t="str">
        <f>IFERROR(__xludf.DUMMYFUNCTION("GOOGLETRANSLATE(C899,""fr"",""en"")"),"Simple inscription, and attractive price. Without an opinion for the guarantees, the fact of not having a live interlocutor sorrows a little. But hey, discovered.")</f>
        <v>Simple inscription, and attractive price. Without an opinion for the guarantees, the fact of not having a live interlocutor sorrows a little. But hey, discovered.</v>
      </c>
    </row>
    <row r="900" ht="15.75" customHeight="1">
      <c r="A900" s="2">
        <v>3.0</v>
      </c>
      <c r="B900" s="2" t="s">
        <v>2478</v>
      </c>
      <c r="C900" s="2" t="s">
        <v>2479</v>
      </c>
      <c r="D900" s="2" t="s">
        <v>35</v>
      </c>
      <c r="E900" s="2" t="s">
        <v>20</v>
      </c>
      <c r="F900" s="2" t="s">
        <v>15</v>
      </c>
      <c r="G900" s="2" t="s">
        <v>398</v>
      </c>
      <c r="H900" s="2" t="s">
        <v>164</v>
      </c>
      <c r="I900" s="2" t="str">
        <f>IFERROR(__xludf.DUMMYFUNCTION("GOOGLETRANSLATE(C900,""fr"",""en"")"),"I am satisfied with the price and customer service and more than satisfactory, a team to listening and processing of rapid and satisfactory demand. I recommend.")</f>
        <v>I am satisfied with the price and customer service and more than satisfactory, a team to listening and processing of rapid and satisfactory demand. I recommend.</v>
      </c>
    </row>
    <row r="901" ht="15.75" customHeight="1">
      <c r="A901" s="2">
        <v>4.0</v>
      </c>
      <c r="B901" s="2" t="s">
        <v>2480</v>
      </c>
      <c r="C901" s="2" t="s">
        <v>2481</v>
      </c>
      <c r="D901" s="2" t="s">
        <v>86</v>
      </c>
      <c r="E901" s="2" t="s">
        <v>61</v>
      </c>
      <c r="F901" s="2" t="s">
        <v>15</v>
      </c>
      <c r="G901" s="2" t="s">
        <v>2482</v>
      </c>
      <c r="H901" s="2" t="s">
        <v>131</v>
      </c>
      <c r="I901" s="2" t="str">
        <f>IFERROR(__xludf.DUMMYFUNCTION("GOOGLETRANSLATE(C901,""fr"",""en"")"),"Appeal received by Sokhna very kind, attentive, professional. The problem was resolved effectively and very quickly. I thank her very much. Bravo to you if all your staff looks like him.")</f>
        <v>Appeal received by Sokhna very kind, attentive, professional. The problem was resolved effectively and very quickly. I thank her very much. Bravo to you if all your staff looks like him.</v>
      </c>
    </row>
    <row r="902" ht="15.75" customHeight="1">
      <c r="A902" s="2">
        <v>1.0</v>
      </c>
      <c r="B902" s="2" t="s">
        <v>2483</v>
      </c>
      <c r="C902" s="2" t="s">
        <v>2484</v>
      </c>
      <c r="D902" s="2" t="s">
        <v>19</v>
      </c>
      <c r="E902" s="2" t="s">
        <v>20</v>
      </c>
      <c r="F902" s="2" t="s">
        <v>15</v>
      </c>
      <c r="G902" s="2" t="s">
        <v>740</v>
      </c>
      <c r="H902" s="2" t="s">
        <v>239</v>
      </c>
      <c r="I902" s="2" t="str">
        <f>IFERROR(__xludf.DUMMYFUNCTION("GOOGLETRANSLATE(C902,""fr"",""en"")"),"Following an accident in April 2019, for the payment of the car no problem, but for the bodily 18 months for an expert doctor, the result on injuries no longer being the same and no response to the mail, very very disappointed deaf behavior !!! And in no "&amp;"case am I in question, I let imagine if I had a share of responsibility (not the COVVI) April 2019 to March 2020 they had time but !! Even after having reminded them that they were my insurer and that the opponent had recognized their 100% responsibility")</f>
        <v>Following an accident in April 2019, for the payment of the car no problem, but for the bodily 18 months for an expert doctor, the result on injuries no longer being the same and no response to the mail, very very disappointed deaf behavior !!! And in no case am I in question, I let imagine if I had a share of responsibility (not the COVVI) April 2019 to March 2020 they had time but !! Even after having reminded them that they were my insurer and that the opponent had recognized their 100% responsibility</v>
      </c>
    </row>
    <row r="903" ht="15.75" customHeight="1">
      <c r="A903" s="2">
        <v>4.0</v>
      </c>
      <c r="B903" s="2" t="s">
        <v>2485</v>
      </c>
      <c r="C903" s="2" t="s">
        <v>2486</v>
      </c>
      <c r="D903" s="2" t="s">
        <v>19</v>
      </c>
      <c r="E903" s="2" t="s">
        <v>20</v>
      </c>
      <c r="F903" s="2" t="s">
        <v>15</v>
      </c>
      <c r="G903" s="2" t="s">
        <v>2487</v>
      </c>
      <c r="H903" s="2" t="s">
        <v>256</v>
      </c>
      <c r="I903" s="2" t="str">
        <f>IFERROR(__xludf.DUMMYFUNCTION("GOOGLETRANSLATE(C903,""fr"",""en"")"),"Following a disaster, the start of the file was a bit caoth but once taken care of everything went well. No bad surprises.
And concerning the modification, very simple and fast")</f>
        <v>Following a disaster, the start of the file was a bit caoth but once taken care of everything went well. No bad surprises.
And concerning the modification, very simple and fast</v>
      </c>
    </row>
    <row r="904" ht="15.75" customHeight="1">
      <c r="A904" s="2">
        <v>4.0</v>
      </c>
      <c r="B904" s="2" t="s">
        <v>2488</v>
      </c>
      <c r="C904" s="2" t="s">
        <v>2489</v>
      </c>
      <c r="D904" s="2" t="s">
        <v>19</v>
      </c>
      <c r="E904" s="2" t="s">
        <v>20</v>
      </c>
      <c r="F904" s="2" t="s">
        <v>15</v>
      </c>
      <c r="G904" s="2" t="s">
        <v>806</v>
      </c>
      <c r="H904" s="2" t="s">
        <v>74</v>
      </c>
      <c r="I904" s="2" t="str">
        <f>IFERROR(__xludf.DUMMYFUNCTION("GOOGLETRANSLATE(C904,""fr"",""en"")"),"I'm waiting to see how the claim will be to be managed from 06/16/2021
(Shock in a car park in the Antilles de Jonzac against Renault Laguna with the Golf VI)
")</f>
        <v>I'm waiting to see how the claim will be to be managed from 06/16/2021
(Shock in a car park in the Antilles de Jonzac against Renault Laguna with the Golf VI)
</v>
      </c>
    </row>
    <row r="905" ht="15.75" customHeight="1">
      <c r="A905" s="2">
        <v>5.0</v>
      </c>
      <c r="B905" s="2" t="s">
        <v>2490</v>
      </c>
      <c r="C905" s="2" t="s">
        <v>2491</v>
      </c>
      <c r="D905" s="2" t="s">
        <v>2492</v>
      </c>
      <c r="E905" s="2" t="s">
        <v>14</v>
      </c>
      <c r="F905" s="2" t="s">
        <v>15</v>
      </c>
      <c r="G905" s="2" t="s">
        <v>2493</v>
      </c>
      <c r="H905" s="2" t="s">
        <v>449</v>
      </c>
      <c r="I905" s="2" t="str">
        <f>IFERROR(__xludf.DUMMYFUNCTION("GOOGLETRANSLATE(C905,""fr"",""en"")"),"I recently had an accident, nothing serious, but my motorcycle was unusable. I called Peyrac Insurance and in a few days the story was settled. Management, repairs.
This is the first time that I have a disaster since I have been with them and frankly not"&amp;"hing to complain about, everything went well.")</f>
        <v>I recently had an accident, nothing serious, but my motorcycle was unusable. I called Peyrac Insurance and in a few days the story was settled. Management, repairs.
This is the first time that I have a disaster since I have been with them and frankly nothing to complain about, everything went well.</v>
      </c>
    </row>
    <row r="906" ht="15.75" customHeight="1">
      <c r="A906" s="2">
        <v>5.0</v>
      </c>
      <c r="B906" s="2" t="s">
        <v>2494</v>
      </c>
      <c r="C906" s="2" t="s">
        <v>2495</v>
      </c>
      <c r="D906" s="2" t="s">
        <v>19</v>
      </c>
      <c r="E906" s="2" t="s">
        <v>20</v>
      </c>
      <c r="F906" s="2" t="s">
        <v>15</v>
      </c>
      <c r="G906" s="2" t="s">
        <v>2496</v>
      </c>
      <c r="H906" s="2" t="s">
        <v>164</v>
      </c>
      <c r="I906" s="2" t="str">
        <f>IFERROR(__xludf.DUMMYFUNCTION("GOOGLETRANSLATE(C906,""fr"",""en"")"),"Satisfied with the subscription service so far. It's very fast and simple to get a quote and information. The prices are competitive compared to competition!")</f>
        <v>Satisfied with the subscription service so far. It's very fast and simple to get a quote and information. The prices are competitive compared to competition!</v>
      </c>
    </row>
    <row r="907" ht="15.75" customHeight="1">
      <c r="A907" s="2">
        <v>2.0</v>
      </c>
      <c r="B907" s="2" t="s">
        <v>2497</v>
      </c>
      <c r="C907" s="2" t="s">
        <v>2498</v>
      </c>
      <c r="D907" s="2" t="s">
        <v>86</v>
      </c>
      <c r="E907" s="2" t="s">
        <v>61</v>
      </c>
      <c r="F907" s="2" t="s">
        <v>15</v>
      </c>
      <c r="G907" s="2" t="s">
        <v>2499</v>
      </c>
      <c r="H907" s="2" t="s">
        <v>70</v>
      </c>
      <c r="I907" s="2" t="str">
        <f>IFERROR(__xludf.DUMMYFUNCTION("GOOGLETRANSLATE(C907,""fr"",""en"")"),"Not really customer follow -up. No one responds to the email. When we realize things happen but I do not understand how today a mutual does not respond to the email.")</f>
        <v>Not really customer follow -up. No one responds to the email. When we realize things happen but I do not understand how today a mutual does not respond to the email.</v>
      </c>
    </row>
    <row r="908" ht="15.75" customHeight="1">
      <c r="A908" s="2">
        <v>1.0</v>
      </c>
      <c r="B908" s="2" t="s">
        <v>2500</v>
      </c>
      <c r="C908" s="2" t="s">
        <v>2501</v>
      </c>
      <c r="D908" s="2" t="s">
        <v>35</v>
      </c>
      <c r="E908" s="2" t="s">
        <v>20</v>
      </c>
      <c r="F908" s="2" t="s">
        <v>15</v>
      </c>
      <c r="G908" s="2" t="s">
        <v>1843</v>
      </c>
      <c r="H908" s="2" t="s">
        <v>32</v>
      </c>
      <c r="I908" s="2" t="str">
        <f>IFERROR(__xludf.DUMMYFUNCTION("GOOGLETRANSLATE(C908,""fr"",""en"")"),"Ridiculous. Unnecessary insurance as possible. Car found out of barely boring of its bumper, grille, fires no longer remains. And no refund despite all -risk insurance. Now I go to a real insurer, not a low cost that does not cover me")</f>
        <v>Ridiculous. Unnecessary insurance as possible. Car found out of barely boring of its bumper, grille, fires no longer remains. And no refund despite all -risk insurance. Now I go to a real insurer, not a low cost that does not cover me</v>
      </c>
    </row>
    <row r="909" ht="15.75" customHeight="1">
      <c r="A909" s="2">
        <v>1.0</v>
      </c>
      <c r="B909" s="2" t="s">
        <v>2502</v>
      </c>
      <c r="C909" s="2" t="s">
        <v>2503</v>
      </c>
      <c r="D909" s="2" t="s">
        <v>19</v>
      </c>
      <c r="E909" s="2" t="s">
        <v>20</v>
      </c>
      <c r="F909" s="2" t="s">
        <v>15</v>
      </c>
      <c r="G909" s="2" t="s">
        <v>1968</v>
      </c>
      <c r="H909" s="2" t="s">
        <v>92</v>
      </c>
      <c r="I909" s="2" t="str">
        <f>IFERROR(__xludf.DUMMYFUNCTION("GOOGLETRANSLATE(C909,""fr"",""en"")"),"Very disappointed, I saw my contributions constantly increase following non -responsible accidents ... until today or you resilute me because of too much non -responsible accident numbers ...
I had only one Responsible for Leparking of my workplace for t"&amp;"he duration of my contracts at home.
I underwent these accidents and I am retorting myself today in Insurance!
")</f>
        <v>Very disappointed, I saw my contributions constantly increase following non -responsible accidents ... until today or you resilute me because of too much non -responsible accident numbers ...
I had only one Responsible for Leparking of my workplace for the duration of my contracts at home.
I underwent these accidents and I am retorting myself today in Insurance!
</v>
      </c>
    </row>
    <row r="910" ht="15.75" customHeight="1">
      <c r="A910" s="2">
        <v>1.0</v>
      </c>
      <c r="B910" s="2" t="s">
        <v>2504</v>
      </c>
      <c r="C910" s="2" t="s">
        <v>2505</v>
      </c>
      <c r="D910" s="2" t="s">
        <v>225</v>
      </c>
      <c r="E910" s="2" t="s">
        <v>61</v>
      </c>
      <c r="F910" s="2" t="s">
        <v>15</v>
      </c>
      <c r="G910" s="2" t="s">
        <v>554</v>
      </c>
      <c r="H910" s="2" t="s">
        <v>179</v>
      </c>
      <c r="I910" s="2" t="str">
        <f>IFERROR(__xludf.DUMMYFUNCTION("GOOGLETRANSLATE(C910,""fr"",""en"")"),"I contribute 1800 € per year. A consultation this year with the ophthalmologist billed € 69, reimbursed € 17.50 .. GRRRR .... Question sent to their site (""Where to find an ophthalmologist who agrees to receive us for 23 €?) Followed by a Wave (copy-past"&amp;"e practice) ... it's sad!")</f>
        <v>I contribute 1800 € per year. A consultation this year with the ophthalmologist billed € 69, reimbursed € 17.50 .. GRRRR .... Question sent to their site ("Where to find an ophthalmologist who agrees to receive us for 23 €?) Followed by a Wave (copy-paste practice) ... it's sad!</v>
      </c>
    </row>
    <row r="911" ht="15.75" customHeight="1">
      <c r="A911" s="2">
        <v>1.0</v>
      </c>
      <c r="B911" s="2" t="s">
        <v>2506</v>
      </c>
      <c r="C911" s="2" t="s">
        <v>2507</v>
      </c>
      <c r="D911" s="2" t="s">
        <v>378</v>
      </c>
      <c r="E911" s="2" t="s">
        <v>61</v>
      </c>
      <c r="F911" s="2" t="s">
        <v>15</v>
      </c>
      <c r="G911" s="2" t="s">
        <v>2508</v>
      </c>
      <c r="H911" s="2" t="s">
        <v>186</v>
      </c>
      <c r="I911" s="2" t="str">
        <f>IFERROR(__xludf.DUMMYFUNCTION("GOOGLETRANSLATE(C911,""fr"",""en"")"),"They have toy with the death of my father, pck we had
ACS death compensation but he refuses to pay PCK Le Cors was transported to the bled, when we had signed the contract which said that we entitled to 2 thousand euros if there is a death")</f>
        <v>They have toy with the death of my father, pck we had
ACS death compensation but he refuses to pay PCK Le Cors was transported to the bled, when we had signed the contract which said that we entitled to 2 thousand euros if there is a death</v>
      </c>
    </row>
    <row r="912" ht="15.75" customHeight="1">
      <c r="A912" s="2">
        <v>4.0</v>
      </c>
      <c r="B912" s="2" t="s">
        <v>2509</v>
      </c>
      <c r="C912" s="2" t="s">
        <v>2510</v>
      </c>
      <c r="D912" s="2" t="s">
        <v>35</v>
      </c>
      <c r="E912" s="2" t="s">
        <v>20</v>
      </c>
      <c r="F912" s="2" t="s">
        <v>15</v>
      </c>
      <c r="G912" s="2" t="s">
        <v>2511</v>
      </c>
      <c r="H912" s="2" t="s">
        <v>45</v>
      </c>
      <c r="I912" s="2" t="str">
        <f>IFERROR(__xludf.DUMMYFUNCTION("GOOGLETRANSLATE(C912,""fr"",""en"")"),"The price is reasonable access to the rapid provisional green card and simplified procedures for finalization .... it changes the competition !!!")</f>
        <v>The price is reasonable access to the rapid provisional green card and simplified procedures for finalization .... it changes the competition !!!</v>
      </c>
    </row>
    <row r="913" ht="15.75" customHeight="1">
      <c r="A913" s="2">
        <v>1.0</v>
      </c>
      <c r="B913" s="2" t="s">
        <v>2512</v>
      </c>
      <c r="C913" s="2" t="s">
        <v>2513</v>
      </c>
      <c r="D913" s="2" t="s">
        <v>494</v>
      </c>
      <c r="E913" s="2" t="s">
        <v>122</v>
      </c>
      <c r="F913" s="2" t="s">
        <v>15</v>
      </c>
      <c r="G913" s="2" t="s">
        <v>2514</v>
      </c>
      <c r="H913" s="2" t="s">
        <v>347</v>
      </c>
      <c r="I913" s="2" t="str">
        <f>IFERROR(__xludf.DUMMYFUNCTION("GOOGLETRANSLATE(C913,""fr"",""en"")"),"Customer since 2012 optimal option therefore the highest
Vandalism on my very strong wooden barrier I am told that it does not work that it is necessary the name of the person it passed the night how you wanted you not it is not taken care of when in the"&amp;" contract it is well written vandalism and no small stars")</f>
        <v>Customer since 2012 optimal option therefore the highest
Vandalism on my very strong wooden barrier I am told that it does not work that it is necessary the name of the person it passed the night how you wanted you not it is not taken care of when in the contract it is well written vandalism and no small stars</v>
      </c>
    </row>
    <row r="914" ht="15.75" customHeight="1">
      <c r="A914" s="2">
        <v>5.0</v>
      </c>
      <c r="B914" s="2" t="s">
        <v>2515</v>
      </c>
      <c r="C914" s="2" t="s">
        <v>2516</v>
      </c>
      <c r="D914" s="2" t="s">
        <v>19</v>
      </c>
      <c r="E914" s="2" t="s">
        <v>20</v>
      </c>
      <c r="F914" s="2" t="s">
        <v>15</v>
      </c>
      <c r="G914" s="2" t="s">
        <v>941</v>
      </c>
      <c r="H914" s="2" t="s">
        <v>92</v>
      </c>
      <c r="I914" s="2" t="str">
        <f>IFERROR(__xludf.DUMMYFUNCTION("GOOGLETRANSLATE(C914,""fr"",""en"")"),"I am satisfied with prices and service.
I am satisfied with prices and service.
I am satisfied with prices and service.
I am satisfied with prices and service.")</f>
        <v>I am satisfied with prices and service.
I am satisfied with prices and service.
I am satisfied with prices and service.
I am satisfied with prices and service.</v>
      </c>
    </row>
    <row r="915" ht="15.75" customHeight="1">
      <c r="A915" s="2">
        <v>1.0</v>
      </c>
      <c r="B915" s="2" t="s">
        <v>2517</v>
      </c>
      <c r="C915" s="2" t="s">
        <v>2518</v>
      </c>
      <c r="D915" s="2" t="s">
        <v>43</v>
      </c>
      <c r="E915" s="2" t="s">
        <v>20</v>
      </c>
      <c r="F915" s="2" t="s">
        <v>15</v>
      </c>
      <c r="G915" s="2" t="s">
        <v>2519</v>
      </c>
      <c r="H915" s="2" t="s">
        <v>208</v>
      </c>
      <c r="I915" s="2" t="str">
        <f>IFERROR(__xludf.DUMMYFUNCTION("GOOGLETRANSLATE(C915,""fr"",""en"")"),"Very disappointed on their part")</f>
        <v>Very disappointed on their part</v>
      </c>
    </row>
    <row r="916" ht="15.75" customHeight="1">
      <c r="A916" s="2">
        <v>3.0</v>
      </c>
      <c r="B916" s="2" t="s">
        <v>2520</v>
      </c>
      <c r="C916" s="2" t="s">
        <v>2521</v>
      </c>
      <c r="D916" s="2" t="s">
        <v>35</v>
      </c>
      <c r="E916" s="2" t="s">
        <v>20</v>
      </c>
      <c r="F916" s="2" t="s">
        <v>15</v>
      </c>
      <c r="G916" s="2" t="s">
        <v>2522</v>
      </c>
      <c r="H916" s="2" t="s">
        <v>287</v>
      </c>
      <c r="I916" s="2" t="str">
        <f>IFERROR(__xludf.DUMMYFUNCTION("GOOGLETRANSLATE(C916,""fr"",""en"")"),"Soon 4 years of license. A short period of 4 months without disaster with your direct competitor and termination suite sale used car. Since May 30, I have been signed with you at all risk for a new vehicle with 4 years of guarantees and maintenance. I cho"&amp;"se my father and my brother as a secondary conductor (more than 3 years of license).
The 1st contract has just been modified by email by the olive tree following an ice cream in 2016 (confirmed by my father following the attempted intrusion on his person"&amp;"al vehicle set without worry by his insurance and without franchise). The requested supplement is 120 € 99. I asked for an explanation and the description of this amount by email today ... I am given 7 to 10 days the answer! Our 1st contacts does not star"&amp;"t really well. My contract if you wish to answer me is 1080174768
Thank you.")</f>
        <v>Soon 4 years of license. A short period of 4 months without disaster with your direct competitor and termination suite sale used car. Since May 30, I have been signed with you at all risk for a new vehicle with 4 years of guarantees and maintenance. I chose my father and my brother as a secondary conductor (more than 3 years of license).
The 1st contract has just been modified by email by the olive tree following an ice cream in 2016 (confirmed by my father following the attempted intrusion on his personal vehicle set without worry by his insurance and without franchise). The requested supplement is 120 € 99. I asked for an explanation and the description of this amount by email today ... I am given 7 to 10 days the answer! Our 1st contacts does not start really well. My contract if you wish to answer me is 1080174768
Thank you.</v>
      </c>
    </row>
    <row r="917" ht="15.75" customHeight="1">
      <c r="A917" s="2">
        <v>2.0</v>
      </c>
      <c r="B917" s="2" t="s">
        <v>2523</v>
      </c>
      <c r="C917" s="2" t="s">
        <v>2524</v>
      </c>
      <c r="D917" s="2" t="s">
        <v>35</v>
      </c>
      <c r="E917" s="2" t="s">
        <v>20</v>
      </c>
      <c r="F917" s="2" t="s">
        <v>15</v>
      </c>
      <c r="G917" s="2" t="s">
        <v>2525</v>
      </c>
      <c r="H917" s="2" t="s">
        <v>860</v>
      </c>
      <c r="I917" s="2" t="str">
        <f>IFERROR(__xludf.DUMMYFUNCTION("GOOGLETRANSLATE(C917,""fr"",""en"")"),"Following a declared claim where a person struck my parked vehicle and fled, I am lucky to have a witness. The olive tree continues to give me contradictory information. Indeed, for 10 days, no news. I constantly restart. Today I am asked for the third -p"&amp;"arty vehicle declaration! aberrant. I cannot tow my vehicle in an approved garage because the olive tree refuses to communicate their contact details to me. I go around in circles and the olive tree has still not contacted the Buzza of the car that fled, "&amp;"knowing that the witness raised the license plate!
No progress, no approach and I am stuck without vehicle")</f>
        <v>Following a declared claim where a person struck my parked vehicle and fled, I am lucky to have a witness. The olive tree continues to give me contradictory information. Indeed, for 10 days, no news. I constantly restart. Today I am asked for the third -party vehicle declaration! aberrant. I cannot tow my vehicle in an approved garage because the olive tree refuses to communicate their contact details to me. I go around in circles and the olive tree has still not contacted the Buzza of the car that fled, knowing that the witness raised the license plate!
No progress, no approach and I am stuck without vehicle</v>
      </c>
    </row>
    <row r="918" ht="15.75" customHeight="1">
      <c r="A918" s="2">
        <v>1.0</v>
      </c>
      <c r="B918" s="2" t="s">
        <v>2526</v>
      </c>
      <c r="C918" s="2" t="s">
        <v>2527</v>
      </c>
      <c r="D918" s="2" t="s">
        <v>56</v>
      </c>
      <c r="E918" s="2" t="s">
        <v>122</v>
      </c>
      <c r="F918" s="2" t="s">
        <v>15</v>
      </c>
      <c r="G918" s="2" t="s">
        <v>484</v>
      </c>
      <c r="H918" s="2" t="s">
        <v>256</v>
      </c>
      <c r="I918" s="2" t="str">
        <f>IFERROR(__xludf.DUMMYFUNCTION("GOOGLETRANSLATE(C918,""fr"",""en"")"),"After a year that our house was destroyed by thugs and in which they massacred Pacifica sheep has not yet managed to advance the file while the gendarmerie found the culprits as soon as they told us to take A lawyer chosen by them and made us do a mail in"&amp;" a civilian part, we did the necessary but after they changed lawyers ????? while young people burnt down a premises, a month later, with the MAFF The reimbursement was made Pacifica laughs at its customers.")</f>
        <v>After a year that our house was destroyed by thugs and in which they massacred Pacifica sheep has not yet managed to advance the file while the gendarmerie found the culprits as soon as they told us to take A lawyer chosen by them and made us do a mail in a civilian part, we did the necessary but after they changed lawyers ????? while young people burnt down a premises, a month later, with the MAFF The reimbursement was made Pacifica laughs at its customers.</v>
      </c>
    </row>
    <row r="919" ht="15.75" customHeight="1">
      <c r="A919" s="2">
        <v>1.0</v>
      </c>
      <c r="B919" s="2" t="s">
        <v>2528</v>
      </c>
      <c r="C919" s="2" t="s">
        <v>2529</v>
      </c>
      <c r="D919" s="2" t="s">
        <v>35</v>
      </c>
      <c r="E919" s="2" t="s">
        <v>20</v>
      </c>
      <c r="F919" s="2" t="s">
        <v>15</v>
      </c>
      <c r="G919" s="2" t="s">
        <v>2530</v>
      </c>
      <c r="H919" s="2" t="s">
        <v>50</v>
      </c>
      <c r="I919" s="2" t="str">
        <f>IFERROR(__xludf.DUMMYFUNCTION("GOOGLETRANSLATE(C919,""fr"",""en"")"),"I am levied when my insurance is terminated and that I had a confirmation of termination! On a telephone set, no one is screwed up to explain to me the why of the how and especially where the sum of 69 euros comes out when so far I have been levied 42 eur"&amp;"os. This sum does not even appear on the schedule
It's very obscure. They already billed me an amendment which they took 09 months to confirm, a sum which was to be smoothed at the level of monthly payments but that priori their staff forgot to confirm. "&amp;"Almost 40 euros more (which I had to pay to terminate). You have to follow the files, otherwise you can end up with very unpleasant surprises. I ignore the increase of almost 300 euros while 0 claim. It is clearly abuse ...")</f>
        <v>I am levied when my insurance is terminated and that I had a confirmation of termination! On a telephone set, no one is screwed up to explain to me the why of the how and especially where the sum of 69 euros comes out when so far I have been levied 42 euros. This sum does not even appear on the schedule
It's very obscure. They already billed me an amendment which they took 09 months to confirm, a sum which was to be smoothed at the level of monthly payments but that priori their staff forgot to confirm. Almost 40 euros more (which I had to pay to terminate). You have to follow the files, otherwise you can end up with very unpleasant surprises. I ignore the increase of almost 300 euros while 0 claim. It is clearly abuse ...</v>
      </c>
    </row>
    <row r="920" ht="15.75" customHeight="1">
      <c r="A920" s="2">
        <v>4.0</v>
      </c>
      <c r="B920" s="2" t="s">
        <v>2531</v>
      </c>
      <c r="C920" s="2" t="s">
        <v>2532</v>
      </c>
      <c r="D920" s="2" t="s">
        <v>19</v>
      </c>
      <c r="E920" s="2" t="s">
        <v>20</v>
      </c>
      <c r="F920" s="2" t="s">
        <v>15</v>
      </c>
      <c r="G920" s="2" t="s">
        <v>866</v>
      </c>
      <c r="H920" s="2" t="s">
        <v>164</v>
      </c>
      <c r="I920" s="2" t="str">
        <f>IFERROR(__xludf.DUMMYFUNCTION("GOOGLETRANSLATE(C920,""fr"",""en"")"),"For the moment, with a young license I am satisfied. Thank you for taking the time to answer our various questions. Aside that a person had to remind us ...")</f>
        <v>For the moment, with a young license I am satisfied. Thank you for taking the time to answer our various questions. Aside that a person had to remind us ...</v>
      </c>
    </row>
    <row r="921" ht="15.75" customHeight="1">
      <c r="A921" s="2">
        <v>2.0</v>
      </c>
      <c r="B921" s="2" t="s">
        <v>2533</v>
      </c>
      <c r="C921" s="2" t="s">
        <v>2534</v>
      </c>
      <c r="D921" s="2" t="s">
        <v>24</v>
      </c>
      <c r="E921" s="2" t="s">
        <v>122</v>
      </c>
      <c r="F921" s="2" t="s">
        <v>15</v>
      </c>
      <c r="G921" s="2" t="s">
        <v>73</v>
      </c>
      <c r="H921" s="2" t="s">
        <v>74</v>
      </c>
      <c r="I921" s="2" t="str">
        <f>IFERROR(__xludf.DUMMYFUNCTION("GOOGLETRANSLATE(C921,""fr"",""en"")"),"I declare a water damage in March and still no reimbursement of damaged equipment, and still no repair of the walls that we take the water. We are on June 10, assurance that I absolutely do not advise.")</f>
        <v>I declare a water damage in March and still no reimbursement of damaged equipment, and still no repair of the walls that we take the water. We are on June 10, assurance that I absolutely do not advise.</v>
      </c>
    </row>
    <row r="922" ht="15.75" customHeight="1">
      <c r="A922" s="2">
        <v>2.0</v>
      </c>
      <c r="B922" s="2" t="s">
        <v>2535</v>
      </c>
      <c r="C922" s="2" t="s">
        <v>2536</v>
      </c>
      <c r="D922" s="2" t="s">
        <v>111</v>
      </c>
      <c r="E922" s="2" t="s">
        <v>61</v>
      </c>
      <c r="F922" s="2" t="s">
        <v>15</v>
      </c>
      <c r="G922" s="2" t="s">
        <v>2537</v>
      </c>
      <c r="H922" s="2" t="s">
        <v>347</v>
      </c>
      <c r="I922" s="2" t="str">
        <f>IFERROR(__xludf.DUMMYFUNCTION("GOOGLETRANSLATE(C922,""fr"",""en"")"),"Since 27.11.2019 I have been waiting for reimbursement of dental expenses and since I have been walking from services to services")</f>
        <v>Since 27.11.2019 I have been waiting for reimbursement of dental expenses and since I have been walking from services to services</v>
      </c>
    </row>
    <row r="923" ht="15.75" customHeight="1">
      <c r="A923" s="2">
        <v>5.0</v>
      </c>
      <c r="B923" s="2" t="s">
        <v>2538</v>
      </c>
      <c r="C923" s="2" t="s">
        <v>2539</v>
      </c>
      <c r="D923" s="2" t="s">
        <v>245</v>
      </c>
      <c r="E923" s="2" t="s">
        <v>61</v>
      </c>
      <c r="F923" s="2" t="s">
        <v>15</v>
      </c>
      <c r="G923" s="2" t="s">
        <v>371</v>
      </c>
      <c r="H923" s="2" t="s">
        <v>108</v>
      </c>
      <c r="I923" s="2" t="str">
        <f>IFERROR(__xludf.DUMMYFUNCTION("GOOGLETRANSLATE(C923,""fr"",""en"")"),"Mariama, took care of me very well. I have been at Santiane for 6 years, nothing to say. it's perfect. The service is completely transparent, it is Axa Health who assures me and I am very satisfied.")</f>
        <v>Mariama, took care of me very well. I have been at Santiane for 6 years, nothing to say. it's perfect. The service is completely transparent, it is Axa Health who assures me and I am very satisfied.</v>
      </c>
    </row>
    <row r="924" ht="15.75" customHeight="1">
      <c r="A924" s="2">
        <v>4.0</v>
      </c>
      <c r="B924" s="2" t="s">
        <v>2540</v>
      </c>
      <c r="C924" s="2" t="s">
        <v>2541</v>
      </c>
      <c r="D924" s="2" t="s">
        <v>48</v>
      </c>
      <c r="E924" s="2" t="s">
        <v>14</v>
      </c>
      <c r="F924" s="2" t="s">
        <v>15</v>
      </c>
      <c r="G924" s="2" t="s">
        <v>1662</v>
      </c>
      <c r="H924" s="2" t="s">
        <v>45</v>
      </c>
      <c r="I924" s="2" t="str">
        <f>IFERROR(__xludf.DUMMYFUNCTION("GOOGLETRANSLATE(C924,""fr"",""en"")"),"I am satisfied with AMV insurance because it is easy and quick to change vehicles. The prices are clear and rather well placed in relation to competition.")</f>
        <v>I am satisfied with AMV insurance because it is easy and quick to change vehicles. The prices are clear and rather well placed in relation to competition.</v>
      </c>
    </row>
    <row r="925" ht="15.75" customHeight="1">
      <c r="A925" s="2">
        <v>1.0</v>
      </c>
      <c r="B925" s="2" t="s">
        <v>2542</v>
      </c>
      <c r="C925" s="2" t="s">
        <v>2543</v>
      </c>
      <c r="D925" s="2" t="s">
        <v>494</v>
      </c>
      <c r="E925" s="2" t="s">
        <v>122</v>
      </c>
      <c r="F925" s="2" t="s">
        <v>15</v>
      </c>
      <c r="G925" s="2" t="s">
        <v>1051</v>
      </c>
      <c r="H925" s="2" t="s">
        <v>168</v>
      </c>
      <c r="I925" s="2" t="str">
        <f>IFERROR(__xludf.DUMMYFUNCTION("GOOGLETRANSLATE(C925,""fr"",""en"")"),"To flee. DEGATS EAU ECT19, of the COLO INFILTRATIONS Water Infiltration and I am in the last floor. Impossible to join by Tel!")</f>
        <v>To flee. DEGATS EAU ECT19, of the COLO INFILTRATIONS Water Infiltration and I am in the last floor. Impossible to join by Tel!</v>
      </c>
    </row>
    <row r="926" ht="15.75" customHeight="1">
      <c r="A926" s="2">
        <v>5.0</v>
      </c>
      <c r="B926" s="2" t="s">
        <v>2544</v>
      </c>
      <c r="C926" s="2" t="s">
        <v>2545</v>
      </c>
      <c r="D926" s="2" t="s">
        <v>19</v>
      </c>
      <c r="E926" s="2" t="s">
        <v>20</v>
      </c>
      <c r="F926" s="2" t="s">
        <v>15</v>
      </c>
      <c r="G926" s="2" t="s">
        <v>1057</v>
      </c>
      <c r="H926" s="2" t="s">
        <v>108</v>
      </c>
      <c r="I926" s="2" t="str">
        <f>IFERROR(__xludf.DUMMYFUNCTION("GOOGLETRANSLATE(C926,""fr"",""en"")"),"I am satisfied by the simplicity of subscription and by the prices offered.
I hope the services will be more effective than my former insurer.")</f>
        <v>I am satisfied by the simplicity of subscription and by the prices offered.
I hope the services will be more effective than my former insurer.</v>
      </c>
    </row>
    <row r="927" ht="15.75" customHeight="1">
      <c r="A927" s="2">
        <v>3.0</v>
      </c>
      <c r="B927" s="2" t="s">
        <v>2546</v>
      </c>
      <c r="C927" s="2" t="s">
        <v>2547</v>
      </c>
      <c r="D927" s="2" t="s">
        <v>19</v>
      </c>
      <c r="E927" s="2" t="s">
        <v>20</v>
      </c>
      <c r="F927" s="2" t="s">
        <v>15</v>
      </c>
      <c r="G927" s="2" t="s">
        <v>831</v>
      </c>
      <c r="H927" s="2" t="s">
        <v>108</v>
      </c>
      <c r="I927" s="2" t="str">
        <f>IFERROR(__xludf.DUMMYFUNCTION("GOOGLETRANSLATE(C927,""fr"",""en"")"),"Fast and practical even if the prices are not that low on your advertisements, I found more interesting offers with competing companies")</f>
        <v>Fast and practical even if the prices are not that low on your advertisements, I found more interesting offers with competing companies</v>
      </c>
    </row>
    <row r="928" ht="15.75" customHeight="1">
      <c r="A928" s="2">
        <v>4.0</v>
      </c>
      <c r="B928" s="2" t="s">
        <v>2548</v>
      </c>
      <c r="C928" s="2" t="s">
        <v>2549</v>
      </c>
      <c r="D928" s="2" t="s">
        <v>35</v>
      </c>
      <c r="E928" s="2" t="s">
        <v>20</v>
      </c>
      <c r="F928" s="2" t="s">
        <v>15</v>
      </c>
      <c r="G928" s="2" t="s">
        <v>690</v>
      </c>
      <c r="H928" s="2" t="s">
        <v>116</v>
      </c>
      <c r="I928" s="2" t="str">
        <f>IFERROR(__xludf.DUMMYFUNCTION("GOOGLETRANSLATE(C928,""fr"",""en"")"),"Superb very attractive price assurance with kind understanding and quick staff. Thank you for your services. I am not the type to praise especially for insurance, but I want to do it with a difficult file like mine, they were accommodating and removed a t"&amp;"horn from the foot. Continue like that well done.")</f>
        <v>Superb very attractive price assurance with kind understanding and quick staff. Thank you for your services. I am not the type to praise especially for insurance, but I want to do it with a difficult file like mine, they were accommodating and removed a thorn from the foot. Continue like that well done.</v>
      </c>
    </row>
    <row r="929" ht="15.75" customHeight="1">
      <c r="A929" s="2">
        <v>1.0</v>
      </c>
      <c r="B929" s="2" t="s">
        <v>2550</v>
      </c>
      <c r="C929" s="2" t="s">
        <v>2551</v>
      </c>
      <c r="D929" s="2" t="s">
        <v>494</v>
      </c>
      <c r="E929" s="2" t="s">
        <v>122</v>
      </c>
      <c r="F929" s="2" t="s">
        <v>15</v>
      </c>
      <c r="G929" s="2" t="s">
        <v>2552</v>
      </c>
      <c r="H929" s="2" t="s">
        <v>251</v>
      </c>
      <c r="I929" s="2" t="str">
        <f>IFERROR(__xludf.DUMMYFUNCTION("GOOGLETRANSLATE(C929,""fr"",""en"")"),"You can call them for a question on a event that can be fatal. And well, you can wait! Your money, yes, they collect.The. In return, you will have a service ... one day ... Patient please. What a nice surprise we had after the dramatic accident that could"&amp;" have been fatal to us! I will continue this penal insurer.")</f>
        <v>You can call them for a question on a event that can be fatal. And well, you can wait! Your money, yes, they collect.The. In return, you will have a service ... one day ... Patient please. What a nice surprise we had after the dramatic accident that could have been fatal to us! I will continue this penal insurer.</v>
      </c>
    </row>
    <row r="930" ht="15.75" customHeight="1">
      <c r="A930" s="2">
        <v>1.0</v>
      </c>
      <c r="B930" s="2" t="s">
        <v>2553</v>
      </c>
      <c r="C930" s="2" t="s">
        <v>2554</v>
      </c>
      <c r="D930" s="2" t="s">
        <v>285</v>
      </c>
      <c r="E930" s="2" t="s">
        <v>20</v>
      </c>
      <c r="F930" s="2" t="s">
        <v>15</v>
      </c>
      <c r="G930" s="2" t="s">
        <v>2555</v>
      </c>
      <c r="H930" s="2" t="s">
        <v>491</v>
      </c>
      <c r="I930" s="2" t="str">
        <f>IFERROR(__xludf.DUMMYFUNCTION("GOOGLETRANSLATE(C930,""fr"",""en"")"),"My 88 -year -old mother has been paying for 8 years an erroneous contribution, the bonus ""evaporated"" despite all the documents proving it;*, the Macif is reluctant to repay.
For 2 months, I have been fighting for a refund
without success.
You need P"&amp;"erseverance, but given the comments, all negatives, I am not the only one.
If you have Macif elderly people, monitor contracts. The abuse of weakness is manifest. complaint to the prosecutor")</f>
        <v>My 88 -year -old mother has been paying for 8 years an erroneous contribution, the bonus "evaporated" despite all the documents proving it;*, the Macif is reluctant to repay.
For 2 months, I have been fighting for a refund
without success.
You need Perseverance, but given the comments, all negatives, I am not the only one.
If you have Macif elderly people, monitor contracts. The abuse of weakness is manifest. complaint to the prosecutor</v>
      </c>
    </row>
    <row r="931" ht="15.75" customHeight="1">
      <c r="A931" s="2">
        <v>1.0</v>
      </c>
      <c r="B931" s="2" t="s">
        <v>2556</v>
      </c>
      <c r="C931" s="2" t="s">
        <v>2557</v>
      </c>
      <c r="D931" s="2" t="s">
        <v>100</v>
      </c>
      <c r="E931" s="2" t="s">
        <v>20</v>
      </c>
      <c r="F931" s="2" t="s">
        <v>15</v>
      </c>
      <c r="G931" s="2" t="s">
        <v>1641</v>
      </c>
      <c r="H931" s="2" t="s">
        <v>40</v>
      </c>
      <c r="I931" s="2" t="str">
        <f>IFERROR(__xludf.DUMMYFUNCTION("GOOGLETRANSLATE(C931,""fr"",""en"")"),"1 star because you have to put one! The worst insurance I want to pay my receipt they refuse me and resilses me normal! And I still have to pay them the totalite is crazy !!!")</f>
        <v>1 star because you have to put one! The worst insurance I want to pay my receipt they refuse me and resilses me normal! And I still have to pay them the totalite is crazy !!!</v>
      </c>
    </row>
    <row r="932" ht="15.75" customHeight="1">
      <c r="A932" s="2">
        <v>4.0</v>
      </c>
      <c r="B932" s="2" t="s">
        <v>2558</v>
      </c>
      <c r="C932" s="2" t="s">
        <v>2559</v>
      </c>
      <c r="D932" s="2" t="s">
        <v>95</v>
      </c>
      <c r="E932" s="2" t="s">
        <v>20</v>
      </c>
      <c r="F932" s="2" t="s">
        <v>15</v>
      </c>
      <c r="G932" s="2" t="s">
        <v>2560</v>
      </c>
      <c r="H932" s="2" t="s">
        <v>79</v>
      </c>
      <c r="I932" s="2" t="str">
        <f>IFERROR(__xludf.DUMMYFUNCTION("GOOGLETRANSLATE(C932,""fr"",""en"")"),"Perfect listening advisor finds a solution to problems and everything is explained as it is necessary to them and their team /mmmeeeeerrrrccciiiiiiiiiiiiiiiiiiiiiiiiiiiiiiiiiiiiiiii")</f>
        <v>Perfect listening advisor finds a solution to problems and everything is explained as it is necessary to them and their team /mmmeeeeerrrrccciiiiiiiiiiiiiiiiiiiiiiiiiiiiiiiiiiiiiiii</v>
      </c>
    </row>
    <row r="933" ht="15.75" customHeight="1">
      <c r="A933" s="2">
        <v>1.0</v>
      </c>
      <c r="B933" s="2" t="s">
        <v>2561</v>
      </c>
      <c r="C933" s="2" t="s">
        <v>2562</v>
      </c>
      <c r="D933" s="2" t="s">
        <v>337</v>
      </c>
      <c r="E933" s="2" t="s">
        <v>122</v>
      </c>
      <c r="F933" s="2" t="s">
        <v>15</v>
      </c>
      <c r="G933" s="2" t="s">
        <v>2350</v>
      </c>
      <c r="H933" s="2" t="s">
        <v>239</v>
      </c>
      <c r="I933" s="2" t="str">
        <f>IFERROR(__xludf.DUMMYFUNCTION("GOOGLETRANSLATE(C933,""fr"",""en"")"),"Hello,
I have just terminated all of my contracts to the Maifice (Housing, Auto).
In 40 years I declared 2 claims (roof and lately crack on my fence wall following the sagging of the road).
None of the claims have been taken care of while the roadway i"&amp;"s obviously sagged.
Experts arrang with each other to clear their respective principal and leave the charge to the insured.
Lamentable!
So I went to see elsewhere and to my surprise I will pay 2 to 3 times cheaper than to the Maïf.
However I do not ha"&amp;"ve an illusion for future claims with my new insurances, but even if it means having insurance that is useless, as much as possible")</f>
        <v>Hello,
I have just terminated all of my contracts to the Maifice (Housing, Auto).
In 40 years I declared 2 claims (roof and lately crack on my fence wall following the sagging of the road).
None of the claims have been taken care of while the roadway is obviously sagged.
Experts arrang with each other to clear their respective principal and leave the charge to the insured.
Lamentable!
So I went to see elsewhere and to my surprise I will pay 2 to 3 times cheaper than to the Maïf.
However I do not have an illusion for future claims with my new insurances, but even if it means having insurance that is useless, as much as possible</v>
      </c>
    </row>
    <row r="934" ht="15.75" customHeight="1">
      <c r="A934" s="2">
        <v>5.0</v>
      </c>
      <c r="B934" s="2" t="s">
        <v>2563</v>
      </c>
      <c r="C934" s="2" t="s">
        <v>2564</v>
      </c>
      <c r="D934" s="2" t="s">
        <v>19</v>
      </c>
      <c r="E934" s="2" t="s">
        <v>20</v>
      </c>
      <c r="F934" s="2" t="s">
        <v>15</v>
      </c>
      <c r="G934" s="2" t="s">
        <v>570</v>
      </c>
      <c r="H934" s="2" t="s">
        <v>32</v>
      </c>
      <c r="I934" s="2" t="str">
        <f>IFERROR(__xludf.DUMMYFUNCTION("GOOGLETRANSLATE(C934,""fr"",""en"")"),"I am satisfied with the service...
prices suit me ....
Simple and practical ... I'm going to talk to me about it and I hope to have a more competitive offer ...")</f>
        <v>I am satisfied with the service...
prices suit me ....
Simple and practical ... I'm going to talk to me about it and I hope to have a more competitive offer ...</v>
      </c>
    </row>
    <row r="935" ht="15.75" customHeight="1">
      <c r="A935" s="2">
        <v>5.0</v>
      </c>
      <c r="B935" s="2" t="s">
        <v>2565</v>
      </c>
      <c r="C935" s="2" t="s">
        <v>2566</v>
      </c>
      <c r="D935" s="2" t="s">
        <v>35</v>
      </c>
      <c r="E935" s="2" t="s">
        <v>20</v>
      </c>
      <c r="F935" s="2" t="s">
        <v>15</v>
      </c>
      <c r="G935" s="2" t="s">
        <v>219</v>
      </c>
      <c r="H935" s="2" t="s">
        <v>74</v>
      </c>
      <c r="I935" s="2" t="str">
        <f>IFERROR(__xludf.DUMMYFUNCTION("GOOGLETRANSLATE(C935,""fr"",""en"")"),"Very satisfied with the services offered, and the simplicity of the platform. The price is noted all competition and the formulas are adapted to each need.")</f>
        <v>Very satisfied with the services offered, and the simplicity of the platform. The price is noted all competition and the formulas are adapted to each need.</v>
      </c>
    </row>
    <row r="936" ht="15.75" customHeight="1">
      <c r="A936" s="2">
        <v>3.0</v>
      </c>
      <c r="B936" s="2" t="s">
        <v>2567</v>
      </c>
      <c r="C936" s="2" t="s">
        <v>2568</v>
      </c>
      <c r="D936" s="2" t="s">
        <v>824</v>
      </c>
      <c r="E936" s="2" t="s">
        <v>135</v>
      </c>
      <c r="F936" s="2" t="s">
        <v>15</v>
      </c>
      <c r="G936" s="2" t="s">
        <v>1817</v>
      </c>
      <c r="H936" s="2" t="s">
        <v>127</v>
      </c>
      <c r="I936" s="2" t="str">
        <f>IFERROR(__xludf.DUMMYFUNCTION("GOOGLETRANSLATE(C936,""fr"",""en"")"),"Hello to Internet users, my problem since 2004 I prescribed life insurance at SOGECAP for my ex-wife until 2010. SOGECAP suspended me following a subscription. Since that day, I have not been registered. I wanted to know is there a person who can help me "&amp;"to recover my subscription of 6 years? . Thank you in advance to all")</f>
        <v>Hello to Internet users, my problem since 2004 I prescribed life insurance at SOGECAP for my ex-wife until 2010. SOGECAP suspended me following a subscription. Since that day, I have not been registered. I wanted to know is there a person who can help me to recover my subscription of 6 years? . Thank you in advance to all</v>
      </c>
    </row>
    <row r="937" ht="15.75" customHeight="1">
      <c r="A937" s="2">
        <v>2.0</v>
      </c>
      <c r="B937" s="2" t="s">
        <v>2569</v>
      </c>
      <c r="C937" s="2" t="s">
        <v>2570</v>
      </c>
      <c r="D937" s="2" t="s">
        <v>19</v>
      </c>
      <c r="E937" s="2" t="s">
        <v>20</v>
      </c>
      <c r="F937" s="2" t="s">
        <v>15</v>
      </c>
      <c r="G937" s="2" t="s">
        <v>182</v>
      </c>
      <c r="H937" s="2" t="s">
        <v>45</v>
      </c>
      <c r="I937" s="2" t="str">
        <f>IFERROR(__xludf.DUMMYFUNCTION("GOOGLETRANSLATE(C937,""fr"",""en"")"),"Today, I called for customer service to find out why I was taken on July 05, since on 04/23 I had taken the contract with Direct Insurance and I paid 3 months early at the time of The creation of the contract with a start on May 1. So I had paid May, June"&amp;" and July.
The interlocutor was very very unpleasant, rude, I asked several questions since it was not clear his explanation and at the time that I took the contract, no one explained to me why I will be taken on July If I had paid in advance.
The gentl"&amp;"eman even dared to ask me if we agreed that a year was 12 months old. At this unpleasant point, obviously I tell him that it is not necessary to be like that unpleasant if I have questions it is normal that he answers me, he rests the question if I unders"&amp;"tand that we An has 12 months and once in addition I repeat that you should not be unpleasant and finally it hung up on me.
Bravo for your service sir, if you do not know how to serve the customer, surely he should not have a job in customer service.
")</f>
        <v>Today, I called for customer service to find out why I was taken on July 05, since on 04/23 I had taken the contract with Direct Insurance and I paid 3 months early at the time of The creation of the contract with a start on May 1. So I had paid May, June and July.
The interlocutor was very very unpleasant, rude, I asked several questions since it was not clear his explanation and at the time that I took the contract, no one explained to me why I will be taken on July If I had paid in advance.
The gentleman even dared to ask me if we agreed that a year was 12 months old. At this unpleasant point, obviously I tell him that it is not necessary to be like that unpleasant if I have questions it is normal that he answers me, he rests the question if I understand that we An has 12 months and once in addition I repeat that you should not be unpleasant and finally it hung up on me.
Bravo for your service sir, if you do not know how to serve the customer, surely he should not have a job in customer service.
</v>
      </c>
    </row>
    <row r="938" ht="15.75" customHeight="1">
      <c r="A938" s="2">
        <v>2.0</v>
      </c>
      <c r="B938" s="2" t="s">
        <v>2571</v>
      </c>
      <c r="C938" s="2" t="s">
        <v>2572</v>
      </c>
      <c r="D938" s="2" t="s">
        <v>337</v>
      </c>
      <c r="E938" s="2" t="s">
        <v>20</v>
      </c>
      <c r="F938" s="2" t="s">
        <v>15</v>
      </c>
      <c r="G938" s="2" t="s">
        <v>1542</v>
      </c>
      <c r="H938" s="2" t="s">
        <v>501</v>
      </c>
      <c r="I938" s="2" t="str">
        <f>IFERROR(__xludf.DUMMYFUNCTION("GOOGLETRANSLATE(C938,""fr"",""en"")"),"Your automatic email ""A personalized answer will be given to you as soon as possible."" We sent a 1st complaint email on 2/12/2017 after an interview with your activist (based on Mulhouse). The so-called ""personalized"" answer since (3mail in the meanti"&amp;"me) has never reached us. Astonishment!
The main subject focused on pricing which from one year to the next increased by 35 % according to a well -known principle ""the double penalty"" Malus increased to 0.62 % and unjustified tariff increase. All this "&amp;"in the most total opacity. Leading to a new adherent base 0.62 pays a lower contributions. However, my wife has contributed since 1972
 I try to go through this channel to obtain a minimum of explanations which would allow us to say that the maif does no"&amp;"t despise its members
Only the future will say it")</f>
        <v>Your automatic email "A personalized answer will be given to you as soon as possible." We sent a 1st complaint email on 2/12/2017 after an interview with your activist (based on Mulhouse). The so-called "personalized" answer since (3mail in the meantime) has never reached us. Astonishment!
The main subject focused on pricing which from one year to the next increased by 35 % according to a well -known principle "the double penalty" Malus increased to 0.62 % and unjustified tariff increase. All this in the most total opacity. Leading to a new adherent base 0.62 pays a lower contributions. However, my wife has contributed since 1972
 I try to go through this channel to obtain a minimum of explanations which would allow us to say that the maif does not despise its members
Only the future will say it</v>
      </c>
    </row>
    <row r="939" ht="15.75" customHeight="1">
      <c r="A939" s="2">
        <v>4.0</v>
      </c>
      <c r="B939" s="2" t="s">
        <v>2573</v>
      </c>
      <c r="C939" s="2" t="s">
        <v>2574</v>
      </c>
      <c r="D939" s="2" t="s">
        <v>844</v>
      </c>
      <c r="E939" s="2" t="s">
        <v>20</v>
      </c>
      <c r="F939" s="2" t="s">
        <v>15</v>
      </c>
      <c r="G939" s="2" t="s">
        <v>1011</v>
      </c>
      <c r="H939" s="2" t="s">
        <v>216</v>
      </c>
      <c r="I939" s="2" t="str">
        <f>IFERROR(__xludf.DUMMYFUNCTION("GOOGLETRANSLATE(C939,""fr"",""en"")"),"Better to be a good driver, without stories.
The best rates with good guarantees.
")</f>
        <v>Better to be a good driver, without stories.
The best rates with good guarantees.
</v>
      </c>
    </row>
    <row r="940" ht="15.75" customHeight="1">
      <c r="A940" s="2">
        <v>2.0</v>
      </c>
      <c r="B940" s="2" t="s">
        <v>2575</v>
      </c>
      <c r="C940" s="2" t="s">
        <v>2576</v>
      </c>
      <c r="D940" s="2" t="s">
        <v>285</v>
      </c>
      <c r="E940" s="2" t="s">
        <v>20</v>
      </c>
      <c r="F940" s="2" t="s">
        <v>15</v>
      </c>
      <c r="G940" s="2" t="s">
        <v>2577</v>
      </c>
      <c r="H940" s="2" t="s">
        <v>501</v>
      </c>
      <c r="I940" s="2" t="str">
        <f>IFERROR(__xludf.DUMMYFUNCTION("GOOGLETRANSLATE(C940,""fr"",""en"")"),"Macif sinister management: shameful !!!
I have been at La Macif for over 30 years, assured any risk, and for the 1st time I had a disaster automobile not responsible on 18/11/2017.
As their approved garage could not repair my car (€ 3,300 in repair) bef"&amp;"ore mid-January, I put it at my usual mechanic, who made it very early December: today, 5 weeks later, I am still not reimbursed!
I have called ten times, I have come across a different advisor, but who always holds the same speech and that leads you by "&amp;"boat: ""We make you the transfer today or tomorrow ...""
And it's been a month long! I asked for an information statement and I will leave this company, which says mutual !!!
")</f>
        <v>Macif sinister management: shameful !!!
I have been at La Macif for over 30 years, assured any risk, and for the 1st time I had a disaster automobile not responsible on 18/11/2017.
As their approved garage could not repair my car (€ 3,300 in repair) before mid-January, I put it at my usual mechanic, who made it very early December: today, 5 weeks later, I am still not reimbursed!
I have called ten times, I have come across a different advisor, but who always holds the same speech and that leads you by boat: "We make you the transfer today or tomorrow ..."
And it's been a month long! I asked for an information statement and I will leave this company, which says mutual !!!
</v>
      </c>
    </row>
    <row r="941" ht="15.75" customHeight="1">
      <c r="A941" s="2">
        <v>1.0</v>
      </c>
      <c r="B941" s="2" t="s">
        <v>2578</v>
      </c>
      <c r="C941" s="2" t="s">
        <v>2579</v>
      </c>
      <c r="D941" s="2" t="s">
        <v>350</v>
      </c>
      <c r="E941" s="2" t="s">
        <v>61</v>
      </c>
      <c r="F941" s="2" t="s">
        <v>15</v>
      </c>
      <c r="G941" s="2" t="s">
        <v>2580</v>
      </c>
      <c r="H941" s="2" t="s">
        <v>491</v>
      </c>
      <c r="I941" s="2" t="str">
        <f>IFERROR(__xludf.DUMMYFUNCTION("GOOGLETRANSLATE(C941,""fr"",""en"")"),"Watch out for termination!")</f>
        <v>Watch out for termination!</v>
      </c>
    </row>
    <row r="942" ht="15.75" customHeight="1">
      <c r="A942" s="2">
        <v>1.0</v>
      </c>
      <c r="B942" s="2" t="s">
        <v>2581</v>
      </c>
      <c r="C942" s="2" t="s">
        <v>2582</v>
      </c>
      <c r="D942" s="2" t="s">
        <v>205</v>
      </c>
      <c r="E942" s="2" t="s">
        <v>206</v>
      </c>
      <c r="F942" s="2" t="s">
        <v>15</v>
      </c>
      <c r="G942" s="2" t="s">
        <v>2031</v>
      </c>
      <c r="H942" s="2" t="s">
        <v>256</v>
      </c>
      <c r="I942" s="2" t="str">
        <f>IFERROR(__xludf.DUMMYFUNCTION("GOOGLETRANSLATE(C942,""fr"",""en"")"),"Do not subscribe !!! I am in the same situation as most other comments, everything is fine until the costs are too high. Indeed, my cat had to have a polyp in the ear. The invoice was raised by they did not refund. They invent things, they are above what "&amp;"the veterinarians can say, and even after having proven that they had twists (scanner and MRI in support) they do not make the refund. Therefore I want to terminate and surprise !! I have to wait 1 year because the contract left for a year. I strongly adv"&amp;"ise against but unfortunately people who subscribe often do not unfortunately not read the comments.")</f>
        <v>Do not subscribe !!! I am in the same situation as most other comments, everything is fine until the costs are too high. Indeed, my cat had to have a polyp in the ear. The invoice was raised by they did not refund. They invent things, they are above what the veterinarians can say, and even after having proven that they had twists (scanner and MRI in support) they do not make the refund. Therefore I want to terminate and surprise !! I have to wait 1 year because the contract left for a year. I strongly advise against but unfortunately people who subscribe often do not unfortunately not read the comments.</v>
      </c>
    </row>
    <row r="943" ht="15.75" customHeight="1">
      <c r="A943" s="2">
        <v>4.0</v>
      </c>
      <c r="B943" s="2" t="s">
        <v>2583</v>
      </c>
      <c r="C943" s="2" t="s">
        <v>2584</v>
      </c>
      <c r="D943" s="2" t="s">
        <v>86</v>
      </c>
      <c r="E943" s="2" t="s">
        <v>61</v>
      </c>
      <c r="F943" s="2" t="s">
        <v>15</v>
      </c>
      <c r="G943" s="2" t="s">
        <v>2585</v>
      </c>
      <c r="H943" s="2" t="s">
        <v>239</v>
      </c>
      <c r="I943" s="2" t="str">
        <f>IFERROR(__xludf.DUMMYFUNCTION("GOOGLETRANSLATE(C943,""fr"",""en"")"),"I am very well received by customer service and my regular advisor,
Fast in terms of reimbursement, and the paid third party card is always accepted by different health professionals, things that was not the case with my old mutual.
I just hope you will"&amp;" keep this quality of service in the future.")</f>
        <v>I am very well received by customer service and my regular advisor,
Fast in terms of reimbursement, and the paid third party card is always accepted by different health professionals, things that was not the case with my old mutual.
I just hope you will keep this quality of service in the future.</v>
      </c>
    </row>
    <row r="944" ht="15.75" customHeight="1">
      <c r="A944" s="2">
        <v>3.0</v>
      </c>
      <c r="B944" s="2" t="s">
        <v>2586</v>
      </c>
      <c r="C944" s="2" t="s">
        <v>2587</v>
      </c>
      <c r="D944" s="2" t="s">
        <v>86</v>
      </c>
      <c r="E944" s="2" t="s">
        <v>61</v>
      </c>
      <c r="F944" s="2" t="s">
        <v>15</v>
      </c>
      <c r="G944" s="2" t="s">
        <v>2588</v>
      </c>
      <c r="H944" s="2" t="s">
        <v>287</v>
      </c>
      <c r="I944" s="2" t="str">
        <f>IFERROR(__xludf.DUMMYFUNCTION("GOOGLETRANSLATE(C944,""fr"",""en"")"),"Neoliane in fact their process is very doubtful because they refuse to send us the general and specific conditions before the electronic signature of the contract by pretending that we have a withdrawal period of 14 days, so they do not send the condition"&amp;"s before the 14 days, And as they claim to have had our agreement electronically, they say that we cannot terminate.")</f>
        <v>Neoliane in fact their process is very doubtful because they refuse to send us the general and specific conditions before the electronic signature of the contract by pretending that we have a withdrawal period of 14 days, so they do not send the conditions before the 14 days, And as they claim to have had our agreement electronically, they say that we cannot terminate.</v>
      </c>
    </row>
    <row r="945" ht="15.75" customHeight="1">
      <c r="A945" s="2">
        <v>1.0</v>
      </c>
      <c r="B945" s="2" t="s">
        <v>2589</v>
      </c>
      <c r="C945" s="2" t="s">
        <v>2590</v>
      </c>
      <c r="D945" s="2" t="s">
        <v>19</v>
      </c>
      <c r="E945" s="2" t="s">
        <v>20</v>
      </c>
      <c r="F945" s="2" t="s">
        <v>15</v>
      </c>
      <c r="G945" s="2" t="s">
        <v>539</v>
      </c>
      <c r="H945" s="2" t="s">
        <v>260</v>
      </c>
      <c r="I945" s="2" t="str">
        <f>IFERROR(__xludf.DUMMYFUNCTION("GOOGLETRANSLATE(C945,""fr"",""en"")"),"After a disaster at the end of June, a very long deadline for expertise, then, finally, a check for my wreck car is sent, except that it never happens to destination. I am sending me a letter of withdrawal in order to oppose the check. Another 3 weeks of "&amp;"waiting, we are in mid-September and I am told that we must redo the letter of withdrawal because the check was not made in my name but to that of my father who no longer appears on the gray card. Or an additional 10 -day deadline and a real question on t"&amp;"he sending of the first check. A very bad experience, I will not be taken up to subscribe to them who are also more expensive than many of their competitors.")</f>
        <v>After a disaster at the end of June, a very long deadline for expertise, then, finally, a check for my wreck car is sent, except that it never happens to destination. I am sending me a letter of withdrawal in order to oppose the check. Another 3 weeks of waiting, we are in mid-September and I am told that we must redo the letter of withdrawal because the check was not made in my name but to that of my father who no longer appears on the gray card. Or an additional 10 -day deadline and a real question on the sending of the first check. A very bad experience, I will not be taken up to subscribe to them who are also more expensive than many of their competitors.</v>
      </c>
    </row>
    <row r="946" ht="15.75" customHeight="1">
      <c r="A946" s="2">
        <v>1.0</v>
      </c>
      <c r="B946" s="2" t="s">
        <v>2591</v>
      </c>
      <c r="C946" s="2" t="s">
        <v>2592</v>
      </c>
      <c r="D946" s="2" t="s">
        <v>24</v>
      </c>
      <c r="E946" s="2" t="s">
        <v>122</v>
      </c>
      <c r="F946" s="2" t="s">
        <v>15</v>
      </c>
      <c r="G946" s="2" t="s">
        <v>2593</v>
      </c>
      <c r="H946" s="2" t="s">
        <v>251</v>
      </c>
      <c r="I946" s="2" t="str">
        <f>IFERROR(__xludf.DUMMYFUNCTION("GOOGLETRANSLATE(C946,""fr"",""en"")"),"I had left my car in revision in a Renault garage which had subscribed to its insurance at AXA
The garage was robbed and my car stolen and then burned.
Dialogue of deaf with this insurance to be reimbursed, I contacted the Issoire agency in the 63.
I w"&amp;"as particularly badly received by the Axa advisor, the latter told me to contact my personal insurance to know the progress of my file, this is what I did but apparently AXA does not give No information has my insurance.
In summary I strongly advise agai"&amp;"nst subscribing after this insurance which is very efficient to collect the contributions and make the pleasure last to reimburse in the event of a disaster.
With the Issoire agency, I have to do incompetence or the will not to pay?
One thing is sure, i"&amp;"t is that these people have a high esteem of their person, to the point of hanging up on the nose when they are in difficulty.
Axa, insurance to flee. 1 month and a half after a claim, no news from them")</f>
        <v>I had left my car in revision in a Renault garage which had subscribed to its insurance at AXA
The garage was robbed and my car stolen and then burned.
Dialogue of deaf with this insurance to be reimbursed, I contacted the Issoire agency in the 63.
I was particularly badly received by the Axa advisor, the latter told me to contact my personal insurance to know the progress of my file, this is what I did but apparently AXA does not give No information has my insurance.
In summary I strongly advise against subscribing after this insurance which is very efficient to collect the contributions and make the pleasure last to reimburse in the event of a disaster.
With the Issoire agency, I have to do incompetence or the will not to pay?
One thing is sure, it is that these people have a high esteem of their person, to the point of hanging up on the nose when they are in difficulty.
Axa, insurance to flee. 1 month and a half after a claim, no news from them</v>
      </c>
    </row>
    <row r="947" ht="15.75" customHeight="1">
      <c r="A947" s="2">
        <v>4.0</v>
      </c>
      <c r="B947" s="2" t="s">
        <v>2594</v>
      </c>
      <c r="C947" s="2" t="s">
        <v>2595</v>
      </c>
      <c r="D947" s="2" t="s">
        <v>35</v>
      </c>
      <c r="E947" s="2" t="s">
        <v>20</v>
      </c>
      <c r="F947" s="2" t="s">
        <v>15</v>
      </c>
      <c r="G947" s="2" t="s">
        <v>74</v>
      </c>
      <c r="H947" s="2" t="s">
        <v>74</v>
      </c>
      <c r="I947" s="2" t="str">
        <f>IFERROR(__xludf.DUMMYFUNCTION("GOOGLETRANSLATE(C947,""fr"",""en"")"),"Simplicity of subscription and signature hoping that the quality of service is so simple in the event of a disaster even if I hope I do not
")</f>
        <v>Simplicity of subscription and signature hoping that the quality of service is so simple in the event of a disaster even if I hope I do not
</v>
      </c>
    </row>
    <row r="948" ht="15.75" customHeight="1">
      <c r="A948" s="2">
        <v>3.0</v>
      </c>
      <c r="B948" s="2" t="s">
        <v>2596</v>
      </c>
      <c r="C948" s="2" t="s">
        <v>2597</v>
      </c>
      <c r="D948" s="2" t="s">
        <v>269</v>
      </c>
      <c r="E948" s="2" t="s">
        <v>61</v>
      </c>
      <c r="F948" s="2" t="s">
        <v>15</v>
      </c>
      <c r="G948" s="2" t="s">
        <v>2598</v>
      </c>
      <c r="H948" s="2" t="s">
        <v>16</v>
      </c>
      <c r="I948" s="2" t="str">
        <f>IFERROR(__xludf.DUMMYFUNCTION("GOOGLETRANSLATE(C948,""fr"",""en"")"),"Insured at Cegema Depus 2019, in 2020 the subscription increased by 12 %, because of the zero remains dependent. Finally we pay at La Mutuelle instead of paying the dentist or the optician!
Many management problems, unreachable on the phone, I do not kno"&amp;"w if I continue with this mutual, which is rather expensive")</f>
        <v>Insured at Cegema Depus 2019, in 2020 the subscription increased by 12 %, because of the zero remains dependent. Finally we pay at La Mutuelle instead of paying the dentist or the optician!
Many management problems, unreachable on the phone, I do not know if I continue with this mutual, which is rather expensive</v>
      </c>
    </row>
    <row r="949" ht="15.75" customHeight="1">
      <c r="A949" s="2">
        <v>2.0</v>
      </c>
      <c r="B949" s="2" t="s">
        <v>2599</v>
      </c>
      <c r="C949" s="2" t="s">
        <v>2600</v>
      </c>
      <c r="D949" s="2" t="s">
        <v>337</v>
      </c>
      <c r="E949" s="2" t="s">
        <v>20</v>
      </c>
      <c r="F949" s="2" t="s">
        <v>15</v>
      </c>
      <c r="G949" s="2" t="s">
        <v>2601</v>
      </c>
      <c r="H949" s="2" t="s">
        <v>127</v>
      </c>
      <c r="I949" s="2" t="str">
        <f>IFERROR(__xludf.DUMMYFUNCTION("GOOGLETRANSLATE(C949,""fr"",""en"")"),"Very disappointed ... insured at the MAIF for my vehicle for 30 years, I wish to be now assured at km since I am retired and that I drive little. After several emails, which remained unanswered, I contacted telephonely (waiting for 10 minutes) an advisor "&amp;"who sent me to the site ""Altima by Maif"" (10 minutes of additional waiting) where it was explained to me that C ' It was up to me to make the quote and the subscription and that it was essential to have a smartphone to benefit from this insurance.
So I"&amp;" think MAIF does not need customers. Very disappointing for a company that advocates sharing. So I think I change insurer.")</f>
        <v>Very disappointed ... insured at the MAIF for my vehicle for 30 years, I wish to be now assured at km since I am retired and that I drive little. After several emails, which remained unanswered, I contacted telephonely (waiting for 10 minutes) an advisor who sent me to the site "Altima by Maif" (10 minutes of additional waiting) where it was explained to me that C ' It was up to me to make the quote and the subscription and that it was essential to have a smartphone to benefit from this insurance.
So I think MAIF does not need customers. Very disappointing for a company that advocates sharing. So I think I change insurer.</v>
      </c>
    </row>
    <row r="950" ht="15.75" customHeight="1">
      <c r="A950" s="2">
        <v>1.0</v>
      </c>
      <c r="B950" s="2" t="s">
        <v>2602</v>
      </c>
      <c r="C950" s="2" t="s">
        <v>2603</v>
      </c>
      <c r="D950" s="2" t="s">
        <v>24</v>
      </c>
      <c r="E950" s="2" t="s">
        <v>20</v>
      </c>
      <c r="F950" s="2" t="s">
        <v>15</v>
      </c>
      <c r="G950" s="2" t="s">
        <v>2604</v>
      </c>
      <c r="H950" s="2" t="s">
        <v>323</v>
      </c>
      <c r="I950" s="2" t="str">
        <f>IFERROR(__xludf.DUMMYFUNCTION("GOOGLETRANSLATE(C950,""fr"",""en"")"),"Very disappointed with the service, no support except when you have to pay!
Offers me to advance the franchise (of € 400) on a file for a few months because the driver fails to refuse to sign.
The agency tromits in the processing of the file, I would ce"&amp;"rtainly never see my franchise again ...
Finally offers me to show 60 € per month my contract until the file is processed. A beautiful joke !!!
AXA is poor insurance that does not support its insured
I hope to find a new insurance quickly and will no l"&amp;"onger return.")</f>
        <v>Very disappointed with the service, no support except when you have to pay!
Offers me to advance the franchise (of € 400) on a file for a few months because the driver fails to refuse to sign.
The agency tromits in the processing of the file, I would certainly never see my franchise again ...
Finally offers me to show 60 € per month my contract until the file is processed. A beautiful joke !!!
AXA is poor insurance that does not support its insured
I hope to find a new insurance quickly and will no longer return.</v>
      </c>
    </row>
    <row r="951" ht="15.75" customHeight="1">
      <c r="A951" s="2">
        <v>4.0</v>
      </c>
      <c r="B951" s="2" t="s">
        <v>2605</v>
      </c>
      <c r="C951" s="2" t="s">
        <v>2606</v>
      </c>
      <c r="D951" s="2" t="s">
        <v>35</v>
      </c>
      <c r="E951" s="2" t="s">
        <v>20</v>
      </c>
      <c r="F951" s="2" t="s">
        <v>15</v>
      </c>
      <c r="G951" s="2" t="s">
        <v>806</v>
      </c>
      <c r="H951" s="2" t="s">
        <v>74</v>
      </c>
      <c r="I951" s="2" t="str">
        <f>IFERROR(__xludf.DUMMYFUNCTION("GOOGLETRANSLATE(C951,""fr"",""en"")"),"very satisfied
Good price, competitive price especially for young drivers
very nice advisor
very good advice
very good listening
available
")</f>
        <v>very satisfied
Good price, competitive price especially for young drivers
very nice advisor
very good advice
very good listening
available
</v>
      </c>
    </row>
    <row r="952" ht="15.75" customHeight="1">
      <c r="A952" s="2">
        <v>2.0</v>
      </c>
      <c r="B952" s="2" t="s">
        <v>2607</v>
      </c>
      <c r="C952" s="2" t="s">
        <v>2608</v>
      </c>
      <c r="D952" s="2" t="s">
        <v>844</v>
      </c>
      <c r="E952" s="2" t="s">
        <v>20</v>
      </c>
      <c r="F952" s="2" t="s">
        <v>15</v>
      </c>
      <c r="G952" s="2" t="s">
        <v>1081</v>
      </c>
      <c r="H952" s="2" t="s">
        <v>131</v>
      </c>
      <c r="I952" s="2" t="str">
        <f>IFERROR(__xludf.DUMMYFUNCTION("GOOGLETRANSLATE(C952,""fr"",""en"")"),"I was at Eurofil for over 5 years.
This year they decided to terminate the contract for no reason. They told me in the mail following the change in our insurance policy.
I have always paid my deadlines in time. I had a break of ice this year and a fligh"&amp;"t in 2019. That's it and now they resound me. This makes it complicated to find insurance that accepts us when we are terminated by insurance especially since there is no valid reason for this.
")</f>
        <v>I was at Eurofil for over 5 years.
This year they decided to terminate the contract for no reason. They told me in the mail following the change in our insurance policy.
I have always paid my deadlines in time. I had a break of ice this year and a flight in 2019. That's it and now they resound me. This makes it complicated to find insurance that accepts us when we are terminated by insurance especially since there is no valid reason for this.
</v>
      </c>
    </row>
    <row r="953" ht="15.75" customHeight="1">
      <c r="A953" s="2">
        <v>4.0</v>
      </c>
      <c r="B953" s="2" t="s">
        <v>2609</v>
      </c>
      <c r="C953" s="2" t="s">
        <v>2610</v>
      </c>
      <c r="D953" s="2" t="s">
        <v>337</v>
      </c>
      <c r="E953" s="2" t="s">
        <v>122</v>
      </c>
      <c r="F953" s="2" t="s">
        <v>15</v>
      </c>
      <c r="G953" s="2" t="s">
        <v>2611</v>
      </c>
      <c r="H953" s="2" t="s">
        <v>501</v>
      </c>
      <c r="I953" s="2" t="str">
        <f>IFERROR(__xludf.DUMMYFUNCTION("GOOGLETRANSLATE(C953,""fr"",""en"")"),"I have been in Maif for the home since June. Unfortunately, I underwent two rush in a row (first the bike, then the apartment). Being on a young contract, the bike was not covered. I lost a lot this week, but I was generally well compensated. The Maif adv"&amp;"isor was listening to me, comforted and accompanied me.
The expert firm to quantify my loss was quickly mandated, and I had a refund in the month.
The following month, I had a bicycle accident with a responsible car and an established observation, the M"&amp;"aif advisor took care of everything with opposing insurance. Again, well followed.
I then have the misfortune to have my damaged phone, the MAIF covered the damage quickly.
Honestly, I don't have to complain, and I have a good experience overall with th"&amp;"em.
I even recommend them!")</f>
        <v>I have been in Maif for the home since June. Unfortunately, I underwent two rush in a row (first the bike, then the apartment). Being on a young contract, the bike was not covered. I lost a lot this week, but I was generally well compensated. The Maif advisor was listening to me, comforted and accompanied me.
The expert firm to quantify my loss was quickly mandated, and I had a refund in the month.
The following month, I had a bicycle accident with a responsible car and an established observation, the Maif advisor took care of everything with opposing insurance. Again, well followed.
I then have the misfortune to have my damaged phone, the MAIF covered the damage quickly.
Honestly, I don't have to complain, and I have a good experience overall with them.
I even recommend them!</v>
      </c>
    </row>
    <row r="954" ht="15.75" customHeight="1">
      <c r="A954" s="2">
        <v>1.0</v>
      </c>
      <c r="B954" s="2" t="s">
        <v>2612</v>
      </c>
      <c r="C954" s="2" t="s">
        <v>2613</v>
      </c>
      <c r="D954" s="2" t="s">
        <v>95</v>
      </c>
      <c r="E954" s="2" t="s">
        <v>20</v>
      </c>
      <c r="F954" s="2" t="s">
        <v>15</v>
      </c>
      <c r="G954" s="2" t="s">
        <v>2614</v>
      </c>
      <c r="H954" s="2" t="s">
        <v>53</v>
      </c>
      <c r="I954" s="2" t="str">
        <f>IFERROR(__xludf.DUMMYFUNCTION("GOOGLETRANSLATE(C954,""fr"",""en"")"),"I asked for an opinion on insurance and advice.
I was hung up twice by telling me that it did not interest them, that I have to see with another insurer.")</f>
        <v>I asked for an opinion on insurance and advice.
I was hung up twice by telling me that it did not interest them, that I have to see with another insurer.</v>
      </c>
    </row>
    <row r="955" ht="15.75" customHeight="1">
      <c r="A955" s="2">
        <v>1.0</v>
      </c>
      <c r="B955" s="2" t="s">
        <v>2615</v>
      </c>
      <c r="C955" s="2" t="s">
        <v>2616</v>
      </c>
      <c r="D955" s="2" t="s">
        <v>43</v>
      </c>
      <c r="E955" s="2" t="s">
        <v>20</v>
      </c>
      <c r="F955" s="2" t="s">
        <v>15</v>
      </c>
      <c r="G955" s="2" t="s">
        <v>2617</v>
      </c>
      <c r="H955" s="2" t="s">
        <v>652</v>
      </c>
      <c r="I955" s="2" t="str">
        <f>IFERROR(__xludf.DUMMYFUNCTION("GOOGLETRANSLATE(C955,""fr"",""en"")"),"Catastrophic, certainly anything but human monitoring of the file is calamitous")</f>
        <v>Catastrophic, certainly anything but human monitoring of the file is calamitous</v>
      </c>
    </row>
    <row r="956" ht="15.75" customHeight="1">
      <c r="A956" s="2">
        <v>5.0</v>
      </c>
      <c r="B956" s="2" t="s">
        <v>2618</v>
      </c>
      <c r="C956" s="2" t="s">
        <v>2619</v>
      </c>
      <c r="D956" s="2" t="s">
        <v>378</v>
      </c>
      <c r="E956" s="2" t="s">
        <v>61</v>
      </c>
      <c r="F956" s="2" t="s">
        <v>15</v>
      </c>
      <c r="G956" s="2" t="s">
        <v>2117</v>
      </c>
      <c r="H956" s="2" t="s">
        <v>45</v>
      </c>
      <c r="I956" s="2" t="str">
        <f>IFERROR(__xludf.DUMMYFUNCTION("GOOGLETRANSLATE(C956,""fr"",""en"")"),"Client of mutual harmony for over 20 years, I am very satisfied with this mutual. Quick reimbursement, responsiveness during contacts, proximity to agencies. I am very surprised by all these negative opinions.")</f>
        <v>Client of mutual harmony for over 20 years, I am very satisfied with this mutual. Quick reimbursement, responsiveness during contacts, proximity to agencies. I am very surprised by all these negative opinions.</v>
      </c>
    </row>
    <row r="957" ht="15.75" customHeight="1">
      <c r="A957" s="2">
        <v>3.0</v>
      </c>
      <c r="B957" s="2" t="s">
        <v>2620</v>
      </c>
      <c r="C957" s="2" t="s">
        <v>2621</v>
      </c>
      <c r="D957" s="2" t="s">
        <v>35</v>
      </c>
      <c r="E957" s="2" t="s">
        <v>20</v>
      </c>
      <c r="F957" s="2" t="s">
        <v>15</v>
      </c>
      <c r="G957" s="2" t="s">
        <v>36</v>
      </c>
      <c r="H957" s="2" t="s">
        <v>32</v>
      </c>
      <c r="I957" s="2" t="str">
        <f>IFERROR(__xludf.DUMMYFUNCTION("GOOGLETRANSLATE(C957,""fr"",""en"")"),"I discover this assurance that I did not know so I hope I have no bad surprises. In the case, the advisers are very welcoming and professional.")</f>
        <v>I discover this assurance that I did not know so I hope I have no bad surprises. In the case, the advisers are very welcoming and professional.</v>
      </c>
    </row>
    <row r="958" ht="15.75" customHeight="1">
      <c r="A958" s="2">
        <v>3.0</v>
      </c>
      <c r="B958" s="2" t="s">
        <v>2622</v>
      </c>
      <c r="C958" s="2" t="s">
        <v>2623</v>
      </c>
      <c r="D958" s="2" t="s">
        <v>19</v>
      </c>
      <c r="E958" s="2" t="s">
        <v>20</v>
      </c>
      <c r="F958" s="2" t="s">
        <v>15</v>
      </c>
      <c r="G958" s="2" t="s">
        <v>2624</v>
      </c>
      <c r="H958" s="2" t="s">
        <v>21</v>
      </c>
      <c r="I958" s="2" t="str">
        <f>IFERROR(__xludf.DUMMYFUNCTION("GOOGLETRANSLATE(C958,""fr"",""en"")"),"I am satisfied with VOD services and pleasant staff. The only problem is to sign you know when people have not internet it is complicated you should send it by mail")</f>
        <v>I am satisfied with VOD services and pleasant staff. The only problem is to sign you know when people have not internet it is complicated you should send it by mail</v>
      </c>
    </row>
    <row r="959" ht="15.75" customHeight="1">
      <c r="A959" s="2">
        <v>4.0</v>
      </c>
      <c r="B959" s="2" t="s">
        <v>2625</v>
      </c>
      <c r="C959" s="2" t="s">
        <v>2626</v>
      </c>
      <c r="D959" s="2" t="s">
        <v>19</v>
      </c>
      <c r="E959" s="2" t="s">
        <v>20</v>
      </c>
      <c r="F959" s="2" t="s">
        <v>15</v>
      </c>
      <c r="G959" s="2" t="s">
        <v>2627</v>
      </c>
      <c r="H959" s="2" t="s">
        <v>108</v>
      </c>
      <c r="I959" s="2" t="str">
        <f>IFERROR(__xludf.DUMMYFUNCTION("GOOGLETRANSLATE(C959,""fr"",""en"")"),"During my phone call, to make changes to my initial contract and my new contract it was not so simple. Too bad not to have a bonus when you have several contracts at Direct Insurance (car, accommodation). The site is well done to make it even its quote.")</f>
        <v>During my phone call, to make changes to my initial contract and my new contract it was not so simple. Too bad not to have a bonus when you have several contracts at Direct Insurance (car, accommodation). The site is well done to make it even its quote.</v>
      </c>
    </row>
    <row r="960" ht="15.75" customHeight="1">
      <c r="A960" s="2">
        <v>4.0</v>
      </c>
      <c r="B960" s="2" t="s">
        <v>2628</v>
      </c>
      <c r="C960" s="2" t="s">
        <v>2629</v>
      </c>
      <c r="D960" s="2" t="s">
        <v>19</v>
      </c>
      <c r="E960" s="2" t="s">
        <v>20</v>
      </c>
      <c r="F960" s="2" t="s">
        <v>15</v>
      </c>
      <c r="G960" s="2" t="s">
        <v>328</v>
      </c>
      <c r="H960" s="2" t="s">
        <v>32</v>
      </c>
      <c r="I960" s="2" t="str">
        <f>IFERROR(__xludf.DUMMYFUNCTION("GOOGLETRANSLATE(C960,""fr"",""en"")"),"Prices suit me for the moment, although downward development over the years, without disaster, remains skeptical and subject to questioning. Maybe Direct align with other insurers while staying on the low range.")</f>
        <v>Prices suit me for the moment, although downward development over the years, without disaster, remains skeptical and subject to questioning. Maybe Direct align with other insurers while staying on the low range.</v>
      </c>
    </row>
    <row r="961" ht="15.75" customHeight="1">
      <c r="A961" s="2">
        <v>4.0</v>
      </c>
      <c r="B961" s="2" t="s">
        <v>2630</v>
      </c>
      <c r="C961" s="2" t="s">
        <v>2631</v>
      </c>
      <c r="D961" s="2" t="s">
        <v>19</v>
      </c>
      <c r="E961" s="2" t="s">
        <v>20</v>
      </c>
      <c r="F961" s="2" t="s">
        <v>15</v>
      </c>
      <c r="G961" s="2" t="s">
        <v>74</v>
      </c>
      <c r="H961" s="2" t="s">
        <v>74</v>
      </c>
      <c r="I961" s="2" t="str">
        <f>IFERROR(__xludf.DUMMYFUNCTION("GOOGLETRANSLATE(C961,""fr"",""en"")"),"Rather suitable price especially if driving follows! I will come back to you to give my opinion after testing the case
The advisor I had on the phone was great and very friendly")</f>
        <v>Rather suitable price especially if driving follows! I will come back to you to give my opinion after testing the case
The advisor I had on the phone was great and very friendly</v>
      </c>
    </row>
    <row r="962" ht="15.75" customHeight="1">
      <c r="A962" s="2">
        <v>3.0</v>
      </c>
      <c r="B962" s="2" t="s">
        <v>2632</v>
      </c>
      <c r="C962" s="2" t="s">
        <v>2633</v>
      </c>
      <c r="D962" s="2" t="s">
        <v>442</v>
      </c>
      <c r="E962" s="2" t="s">
        <v>30</v>
      </c>
      <c r="F962" s="2" t="s">
        <v>15</v>
      </c>
      <c r="G962" s="2" t="s">
        <v>2398</v>
      </c>
      <c r="H962" s="2" t="s">
        <v>21</v>
      </c>
      <c r="I962" s="2" t="str">
        <f>IFERROR(__xludf.DUMMYFUNCTION("GOOGLETRANSLATE(C962,""fr"",""en"")"),"I am satisfied with the service of my Zen Up advisor. I will be completely satisfied if my file is accepted by the pension organization, that is to say the savings bank")</f>
        <v>I am satisfied with the service of my Zen Up advisor. I will be completely satisfied if my file is accepted by the pension organization, that is to say the savings bank</v>
      </c>
    </row>
    <row r="963" ht="15.75" customHeight="1">
      <c r="A963" s="2">
        <v>1.0</v>
      </c>
      <c r="B963" s="2" t="s">
        <v>2634</v>
      </c>
      <c r="C963" s="2" t="s">
        <v>2635</v>
      </c>
      <c r="D963" s="2" t="s">
        <v>35</v>
      </c>
      <c r="E963" s="2" t="s">
        <v>20</v>
      </c>
      <c r="F963" s="2" t="s">
        <v>15</v>
      </c>
      <c r="G963" s="2" t="s">
        <v>2636</v>
      </c>
      <c r="H963" s="2" t="s">
        <v>395</v>
      </c>
      <c r="I963" s="2" t="str">
        <f>IFERROR(__xludf.DUMMYFUNCTION("GOOGLETRANSLATE(C963,""fr"",""en"")"),"
Dear,
After studying your documents*, we note that certain information differ from the declarations made to the subscription of your contract.
Here is what we have changed:
The declared obtaining of the secondary driver's driver's lic"&amp;"ense was in 01/1998, after verification, the actual date is in 05/1996
This operation leads to amendment fees worth 15 euros, which will be invoiced on the bank account for which you have given us authorization to take.
The discrepancy between the "&amp;"information transmitted and that declared to the subscription being important, the compliance of your contract leads to an increase in your premium of 49.5 euros (including the amendment costs). This amount will be the subject of a levy from your bank acc"&amp;"ount.
Without comments, ha if maybe the person who made my contract told me that an aproximate date would suffice.
")</f>
        <v>
Dear,
After studying your documents*, we note that certain information differ from the declarations made to the subscription of your contract.
Here is what we have changed:
The declared obtaining of the secondary driver's driver's license was in 01/1998, after verification, the actual date is in 05/1996
This operation leads to amendment fees worth 15 euros, which will be invoiced on the bank account for which you have given us authorization to take.
The discrepancy between the information transmitted and that declared to the subscription being important, the compliance of your contract leads to an increase in your premium of 49.5 euros (including the amendment costs). This amount will be the subject of a levy from your bank account.
Without comments, ha if maybe the person who made my contract told me that an aproximate date would suffice.
</v>
      </c>
    </row>
    <row r="964" ht="15.75" customHeight="1">
      <c r="A964" s="2">
        <v>5.0</v>
      </c>
      <c r="B964" s="2" t="s">
        <v>2637</v>
      </c>
      <c r="C964" s="2" t="s">
        <v>2638</v>
      </c>
      <c r="D964" s="2" t="s">
        <v>35</v>
      </c>
      <c r="E964" s="2" t="s">
        <v>20</v>
      </c>
      <c r="F964" s="2" t="s">
        <v>15</v>
      </c>
      <c r="G964" s="2" t="s">
        <v>2639</v>
      </c>
      <c r="H964" s="2" t="s">
        <v>127</v>
      </c>
      <c r="I964" s="2" t="str">
        <f>IFERROR(__xludf.DUMMYFUNCTION("GOOGLETRANSLATE(C964,""fr"",""en"")"),"I am very satisfied with this insurance, I have been affiliated there for 3 years. I had sinister and everything was very simple! The welcome is perfect: dynamic, smiling and very professional. In addition, the value for money is unbeatable! I highly reco"&amp;"mmend this insurance!")</f>
        <v>I am very satisfied with this insurance, I have been affiliated there for 3 years. I had sinister and everything was very simple! The welcome is perfect: dynamic, smiling and very professional. In addition, the value for money is unbeatable! I highly recommend this insurance!</v>
      </c>
    </row>
    <row r="965" ht="15.75" customHeight="1">
      <c r="A965" s="2">
        <v>5.0</v>
      </c>
      <c r="B965" s="2" t="s">
        <v>2640</v>
      </c>
      <c r="C965" s="2" t="s">
        <v>2641</v>
      </c>
      <c r="D965" s="2" t="s">
        <v>86</v>
      </c>
      <c r="E965" s="2" t="s">
        <v>61</v>
      </c>
      <c r="F965" s="2" t="s">
        <v>15</v>
      </c>
      <c r="G965" s="2" t="s">
        <v>2642</v>
      </c>
      <c r="H965" s="2" t="s">
        <v>40</v>
      </c>
      <c r="I965" s="2" t="str">
        <f>IFERROR(__xludf.DUMMYFUNCTION("GOOGLETRANSLATE(C965,""fr"",""en"")"),"Explain very nice and a lot of choice")</f>
        <v>Explain very nice and a lot of choice</v>
      </c>
    </row>
    <row r="966" ht="15.75" customHeight="1">
      <c r="A966" s="2">
        <v>1.0</v>
      </c>
      <c r="B966" s="2" t="s">
        <v>2643</v>
      </c>
      <c r="C966" s="2" t="s">
        <v>2644</v>
      </c>
      <c r="D966" s="2" t="s">
        <v>19</v>
      </c>
      <c r="E966" s="2" t="s">
        <v>20</v>
      </c>
      <c r="F966" s="2" t="s">
        <v>15</v>
      </c>
      <c r="G966" s="2" t="s">
        <v>1588</v>
      </c>
      <c r="H966" s="2" t="s">
        <v>32</v>
      </c>
      <c r="I966" s="2" t="str">
        <f>IFERROR(__xludf.DUMMYFUNCTION("GOOGLETRANSLATE(C966,""fr"",""en"")"),"Worse insurance service. Customer for 10 years and I have an execrable rate. A new customer with the same options and penalties pays € 600 less. I am in active research to leave this ""insurance"" which does not know how to reward loyal customers.")</f>
        <v>Worse insurance service. Customer for 10 years and I have an execrable rate. A new customer with the same options and penalties pays € 600 less. I am in active research to leave this "insurance" which does not know how to reward loyal customers.</v>
      </c>
    </row>
    <row r="967" ht="15.75" customHeight="1">
      <c r="A967" s="2">
        <v>4.0</v>
      </c>
      <c r="B967" s="2" t="s">
        <v>2645</v>
      </c>
      <c r="C967" s="2" t="s">
        <v>2646</v>
      </c>
      <c r="D967" s="2" t="s">
        <v>19</v>
      </c>
      <c r="E967" s="2" t="s">
        <v>20</v>
      </c>
      <c r="F967" s="2" t="s">
        <v>15</v>
      </c>
      <c r="G967" s="2" t="s">
        <v>175</v>
      </c>
      <c r="H967" s="2" t="s">
        <v>164</v>
      </c>
      <c r="I967" s="2" t="str">
        <f>IFERROR(__xludf.DUMMYFUNCTION("GOOGLETRANSLATE(C967,""fr"",""en"")"),"I am satisfied with the service, the price suits me, the site is effective and quick and very easy to use, and super fast thank you and have a nice day")</f>
        <v>I am satisfied with the service, the price suits me, the site is effective and quick and very easy to use, and super fast thank you and have a nice day</v>
      </c>
    </row>
    <row r="968" ht="15.75" customHeight="1">
      <c r="A968" s="2">
        <v>4.0</v>
      </c>
      <c r="B968" s="2" t="s">
        <v>2647</v>
      </c>
      <c r="C968" s="2" t="s">
        <v>2648</v>
      </c>
      <c r="D968" s="2" t="s">
        <v>285</v>
      </c>
      <c r="E968" s="2" t="s">
        <v>122</v>
      </c>
      <c r="F968" s="2" t="s">
        <v>15</v>
      </c>
      <c r="G968" s="2" t="s">
        <v>1994</v>
      </c>
      <c r="H968" s="2" t="s">
        <v>1757</v>
      </c>
      <c r="I968" s="2" t="str">
        <f>IFERROR(__xludf.DUMMYFUNCTION("GOOGLETRANSLATE(C968,""fr"",""en"")"),"I have been a customer for more than 25 years in Macif Provence with 6 insurance contracts (boat -autos -Autos ..) and am very satisfied by the various interventions and reimbursements of the Macif following various claims.
In particular my house was vic"&amp;"timized by drought in 2010 and the repair work very very important and fully supported by the Macif (note that my 2 neighbors who have undergone the same problems with other insurers and others Experts have still not released business 6 years later).
I c"&amp;"an only remain faithful to the Macif after a disaster of this scale.")</f>
        <v>I have been a customer for more than 25 years in Macif Provence with 6 insurance contracts (boat -autos -Autos ..) and am very satisfied by the various interventions and reimbursements of the Macif following various claims.
In particular my house was victimized by drought in 2010 and the repair work very very important and fully supported by the Macif (note that my 2 neighbors who have undergone the same problems with other insurers and others Experts have still not released business 6 years later).
I can only remain faithful to the Macif after a disaster of this scale.</v>
      </c>
    </row>
    <row r="969" ht="15.75" customHeight="1">
      <c r="A969" s="2">
        <v>4.0</v>
      </c>
      <c r="B969" s="2" t="s">
        <v>2649</v>
      </c>
      <c r="C969" s="2" t="s">
        <v>2650</v>
      </c>
      <c r="D969" s="2" t="s">
        <v>35</v>
      </c>
      <c r="E969" s="2" t="s">
        <v>20</v>
      </c>
      <c r="F969" s="2" t="s">
        <v>15</v>
      </c>
      <c r="G969" s="2" t="s">
        <v>2398</v>
      </c>
      <c r="H969" s="2" t="s">
        <v>21</v>
      </c>
      <c r="I969" s="2" t="str">
        <f>IFERROR(__xludf.DUMMYFUNCTION("GOOGLETRANSLATE(C969,""fr"",""en"")"),"Correct price
But very bad disaster application:
Claim declared on February 2
Completed on March 25
Very bad communication with advisers")</f>
        <v>Correct price
But very bad disaster application:
Claim declared on February 2
Completed on March 25
Very bad communication with advisers</v>
      </c>
    </row>
    <row r="970" ht="15.75" customHeight="1">
      <c r="A970" s="2">
        <v>5.0</v>
      </c>
      <c r="B970" s="2" t="s">
        <v>2651</v>
      </c>
      <c r="C970" s="2" t="s">
        <v>2652</v>
      </c>
      <c r="D970" s="2" t="s">
        <v>35</v>
      </c>
      <c r="E970" s="2" t="s">
        <v>20</v>
      </c>
      <c r="F970" s="2" t="s">
        <v>15</v>
      </c>
      <c r="G970" s="2" t="s">
        <v>2653</v>
      </c>
      <c r="H970" s="2" t="s">
        <v>131</v>
      </c>
      <c r="I970" s="2" t="str">
        <f>IFERROR(__xludf.DUMMYFUNCTION("GOOGLETRANSLATE(C970,""fr"",""en"")"),"Very happy with all of your services by the skills explanations their patience the value for money nothing to say client at home for 6 years")</f>
        <v>Very happy with all of your services by the skills explanations their patience the value for money nothing to say client at home for 6 years</v>
      </c>
    </row>
    <row r="971" ht="15.75" customHeight="1">
      <c r="A971" s="2">
        <v>5.0</v>
      </c>
      <c r="B971" s="2" t="s">
        <v>2654</v>
      </c>
      <c r="C971" s="2" t="s">
        <v>2655</v>
      </c>
      <c r="D971" s="2" t="s">
        <v>225</v>
      </c>
      <c r="E971" s="2" t="s">
        <v>61</v>
      </c>
      <c r="F971" s="2" t="s">
        <v>15</v>
      </c>
      <c r="G971" s="2" t="s">
        <v>2656</v>
      </c>
      <c r="H971" s="2" t="s">
        <v>79</v>
      </c>
      <c r="I971" s="2" t="str">
        <f>IFERROR(__xludf.DUMMYFUNCTION("GOOGLETRANSLATE(C971,""fr"",""en"")"),"Online pharmacy
I just discovered something
You can buy on Feelvie.Pharmacalais.fr your medocs and online drugstores if and only if you are a member of certain mutuals including the MGEN and in addition it is not excessive")</f>
        <v>Online pharmacy
I just discovered something
You can buy on Feelvie.Pharmacalais.fr your medocs and online drugstores if and only if you are a member of certain mutuals including the MGEN and in addition it is not excessive</v>
      </c>
    </row>
    <row r="972" ht="15.75" customHeight="1">
      <c r="A972" s="2">
        <v>1.0</v>
      </c>
      <c r="B972" s="2" t="s">
        <v>2657</v>
      </c>
      <c r="C972" s="2" t="s">
        <v>2658</v>
      </c>
      <c r="D972" s="2" t="s">
        <v>2659</v>
      </c>
      <c r="E972" s="2" t="s">
        <v>214</v>
      </c>
      <c r="F972" s="2" t="s">
        <v>15</v>
      </c>
      <c r="G972" s="2" t="s">
        <v>2117</v>
      </c>
      <c r="H972" s="2" t="s">
        <v>45</v>
      </c>
      <c r="I972" s="2" t="str">
        <f>IFERROR(__xludf.DUMMYFUNCTION("GOOGLETRANSLATE(C972,""fr"",""en"")"),"I will not even give a star but I can not do otherwise. No one on the phone No answers to the emails. Error in the address to send the provident checks. No payment since January. a shame not to subscribe")</f>
        <v>I will not even give a star but I can not do otherwise. No one on the phone No answers to the emails. Error in the address to send the provident checks. No payment since January. a shame not to subscribe</v>
      </c>
    </row>
    <row r="973" ht="15.75" customHeight="1">
      <c r="A973" s="2">
        <v>1.0</v>
      </c>
      <c r="B973" s="2" t="s">
        <v>2660</v>
      </c>
      <c r="C973" s="2" t="s">
        <v>2661</v>
      </c>
      <c r="D973" s="2" t="s">
        <v>56</v>
      </c>
      <c r="E973" s="2" t="s">
        <v>20</v>
      </c>
      <c r="F973" s="2" t="s">
        <v>15</v>
      </c>
      <c r="G973" s="2" t="s">
        <v>2662</v>
      </c>
      <c r="H973" s="2" t="s">
        <v>860</v>
      </c>
      <c r="I973" s="2" t="str">
        <f>IFERROR(__xludf.DUMMYFUNCTION("GOOGLETRANSLATE(C973,""fr"",""en"")"),"Too expensive, 2 months for a refund. No faithful advantage. I strongly advise against.
I changed my insurance by fulfilling all the terms, the dates were respected. I received a letter from them that everything is in good standing. Despite all that, I a"&amp;"m still taken a month later.
The worst part is that my bank is at Crédit Agricole.
And I am warned that my refund can take at least one month.
")</f>
        <v>Too expensive, 2 months for a refund. No faithful advantage. I strongly advise against.
I changed my insurance by fulfilling all the terms, the dates were respected. I received a letter from them that everything is in good standing. Despite all that, I am still taken a month later.
The worst part is that my bank is at Crédit Agricole.
And I am warned that my refund can take at least one month.
</v>
      </c>
    </row>
    <row r="974" ht="15.75" customHeight="1">
      <c r="A974" s="2">
        <v>3.0</v>
      </c>
      <c r="B974" s="2" t="s">
        <v>2663</v>
      </c>
      <c r="C974" s="2" t="s">
        <v>2664</v>
      </c>
      <c r="D974" s="2" t="s">
        <v>19</v>
      </c>
      <c r="E974" s="2" t="s">
        <v>20</v>
      </c>
      <c r="F974" s="2" t="s">
        <v>15</v>
      </c>
      <c r="G974" s="2" t="s">
        <v>470</v>
      </c>
      <c r="H974" s="2" t="s">
        <v>21</v>
      </c>
      <c r="I974" s="2" t="str">
        <f>IFERROR(__xludf.DUMMYFUNCTION("GOOGLETRANSLATE(C974,""fr"",""en"")"),"Hello,
Despite the COVID-19 and the reduced use of the car in 2020 and 2021, you find the way to increase the price by € 90. I am very disappointed!
")</f>
        <v>Hello,
Despite the COVID-19 and the reduced use of the car in 2020 and 2021, you find the way to increase the price by € 90. I am very disappointed!
</v>
      </c>
    </row>
    <row r="975" ht="15.75" customHeight="1">
      <c r="A975" s="2">
        <v>5.0</v>
      </c>
      <c r="B975" s="2" t="s">
        <v>2665</v>
      </c>
      <c r="C975" s="2" t="s">
        <v>2666</v>
      </c>
      <c r="D975" s="2" t="s">
        <v>35</v>
      </c>
      <c r="E975" s="2" t="s">
        <v>20</v>
      </c>
      <c r="F975" s="2" t="s">
        <v>15</v>
      </c>
      <c r="G975" s="2" t="s">
        <v>1008</v>
      </c>
      <c r="H975" s="2" t="s">
        <v>164</v>
      </c>
      <c r="I975" s="2" t="str">
        <f>IFERROR(__xludf.DUMMYFUNCTION("GOOGLETRANSLATE(C975,""fr"",""en"")"),"I am satisfied with your service and a good eCHIPE Thank you for your advice and your ECHIPE is beautiful and so easy to do on your site")</f>
        <v>I am satisfied with your service and a good eCHIPE Thank you for your advice and your ECHIPE is beautiful and so easy to do on your site</v>
      </c>
    </row>
    <row r="976" ht="15.75" customHeight="1">
      <c r="A976" s="2">
        <v>3.0</v>
      </c>
      <c r="B976" s="2" t="s">
        <v>2667</v>
      </c>
      <c r="C976" s="2" t="s">
        <v>2668</v>
      </c>
      <c r="D976" s="2" t="s">
        <v>35</v>
      </c>
      <c r="E976" s="2" t="s">
        <v>20</v>
      </c>
      <c r="F976" s="2" t="s">
        <v>15</v>
      </c>
      <c r="G976" s="2" t="s">
        <v>1143</v>
      </c>
      <c r="H976" s="2" t="s">
        <v>108</v>
      </c>
      <c r="I976" s="2" t="str">
        <f>IFERROR(__xludf.DUMMYFUNCTION("GOOGLETRANSLATE(C976,""fr"",""en"")"),"To date I am satisfied with the service with regard to the constitution of my contract.
I am waiting to see the service if necessary and the possibilities of easily reach an advisor.")</f>
        <v>To date I am satisfied with the service with regard to the constitution of my contract.
I am waiting to see the service if necessary and the possibilities of easily reach an advisor.</v>
      </c>
    </row>
    <row r="977" ht="15.75" customHeight="1">
      <c r="A977" s="2">
        <v>5.0</v>
      </c>
      <c r="B977" s="2" t="s">
        <v>2669</v>
      </c>
      <c r="C977" s="2" t="s">
        <v>2670</v>
      </c>
      <c r="D977" s="2" t="s">
        <v>43</v>
      </c>
      <c r="E977" s="2" t="s">
        <v>20</v>
      </c>
      <c r="F977" s="2" t="s">
        <v>15</v>
      </c>
      <c r="G977" s="2" t="s">
        <v>610</v>
      </c>
      <c r="H977" s="2" t="s">
        <v>74</v>
      </c>
      <c r="I977" s="2" t="str">
        <f>IFERROR(__xludf.DUMMYFUNCTION("GOOGLETRANSLATE(C977,""fr"",""en"")"),"I am satisfied with my insurance. I have been assured of GMF since 1986 without incident with a 50%bonus. The prices are correct;
I have nothing else to add.
")</f>
        <v>I am satisfied with my insurance. I have been assured of GMF since 1986 without incident with a 50%bonus. The prices are correct;
I have nothing else to add.
</v>
      </c>
    </row>
    <row r="978" ht="15.75" customHeight="1">
      <c r="A978" s="2">
        <v>5.0</v>
      </c>
      <c r="B978" s="2" t="s">
        <v>2671</v>
      </c>
      <c r="C978" s="2" t="s">
        <v>2672</v>
      </c>
      <c r="D978" s="2" t="s">
        <v>35</v>
      </c>
      <c r="E978" s="2" t="s">
        <v>20</v>
      </c>
      <c r="F978" s="2" t="s">
        <v>15</v>
      </c>
      <c r="G978" s="2" t="s">
        <v>2673</v>
      </c>
      <c r="H978" s="2" t="s">
        <v>74</v>
      </c>
      <c r="I978" s="2" t="str">
        <f>IFERROR(__xludf.DUMMYFUNCTION("GOOGLETRANSLATE(C978,""fr"",""en"")"),"Simple and effective, the olive assurance is a good insurance to start, troubleshooting is quick and easy to use, and the very competent personnel")</f>
        <v>Simple and effective, the olive assurance is a good insurance to start, troubleshooting is quick and easy to use, and the very competent personnel</v>
      </c>
    </row>
    <row r="979" ht="15.75" customHeight="1">
      <c r="A979" s="2">
        <v>2.0</v>
      </c>
      <c r="B979" s="2" t="s">
        <v>2674</v>
      </c>
      <c r="C979" s="2" t="s">
        <v>2675</v>
      </c>
      <c r="D979" s="2" t="s">
        <v>19</v>
      </c>
      <c r="E979" s="2" t="s">
        <v>20</v>
      </c>
      <c r="F979" s="2" t="s">
        <v>15</v>
      </c>
      <c r="G979" s="2" t="s">
        <v>2676</v>
      </c>
      <c r="H979" s="2" t="s">
        <v>108</v>
      </c>
      <c r="I979" s="2" t="str">
        <f>IFERROR(__xludf.DUMMYFUNCTION("GOOGLETRANSLATE(C979,""fr"",""en"")"),"I am a loyal customer and I already have two contracts at Direct Insurance and there it is my second car or three contracts (€ 2400/year) and I had no just salesperson to encourage me to stay at home.
I hope my comments will be taken into account")</f>
        <v>I am a loyal customer and I already have two contracts at Direct Insurance and there it is my second car or three contracts (€ 2400/year) and I had no just salesperson to encourage me to stay at home.
I hope my comments will be taken into account</v>
      </c>
    </row>
    <row r="980" ht="15.75" customHeight="1">
      <c r="A980" s="2">
        <v>4.0</v>
      </c>
      <c r="B980" s="2" t="s">
        <v>2677</v>
      </c>
      <c r="C980" s="2" t="s">
        <v>2678</v>
      </c>
      <c r="D980" s="2" t="s">
        <v>19</v>
      </c>
      <c r="E980" s="2" t="s">
        <v>20</v>
      </c>
      <c r="F980" s="2" t="s">
        <v>15</v>
      </c>
      <c r="G980" s="2" t="s">
        <v>2496</v>
      </c>
      <c r="H980" s="2" t="s">
        <v>164</v>
      </c>
      <c r="I980" s="2" t="str">
        <f>IFERROR(__xludf.DUMMYFUNCTION("GOOGLETRANSLATE(C980,""fr"",""en"")"),"Simple and practical, I hope that the rest of the procedure will be identical and in particular for the resoliation of my previous insurance. The proposed price seems to be Corect.")</f>
        <v>Simple and practical, I hope that the rest of the procedure will be identical and in particular for the resoliation of my previous insurance. The proposed price seems to be Corect.</v>
      </c>
    </row>
    <row r="981" ht="15.75" customHeight="1">
      <c r="A981" s="2">
        <v>5.0</v>
      </c>
      <c r="B981" s="2" t="s">
        <v>2679</v>
      </c>
      <c r="C981" s="2" t="s">
        <v>2680</v>
      </c>
      <c r="D981" s="2" t="s">
        <v>171</v>
      </c>
      <c r="E981" s="2" t="s">
        <v>14</v>
      </c>
      <c r="F981" s="2" t="s">
        <v>15</v>
      </c>
      <c r="G981" s="2" t="s">
        <v>2681</v>
      </c>
      <c r="H981" s="2" t="s">
        <v>21</v>
      </c>
      <c r="I981" s="2" t="str">
        <f>IFERROR(__xludf.DUMMYFUNCTION("GOOGLETRANSLATE(C981,""fr"",""en"")"),"I am satisfied with the service of your insurance and your prices and quite fast I thank you I await the validation of the insurance and to have the contract")</f>
        <v>I am satisfied with the service of your insurance and your prices and quite fast I thank you I await the validation of the insurance and to have the contract</v>
      </c>
    </row>
    <row r="982" ht="15.75" customHeight="1">
      <c r="A982" s="2">
        <v>5.0</v>
      </c>
      <c r="B982" s="2" t="s">
        <v>2682</v>
      </c>
      <c r="C982" s="2" t="s">
        <v>2683</v>
      </c>
      <c r="D982" s="2" t="s">
        <v>43</v>
      </c>
      <c r="E982" s="2" t="s">
        <v>20</v>
      </c>
      <c r="F982" s="2" t="s">
        <v>15</v>
      </c>
      <c r="G982" s="2" t="s">
        <v>73</v>
      </c>
      <c r="H982" s="2" t="s">
        <v>74</v>
      </c>
      <c r="I982" s="2" t="str">
        <f>IFERROR(__xludf.DUMMYFUNCTION("GOOGLETRANSLATE(C982,""fr"",""en"")"),"Too expensive in the doms
We cannot benefit from all the advantages offered to members living in France.
Some services are also inaccessible")</f>
        <v>Too expensive in the doms
We cannot benefit from all the advantages offered to members living in France.
Some services are also inaccessible</v>
      </c>
    </row>
    <row r="983" ht="15.75" customHeight="1">
      <c r="A983" s="2">
        <v>3.0</v>
      </c>
      <c r="B983" s="2" t="s">
        <v>2684</v>
      </c>
      <c r="C983" s="2" t="s">
        <v>2685</v>
      </c>
      <c r="D983" s="2" t="s">
        <v>245</v>
      </c>
      <c r="E983" s="2" t="s">
        <v>61</v>
      </c>
      <c r="F983" s="2" t="s">
        <v>15</v>
      </c>
      <c r="G983" s="2" t="s">
        <v>2686</v>
      </c>
      <c r="H983" s="2" t="s">
        <v>701</v>
      </c>
      <c r="I983" s="2" t="str">
        <f>IFERROR(__xludf.DUMMYFUNCTION("GOOGLETRANSLATE(C983,""fr"",""en"")"),"I had a question regarding remote transmission, I had Caroline on the phone and she knew how to answer my questions and my expectations very quickly. I am very satisfied")</f>
        <v>I had a question regarding remote transmission, I had Caroline on the phone and she knew how to answer my questions and my expectations very quickly. I am very satisfied</v>
      </c>
    </row>
    <row r="984" ht="15.75" customHeight="1">
      <c r="A984" s="2">
        <v>2.0</v>
      </c>
      <c r="B984" s="2" t="s">
        <v>2687</v>
      </c>
      <c r="C984" s="2" t="s">
        <v>2688</v>
      </c>
      <c r="D984" s="2" t="s">
        <v>95</v>
      </c>
      <c r="E984" s="2" t="s">
        <v>122</v>
      </c>
      <c r="F984" s="2" t="s">
        <v>15</v>
      </c>
      <c r="G984" s="2" t="s">
        <v>2689</v>
      </c>
      <c r="H984" s="2" t="s">
        <v>561</v>
      </c>
      <c r="I984" s="2" t="str">
        <f>IFERROR(__xludf.DUMMYFUNCTION("GOOGLETRANSLATE(C984,""fr"",""en"")"),"After 34 years at the MAAF, fired for loss: a burglary and a fireplace damaged by a fire !!! But I receive their 2017 wishes and advertising because they are close to me to help me solve my problems. The worst is that all the mutuals are united !!!")</f>
        <v>After 34 years at the MAAF, fired for loss: a burglary and a fireplace damaged by a fire !!! But I receive their 2017 wishes and advertising because they are close to me to help me solve my problems. The worst is that all the mutuals are united !!!</v>
      </c>
    </row>
    <row r="985" ht="15.75" customHeight="1">
      <c r="A985" s="2">
        <v>5.0</v>
      </c>
      <c r="B985" s="2" t="s">
        <v>2690</v>
      </c>
      <c r="C985" s="2" t="s">
        <v>2691</v>
      </c>
      <c r="D985" s="2" t="s">
        <v>193</v>
      </c>
      <c r="E985" s="2" t="s">
        <v>20</v>
      </c>
      <c r="F985" s="2" t="s">
        <v>15</v>
      </c>
      <c r="G985" s="2" t="s">
        <v>1005</v>
      </c>
      <c r="H985" s="2" t="s">
        <v>416</v>
      </c>
      <c r="I985" s="2" t="str">
        <f>IFERROR(__xludf.DUMMYFUNCTION("GOOGLETRANSLATE(C985,""fr"",""en"")"),"Zero blah zero hassle :)")</f>
        <v>Zero blah zero hassle :)</v>
      </c>
    </row>
    <row r="986" ht="15.75" customHeight="1">
      <c r="A986" s="2">
        <v>3.0</v>
      </c>
      <c r="B986" s="2" t="s">
        <v>2692</v>
      </c>
      <c r="C986" s="2" t="s">
        <v>2693</v>
      </c>
      <c r="D986" s="2" t="s">
        <v>19</v>
      </c>
      <c r="E986" s="2" t="s">
        <v>20</v>
      </c>
      <c r="F986" s="2" t="s">
        <v>15</v>
      </c>
      <c r="G986" s="2" t="s">
        <v>914</v>
      </c>
      <c r="H986" s="2" t="s">
        <v>32</v>
      </c>
      <c r="I986" s="2" t="str">
        <f>IFERROR(__xludf.DUMMYFUNCTION("GOOGLETRANSLATE(C986,""fr"",""en"")"),"I like the website and customer follow -up, however I find the car rates a bit too expensive. This is why I do the necessary steps to find a tariff more suited to my means.")</f>
        <v>I like the website and customer follow -up, however I find the car rates a bit too expensive. This is why I do the necessary steps to find a tariff more suited to my means.</v>
      </c>
    </row>
    <row r="987" ht="15.75" customHeight="1">
      <c r="A987" s="2">
        <v>5.0</v>
      </c>
      <c r="B987" s="2" t="s">
        <v>2694</v>
      </c>
      <c r="C987" s="2" t="s">
        <v>2695</v>
      </c>
      <c r="D987" s="2" t="s">
        <v>35</v>
      </c>
      <c r="E987" s="2" t="s">
        <v>20</v>
      </c>
      <c r="F987" s="2" t="s">
        <v>15</v>
      </c>
      <c r="G987" s="2" t="s">
        <v>1200</v>
      </c>
      <c r="H987" s="2" t="s">
        <v>164</v>
      </c>
      <c r="I987" s="2" t="str">
        <f>IFERROR(__xludf.DUMMYFUNCTION("GOOGLETRANSLATE(C987,""fr"",""en"")"),"Very good insurer, accessible platform, low price, what to ask for +? Documents sent instantly. I am delighted to have insured my vehicle at home.")</f>
        <v>Very good insurer, accessible platform, low price, what to ask for +? Documents sent instantly. I am delighted to have insured my vehicle at home.</v>
      </c>
    </row>
    <row r="988" ht="15.75" customHeight="1">
      <c r="A988" s="2">
        <v>4.0</v>
      </c>
      <c r="B988" s="2" t="s">
        <v>2696</v>
      </c>
      <c r="C988" s="2" t="s">
        <v>2697</v>
      </c>
      <c r="D988" s="2" t="s">
        <v>269</v>
      </c>
      <c r="E988" s="2" t="s">
        <v>61</v>
      </c>
      <c r="F988" s="2" t="s">
        <v>15</v>
      </c>
      <c r="G988" s="2" t="s">
        <v>270</v>
      </c>
      <c r="H988" s="2" t="s">
        <v>271</v>
      </c>
      <c r="I988" s="2" t="str">
        <f>IFERROR(__xludf.DUMMYFUNCTION("GOOGLETRANSLATE(C988,""fr"",""en"")"),"I am very happy with this mutual level guaranteed level reimbursement I am satisfied with customer service They generally answer fairly quickly")</f>
        <v>I am very happy with this mutual level guaranteed level reimbursement I am satisfied with customer service They generally answer fairly quickly</v>
      </c>
    </row>
    <row r="989" ht="15.75" customHeight="1">
      <c r="A989" s="2">
        <v>5.0</v>
      </c>
      <c r="B989" s="2" t="s">
        <v>2698</v>
      </c>
      <c r="C989" s="2" t="s">
        <v>2699</v>
      </c>
      <c r="D989" s="2" t="s">
        <v>86</v>
      </c>
      <c r="E989" s="2" t="s">
        <v>61</v>
      </c>
      <c r="F989" s="2" t="s">
        <v>15</v>
      </c>
      <c r="G989" s="2" t="s">
        <v>2700</v>
      </c>
      <c r="H989" s="2" t="s">
        <v>491</v>
      </c>
      <c r="I989" s="2" t="str">
        <f>IFERROR(__xludf.DUMMYFUNCTION("GOOGLETRANSLATE(C989,""fr"",""en"")"),"Being at this mutual since 2013 I am very satisfied with it")</f>
        <v>Being at this mutual since 2013 I am very satisfied with it</v>
      </c>
    </row>
    <row r="990" ht="15.75" customHeight="1">
      <c r="A990" s="2">
        <v>2.0</v>
      </c>
      <c r="B990" s="2" t="s">
        <v>2701</v>
      </c>
      <c r="C990" s="2" t="s">
        <v>2702</v>
      </c>
      <c r="D990" s="2" t="s">
        <v>95</v>
      </c>
      <c r="E990" s="2" t="s">
        <v>20</v>
      </c>
      <c r="F990" s="2" t="s">
        <v>15</v>
      </c>
      <c r="G990" s="2" t="s">
        <v>1255</v>
      </c>
      <c r="H990" s="2" t="s">
        <v>332</v>
      </c>
      <c r="I990" s="2" t="str">
        <f>IFERROR(__xludf.DUMMYFUNCTION("GOOGLETRANSLATE(C990,""fr"",""en"")"),"Disappointed with my insurance at home, bad explanations on contracts and moments to terminate contracts")</f>
        <v>Disappointed with my insurance at home, bad explanations on contracts and moments to terminate contracts</v>
      </c>
    </row>
    <row r="991" ht="15.75" customHeight="1">
      <c r="A991" s="2">
        <v>2.0</v>
      </c>
      <c r="B991" s="2" t="s">
        <v>2703</v>
      </c>
      <c r="C991" s="2" t="s">
        <v>2704</v>
      </c>
      <c r="D991" s="2" t="s">
        <v>285</v>
      </c>
      <c r="E991" s="2" t="s">
        <v>20</v>
      </c>
      <c r="F991" s="2" t="s">
        <v>15</v>
      </c>
      <c r="G991" s="2" t="s">
        <v>545</v>
      </c>
      <c r="H991" s="2" t="s">
        <v>271</v>
      </c>
      <c r="I991" s="2" t="str">
        <f>IFERROR(__xludf.DUMMYFUNCTION("GOOGLETRANSLATE(C991,""fr"",""en"")"),"An accident company vehicle and ensure any risk, the expert is against the said of the company, after multiple telephone exchange they say to me: bring your expert coming and if he says as you will intervene another (so the Deadlines take place over sever"&amp;"al months and hundreds of euros) I need my vehicle and I have less money than this big group ... In short I want to leave the Macif I ask for an info statement And the I realize that this accident is declaring 100% wrong and he inflicted me from the penal"&amp;"us I call my advisor to complain
It's not my problem it's not my fault I don't have time to gour it
")</f>
        <v>An accident company vehicle and ensure any risk, the expert is against the said of the company, after multiple telephone exchange they say to me: bring your expert coming and if he says as you will intervene another (so the Deadlines take place over several months and hundreds of euros) I need my vehicle and I have less money than this big group ... In short I want to leave the Macif I ask for an info statement And the I realize that this accident is declaring 100% wrong and he inflicted me from the penalus I call my advisor to complain
It's not my problem it's not my fault I don't have time to gour it
</v>
      </c>
    </row>
    <row r="992" ht="15.75" customHeight="1">
      <c r="A992" s="2">
        <v>5.0</v>
      </c>
      <c r="B992" s="2" t="s">
        <v>2705</v>
      </c>
      <c r="C992" s="2" t="s">
        <v>2706</v>
      </c>
      <c r="D992" s="2" t="s">
        <v>171</v>
      </c>
      <c r="E992" s="2" t="s">
        <v>14</v>
      </c>
      <c r="F992" s="2" t="s">
        <v>15</v>
      </c>
      <c r="G992" s="2" t="s">
        <v>582</v>
      </c>
      <c r="H992" s="2" t="s">
        <v>32</v>
      </c>
      <c r="I992" s="2" t="str">
        <f>IFERROR(__xludf.DUMMYFUNCTION("GOOGLETRANSLATE(C992,""fr"",""en"")"),"Very correct price I find this great insurance I don't find less dear a friend to advise me I don't regret at all on the contrary")</f>
        <v>Very correct price I find this great insurance I don't find less dear a friend to advise me I don't regret at all on the contrary</v>
      </c>
    </row>
    <row r="993" ht="15.75" customHeight="1">
      <c r="A993" s="2">
        <v>5.0</v>
      </c>
      <c r="B993" s="2" t="s">
        <v>2707</v>
      </c>
      <c r="C993" s="2" t="s">
        <v>2708</v>
      </c>
      <c r="D993" s="2" t="s">
        <v>77</v>
      </c>
      <c r="E993" s="2" t="s">
        <v>61</v>
      </c>
      <c r="F993" s="2" t="s">
        <v>15</v>
      </c>
      <c r="G993" s="2" t="s">
        <v>1262</v>
      </c>
      <c r="H993" s="2" t="s">
        <v>16</v>
      </c>
      <c r="I993" s="2" t="str">
        <f>IFERROR(__xludf.DUMMYFUNCTION("GOOGLETRANSLATE(C993,""fr"",""en"")"),"I am more than satisfied with this mutual. The advisers are always kind and attentive. They respond very quickly and the information is processed quickly.")</f>
        <v>I am more than satisfied with this mutual. The advisers are always kind and attentive. They respond very quickly and the information is processed quickly.</v>
      </c>
    </row>
    <row r="994" ht="15.75" customHeight="1">
      <c r="A994" s="2">
        <v>5.0</v>
      </c>
      <c r="B994" s="2" t="s">
        <v>2709</v>
      </c>
      <c r="C994" s="2" t="s">
        <v>2710</v>
      </c>
      <c r="D994" s="2" t="s">
        <v>193</v>
      </c>
      <c r="E994" s="2" t="s">
        <v>122</v>
      </c>
      <c r="F994" s="2" t="s">
        <v>15</v>
      </c>
      <c r="G994" s="2" t="s">
        <v>455</v>
      </c>
      <c r="H994" s="2" t="s">
        <v>297</v>
      </c>
      <c r="I994" s="2" t="str">
        <f>IFERROR(__xludf.DUMMYFUNCTION("GOOGLETRANSLATE(C994,""fr"",""en"")"),"For my part, I am satisfied. I treat directly with my local agency (whether by phone or email), the staff are nice, accommodating and competent. I have a disaster on bodily, everything was managed. I think it is preferable to deal with a local agency rath"&amp;"er than calling advisers to the headquarters where the relationship is impersonal and where we chat with advisers who only phoning all day. They seem tired and ultimately offer a lower service")</f>
        <v>For my part, I am satisfied. I treat directly with my local agency (whether by phone or email), the staff are nice, accommodating and competent. I have a disaster on bodily, everything was managed. I think it is preferable to deal with a local agency rather than calling advisers to the headquarters where the relationship is impersonal and where we chat with advisers who only phoning all day. They seem tired and ultimately offer a lower service</v>
      </c>
    </row>
    <row r="995" ht="15.75" customHeight="1">
      <c r="A995" s="2">
        <v>3.0</v>
      </c>
      <c r="B995" s="2" t="s">
        <v>2711</v>
      </c>
      <c r="C995" s="2" t="s">
        <v>2712</v>
      </c>
      <c r="D995" s="2" t="s">
        <v>56</v>
      </c>
      <c r="E995" s="2" t="s">
        <v>122</v>
      </c>
      <c r="F995" s="2" t="s">
        <v>15</v>
      </c>
      <c r="G995" s="2" t="s">
        <v>2713</v>
      </c>
      <c r="H995" s="2" t="s">
        <v>534</v>
      </c>
      <c r="I995" s="2" t="str">
        <f>IFERROR(__xludf.DUMMYFUNCTION("GOOGLETRANSLATE(C995,""fr"",""en"")"),"Strange clauses. For example, I lend my house to one of my uncles so that he could watch TV on the big screen, we were expected for an evening and we had to be absent, he noticed a trace on the screen and tried to 'Remove with a magic sponge, catastrophic"&amp;" result. Pacifica does not support the transfer of responsibility, or something in the genre. We would have been there, no worries, go to understand. Read well between the lines ... I have been a CRCA customer since 1988 and will remain at GMF for insuran"&amp;"ce and they do not have this wacky clause.")</f>
        <v>Strange clauses. For example, I lend my house to one of my uncles so that he could watch TV on the big screen, we were expected for an evening and we had to be absent, he noticed a trace on the screen and tried to 'Remove with a magic sponge, catastrophic result. Pacifica does not support the transfer of responsibility, or something in the genre. We would have been there, no worries, go to understand. Read well between the lines ... I have been a CRCA customer since 1988 and will remain at GMF for insurance and they do not have this wacky clause.</v>
      </c>
    </row>
    <row r="996" ht="15.75" customHeight="1">
      <c r="A996" s="2">
        <v>3.0</v>
      </c>
      <c r="B996" s="2" t="s">
        <v>2714</v>
      </c>
      <c r="C996" s="2" t="s">
        <v>2715</v>
      </c>
      <c r="D996" s="2" t="s">
        <v>48</v>
      </c>
      <c r="E996" s="2" t="s">
        <v>14</v>
      </c>
      <c r="F996" s="2" t="s">
        <v>15</v>
      </c>
      <c r="G996" s="2" t="s">
        <v>66</v>
      </c>
      <c r="H996" s="2" t="s">
        <v>45</v>
      </c>
      <c r="I996" s="2" t="str">
        <f>IFERROR(__xludf.DUMMYFUNCTION("GOOGLETRANSLATE(C996,""fr"",""en"")"),"The service is quality with a well -maintained and very clear site. However, for a young person with little car and motorcycle experience, the monthly payments are quite high.
 ")</f>
        <v>The service is quality with a well -maintained and very clear site. However, for a young person with little car and motorcycle experience, the monthly payments are quite high.
 </v>
      </c>
    </row>
    <row r="997" ht="15.75" customHeight="1">
      <c r="A997" s="2">
        <v>5.0</v>
      </c>
      <c r="B997" s="2" t="s">
        <v>2716</v>
      </c>
      <c r="C997" s="2" t="s">
        <v>2717</v>
      </c>
      <c r="D997" s="2" t="s">
        <v>48</v>
      </c>
      <c r="E997" s="2" t="s">
        <v>14</v>
      </c>
      <c r="F997" s="2" t="s">
        <v>15</v>
      </c>
      <c r="G997" s="2" t="s">
        <v>123</v>
      </c>
      <c r="H997" s="2" t="s">
        <v>116</v>
      </c>
      <c r="I997" s="2" t="str">
        <f>IFERROR(__xludf.DUMMYFUNCTION("GOOGLETRANSLATE(C997,""fr"",""en"")"),"Easy to contract via the Internet, very competitive price. Fast followed. Documents sent in the days that follow, recommends for car or motorcycle.")</f>
        <v>Easy to contract via the Internet, very competitive price. Fast followed. Documents sent in the days that follow, recommends for car or motorcycle.</v>
      </c>
    </row>
    <row r="998" ht="15.75" customHeight="1">
      <c r="A998" s="2">
        <v>4.0</v>
      </c>
      <c r="B998" s="2" t="s">
        <v>2718</v>
      </c>
      <c r="C998" s="2" t="s">
        <v>2719</v>
      </c>
      <c r="D998" s="2" t="s">
        <v>43</v>
      </c>
      <c r="E998" s="2" t="s">
        <v>20</v>
      </c>
      <c r="F998" s="2" t="s">
        <v>15</v>
      </c>
      <c r="G998" s="2" t="s">
        <v>1760</v>
      </c>
      <c r="H998" s="2" t="s">
        <v>45</v>
      </c>
      <c r="I998" s="2" t="str">
        <f>IFERROR(__xludf.DUMMYFUNCTION("GOOGLETRANSLATE(C998,""fr"",""en"")"),"I am satisfied with the service: I had to contact the GMF recently for a disaster and the case was treated quickly by my interlocutor on the phone.")</f>
        <v>I am satisfied with the service: I had to contact the GMF recently for a disaster and the case was treated quickly by my interlocutor on the phone.</v>
      </c>
    </row>
    <row r="999" ht="15.75" customHeight="1">
      <c r="A999" s="2">
        <v>1.0</v>
      </c>
      <c r="B999" s="2" t="s">
        <v>2720</v>
      </c>
      <c r="C999" s="2" t="s">
        <v>2721</v>
      </c>
      <c r="D999" s="2" t="s">
        <v>366</v>
      </c>
      <c r="E999" s="2" t="s">
        <v>214</v>
      </c>
      <c r="F999" s="2" t="s">
        <v>15</v>
      </c>
      <c r="G999" s="2" t="s">
        <v>82</v>
      </c>
      <c r="H999" s="2" t="s">
        <v>83</v>
      </c>
      <c r="I999" s="2" t="str">
        <f>IFERROR(__xludf.DUMMYFUNCTION("GOOGLETRANSLATE(C999,""fr"",""en"")"),"Hello
I have stopped for more than three months and still no news from Allianz.
The worst insurance on the market. I will terminate all my contracts (housing, vehicles, mutuals for employees, multi -risk contracts for businesses ....)")</f>
        <v>Hello
I have stopped for more than three months and still no news from Allianz.
The worst insurance on the market. I will terminate all my contracts (housing, vehicles, mutuals for employees, multi -risk contracts for businesses ....)</v>
      </c>
    </row>
    <row r="1000" ht="15.75" customHeight="1">
      <c r="A1000" s="2">
        <v>1.0</v>
      </c>
      <c r="B1000" s="2" t="s">
        <v>2722</v>
      </c>
      <c r="C1000" s="2" t="s">
        <v>2723</v>
      </c>
      <c r="D1000" s="2" t="s">
        <v>193</v>
      </c>
      <c r="E1000" s="2" t="s">
        <v>122</v>
      </c>
      <c r="F1000" s="2" t="s">
        <v>15</v>
      </c>
      <c r="G1000" s="2" t="s">
        <v>2195</v>
      </c>
      <c r="H1000" s="2" t="s">
        <v>92</v>
      </c>
      <c r="I1000" s="2" t="str">
        <f>IFERROR(__xludf.DUMMYFUNCTION("GOOGLETRANSLATE(C1000,""fr"",""en"")"),"Following a water damage I have been waiting for more than 3 months.
And each time I had to call to advance the file and since 12/26/2020 I am waiting for the Matmut to reimburse me. And still nothing.
No seriousness in the processing of files to flee")</f>
        <v>Following a water damage I have been waiting for more than 3 months.
And each time I had to call to advance the file and since 12/26/2020 I am waiting for the Matmut to reimburse me. And still nothing.
No seriousness in the processing of files to flee</v>
      </c>
    </row>
    <row r="1001" ht="15.75" customHeight="1">
      <c r="A1001" s="2">
        <v>5.0</v>
      </c>
      <c r="B1001" s="2" t="s">
        <v>2724</v>
      </c>
      <c r="C1001" s="2" t="s">
        <v>2725</v>
      </c>
      <c r="D1001" s="2" t="s">
        <v>171</v>
      </c>
      <c r="E1001" s="2" t="s">
        <v>14</v>
      </c>
      <c r="F1001" s="2" t="s">
        <v>15</v>
      </c>
      <c r="G1001" s="2" t="s">
        <v>1057</v>
      </c>
      <c r="H1001" s="2" t="s">
        <v>108</v>
      </c>
      <c r="I1001" s="2" t="str">
        <f>IFERROR(__xludf.DUMMYFUNCTION("GOOGLETRANSLATE(C1001,""fr"",""en"")"),"Very satisfied, this is the third vehicle insured at April Moto Moto
Very competitive rates, speed of online procedures. Easy to use site.")</f>
        <v>Very satisfied, this is the third vehicle insured at April Moto Moto
Very competitive rates, speed of online procedures. Easy to use site.</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2022-12-16T15:48:24Z</dcterms:created>
</cp:coreProperties>
</file>