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lrWlvEuvXO54ChNCJziq1j6novA=="/>
    </ext>
  </extLst>
</workbook>
</file>

<file path=xl/sharedStrings.xml><?xml version="1.0" encoding="utf-8"?>
<sst xmlns="http://schemas.openxmlformats.org/spreadsheetml/2006/main" count="7011" uniqueCount="2712">
  <si>
    <t>note</t>
  </si>
  <si>
    <t>auteur</t>
  </si>
  <si>
    <t>avis</t>
  </si>
  <si>
    <t>assureur</t>
  </si>
  <si>
    <t>produit</t>
  </si>
  <si>
    <t>type</t>
  </si>
  <si>
    <t>date_publication</t>
  </si>
  <si>
    <t>date_exp</t>
  </si>
  <si>
    <t>avis_en</t>
  </si>
  <si>
    <t>avis_cor</t>
  </si>
  <si>
    <t>avis_cor_en</t>
  </si>
  <si>
    <t>txingi-137669</t>
  </si>
  <si>
    <t xml:space="preserve"> Ayant des difficultés pour transmettre un document pour un remboursement, j'ai demandé une assistance téléphonique. Votre conseillère Madame Widad a été très disponible, patiente avec une personne âgée comme moi et extrêmement efficace et sympathique.
Si jamais j'avais besoin d'autres renseignements j'aimerais l'avoir au bout du fil encore une fois ...</t>
  </si>
  <si>
    <t>Santiane</t>
  </si>
  <si>
    <t>sante</t>
  </si>
  <si>
    <t>train</t>
  </si>
  <si>
    <t>18/10/2021</t>
  </si>
  <si>
    <t>01/10/2021</t>
  </si>
  <si>
    <t>edouard-s-106206</t>
  </si>
  <si>
    <t>Je suis satisfait du niveau d’assurance garantit ainsi que du prix. J'attends de direct assurance de la réactivité et un bon niveau de support en cas de besoin.</t>
  </si>
  <si>
    <t>Direct Assurance</t>
  </si>
  <si>
    <t>auto</t>
  </si>
  <si>
    <t>11/03/2021</t>
  </si>
  <si>
    <t>01/03/2021</t>
  </si>
  <si>
    <t>ben-69783</t>
  </si>
  <si>
    <t>Aucun remboursement depuis octobre 2017. Aprés nous avoir demandé une attestation de droits, il faut que j'envoies tous les décomptes de la S</t>
  </si>
  <si>
    <t>APRIL</t>
  </si>
  <si>
    <t>31/12/2018</t>
  </si>
  <si>
    <t>01/12/2018</t>
  </si>
  <si>
    <t>pmkuma-91489</t>
  </si>
  <si>
    <t>Je suis satisfait du service de devis, simple et efficace! Les prix semble compétitif à vérifier après d’autre devis. Assurance dans l’ensemble attrayante.</t>
  </si>
  <si>
    <t>18/06/2020</t>
  </si>
  <si>
    <t>01/06/2020</t>
  </si>
  <si>
    <t>rochon-97382</t>
  </si>
  <si>
    <t xml:space="preserve">Dans mon contrat d assurance auto il est convenu un prêt de véhicule de 30 jours hors durant les 15 jours de réparation de notre auto pas de voiture de prêt nous demandons une remise commerciale sur la franc ho de et on nous dis non Niet car vous êtes responsable honte à vous </t>
  </si>
  <si>
    <t>GMF</t>
  </si>
  <si>
    <t>14/09/2020</t>
  </si>
  <si>
    <t>01/09/2020</t>
  </si>
  <si>
    <t>k-roline-61713</t>
  </si>
  <si>
    <t>Méthode de rabattage mensongère. Attention aux fausses informations sur les remboursements</t>
  </si>
  <si>
    <t>MGP</t>
  </si>
  <si>
    <t>24/02/2018</t>
  </si>
  <si>
    <t>01/02/2018</t>
  </si>
  <si>
    <t>soukaina-e-125929</t>
  </si>
  <si>
    <t xml:space="preserve">Je suis totalement satisfaite du service ainsi que du prix.
SERVICE simple rapide et efficace.
Questionnaire un peu long tout de même. 
Je suis prête à recommander mon entourage pour direct assurance. </t>
  </si>
  <si>
    <t>01/08/2021</t>
  </si>
  <si>
    <t>nicole-b-126224</t>
  </si>
  <si>
    <t>L'accueil téléphonique est satisfaisant, dommage que l'on ne puisse pas tout régler par mail, qu'il faille passer par le téléphone essentiellement pour le paiement.</t>
  </si>
  <si>
    <t>03/08/2021</t>
  </si>
  <si>
    <t>manuel-a-127050</t>
  </si>
  <si>
    <t>Les prix me conviennent et la souscription au contrat pour ma voiture est très rapide, maintenant 0 voir le suivi et le service sur le long terme.....</t>
  </si>
  <si>
    <t>08/08/2021</t>
  </si>
  <si>
    <t>bruno-h-105279</t>
  </si>
  <si>
    <t xml:space="preserve">Facile d'accès, nouveau sur le site et  comme client ;
Je ne peux pas me prononcer cela ne serait pas correcte.
On verra dans quelque mois , j'espère ne pas mettre trompé. </t>
  </si>
  <si>
    <t>03/03/2021</t>
  </si>
  <si>
    <t>yassine-k-112498</t>
  </si>
  <si>
    <t xml:space="preserve">Je  ne suis absolument pas satisfait du service de direct assurance. aucun de vos collaborateurs n'est compétent ni professionnelle. j'attends d'être rappelé depuis 1 semaine par un responsable. </t>
  </si>
  <si>
    <t>03/05/2021</t>
  </si>
  <si>
    <t>01/05/2021</t>
  </si>
  <si>
    <t>william-f-115020</t>
  </si>
  <si>
    <t>1°) J'attends toujours les 40 euros "promis" pour mon parrainage  2°) j'ai résilié mon contrat Mercedes pour augmentation abusive de son tarif sans raison... et j'en ferai autant pour ce qui concerne l'Audi</t>
  </si>
  <si>
    <t>27/05/2021</t>
  </si>
  <si>
    <t>mmenault-107996</t>
  </si>
  <si>
    <t xml:space="preserve">Assurance peu cher, service client compétent et efficace. Site internet ergonomique et pratique quant à l'envoi de documents. La signature du contrat et la réception de la carte verte est très rapide et efficace </t>
  </si>
  <si>
    <t>L'olivier Assurance</t>
  </si>
  <si>
    <t>25/03/2021</t>
  </si>
  <si>
    <t>marco-117354</t>
  </si>
  <si>
    <t>LE 17.06.2021
Bien content pour le moment d'avoir pris cette Mutuel, le personnel est agréable avec un bon sens relationnel et professionnel. Mon intervention de ce jour avec NISRINE à été concluant.</t>
  </si>
  <si>
    <t>Néoliane Santé</t>
  </si>
  <si>
    <t>17/06/2021</t>
  </si>
  <si>
    <t>01/06/2021</t>
  </si>
  <si>
    <t>dorey-s-130309</t>
  </si>
  <si>
    <t>Excellent contact et proposition de service La conseillère est très professionnelle et a répondu à l'ensemble de mes questions. L'offre est performante en comparaison d'autres acteurs. Service efficace et diligent.</t>
  </si>
  <si>
    <t>Carac</t>
  </si>
  <si>
    <t>prevoyance</t>
  </si>
  <si>
    <t>30/08/2021</t>
  </si>
  <si>
    <t>arnaud-c-139547</t>
  </si>
  <si>
    <t>Accueil téléphonique sympathique avec un conseiller (Hamza) agréable et compréhensif. 
Les prix de basent sont assez corrects mais le prix des options est élevé..</t>
  </si>
  <si>
    <t>APRIL Moto</t>
  </si>
  <si>
    <t>moto</t>
  </si>
  <si>
    <t>13/11/2021</t>
  </si>
  <si>
    <t>01/11/2021</t>
  </si>
  <si>
    <t>david-r-127515</t>
  </si>
  <si>
    <t>Très satisfait très assurances rapide et simple d'utilisation response rapide conseiller très aimable j'ai obtenu mon devis assez vite et sinople a rempli ma demande</t>
  </si>
  <si>
    <t>11/08/2021</t>
  </si>
  <si>
    <t>christopher-w-133354</t>
  </si>
  <si>
    <t>Parfait, les prix sont bien en fonction de l’âge, rapide, j’ai fais l’inscription seul sur internet, tout est bien indiqué et clair. En 10min j’étais assuré.</t>
  </si>
  <si>
    <t>AMV</t>
  </si>
  <si>
    <t>18/09/2021</t>
  </si>
  <si>
    <t>01/09/2021</t>
  </si>
  <si>
    <t>soufyane-r-132735</t>
  </si>
  <si>
    <t>Je suis satisfait du service et des prix.
Je suis aller voir un autre assureur et me voilà de retour :)
Vous êtes réactifs et votre site et ergonomique.</t>
  </si>
  <si>
    <t>14/09/2021</t>
  </si>
  <si>
    <t>domy-78717</t>
  </si>
  <si>
    <t>Bonjour à tous
Moi je suis nouvelle cliente  et comme une personne précédemment j'ai eu pratiquement le même soucis un  Vol de voiture. Au début pas de soucis envoi rapide de papiers pour faire ma déclaration Depuis un plus d'un mois maintenant je pensais que dernièrement après avoir eu l expert et mettre renseigné auprès de mon assurance la Matmut, qui me dit être assurée pendant 3 ans pour vol ou accident au montant de la facture dubvéhicule. Au bout de 10 jours je reçois un mail qui m'explique que mon dossier est envoyé au siège pour voir si il ni a pas eu éffraction et voir du même coup mon procès verbal Alors que mon véhicule n'a pas été retrouvé j en ai eu la certitude car les gendarmes m'ont contactées, comment peut on conclure à une effraction.Donc encore du retard pour avoir un véhicule ce qui va me poser d'énormes problèmes quand je n'aurais plus le prêt de véhicule sachant que je suis Auxiliaire de vie,la voiture est on outil de travail quotidien. 
Autant dire que toutes les raisons sont bonnes pour la Matmut de ne pas respecter leurs contrats pourtant il me semble sue ce n'est pas gratuit  donc très très déçue
Et ne parlons du nombres de fois que j'ai dû les contacter par téléphone, car il leurs manquait soit disant des papiers qu'ils avaient reçu en doubles exemplaires
Pour l'instant je ne pense pas beaucoup de bien de la Matmut</t>
  </si>
  <si>
    <t>Matmut</t>
  </si>
  <si>
    <t>27/08/2019</t>
  </si>
  <si>
    <t>01/08/2019</t>
  </si>
  <si>
    <t>stef56-88821</t>
  </si>
  <si>
    <t>Cette assurance est un scandale absolu ! La GMF, une "assurance"... tant qu'on a pas besoin d'assurance ! 16 ans chez eux, bonus de 0.50 acquis de manière définitive et paf : deux sinistres non-responsables en 18 mois... Résultat : radiation ! A quoi sert cette assurance ??? Elle ne convient qu'aux client n'ayant jamais de sinistres... Dès qu'on a besoin d'eux, ils vous radient. Bonjour la logique absurde ! Comme le dit parfaitement "60 millions de consommateurs", la GMF est coutumière du fait. Bref, à éviter...</t>
  </si>
  <si>
    <t>10/04/2020</t>
  </si>
  <si>
    <t>01/04/2020</t>
  </si>
  <si>
    <t>marine-las-135186</t>
  </si>
  <si>
    <t xml:space="preserve">Une assurance qui vous attire avec des prix agressifs et bas par rapport aux autres compagnies d’assurances... mais après à peine 15 jours de contrat, vous avez déjà plein de mauvaises surprises. Les prix varient très vite des que vous voulez ajouter une simple option. Donc finalement les prix ne sont pas si intéressants. </t>
  </si>
  <si>
    <t>30/09/2021</t>
  </si>
  <si>
    <t>maxime-e-114992</t>
  </si>
  <si>
    <t xml:space="preserve">Simple et rapide à mettre en place, prix correct mais concernant les garanties cela reste flou. Un conseiller étrange m’a contacté et il ne m’inspirait pas confiance. </t>
  </si>
  <si>
    <t>mimi86-52526</t>
  </si>
  <si>
    <t>rien a dire ils ont le rapport qualité prix, je suis cliente chez eux ça fait 7ans et j'ai 6 animaux 4 chiens et 2 chats, je ne vois pas pourquoi les gens s'amusent a dire n'importe quoi juste pour casser l'image d'une société</t>
  </si>
  <si>
    <t>Eca Assurances</t>
  </si>
  <si>
    <t>animaux</t>
  </si>
  <si>
    <t>17/02/2017</t>
  </si>
  <si>
    <t>01/02/2017</t>
  </si>
  <si>
    <t>jpd-72167</t>
  </si>
  <si>
    <t xml:space="preserve">bonjour je suis très satisfait de l'assureur i'olivier assurance auto je pense même prendre d'autre contras </t>
  </si>
  <si>
    <t>14/03/2019</t>
  </si>
  <si>
    <t>01/03/2019</t>
  </si>
  <si>
    <t>daniel-59994</t>
  </si>
  <si>
    <t xml:space="preserve">en août 2017 j'ai été victime d'un accident dont ma responsabilité n'a pas été engagée. après d’innombrables emails et appels téléphoniques j'ai obtenu 3 mois après un remboursement partiel des réparations. AXA a déduit sans aucune explication le montant de la franchise soit 280 euros. depuis AXA reste sourd à mes relances </t>
  </si>
  <si>
    <t>AXA</t>
  </si>
  <si>
    <t>28/12/2017</t>
  </si>
  <si>
    <t>01/12/2017</t>
  </si>
  <si>
    <t>thomasi-e-114645</t>
  </si>
  <si>
    <t>les prix sont assez convenables. mais l'accueil téléphonique rien à dire.
je ne suis pas obligée de mettre un avis si je n'ai rien à dire. merci bien.</t>
  </si>
  <si>
    <t>23/05/2021</t>
  </si>
  <si>
    <t>cmft-86882</t>
  </si>
  <si>
    <t>J'aurais aimé pouvoir mettre 0 en qualité de service et relation client. Inexistante à la limite du mépris. Compte tenu du prix par rapport au marché on s'attend à une qualité de service. A éviter</t>
  </si>
  <si>
    <t>08/02/2020</t>
  </si>
  <si>
    <t>01/02/2020</t>
  </si>
  <si>
    <t>vitali--105694</t>
  </si>
  <si>
    <t xml:space="preserve">Je déplore l absence de prise en charge des dépassements d honoraires quels qu ils soient 
J'ai eu un cancer et suis de ce fait à 100% pour tout ce qui relève de la gynécologie hors les dépassements d honoraires dans cette rubrique ne sont pas pris en charge </t>
  </si>
  <si>
    <t>06/03/2021</t>
  </si>
  <si>
    <t>berlioz-138819</t>
  </si>
  <si>
    <t>Assurance santé  nulle .ne rembourse pas les lunettes si vous ne prenez  la nouvelle la du remboursement  intégral  cela veut une monture affreuse et des verres qui ne sont pas adaptés  à votre vue .fuyez  cette mutuelle  .j aurais dû  croire les avis me disant de la fuir.c est bien une mutuelle  à fuir</t>
  </si>
  <si>
    <t>Cegema Assurances</t>
  </si>
  <si>
    <t>03/11/2021</t>
  </si>
  <si>
    <t>briffaux-m-122456</t>
  </si>
  <si>
    <t>Pour l'instant un 0 fautes pour l'ensemble des services à la souscription du contrat auto.
Prix compétitifs, remise si paiement annuel, possibilité de rajouter des options, comparaison des différents types de couvertures possibles, accueil très aimable et compétent, devis rapide et souscription qui suit, procédure très simple et rapide. 
Très grande fluidité dans les différentes étapes de la souscription. Belle découverte.
A voir avec l'usage maintenant. Mais cela démarre très très bien.</t>
  </si>
  <si>
    <t>05/07/2021</t>
  </si>
  <si>
    <t>01/07/2021</t>
  </si>
  <si>
    <t>nono88-130391</t>
  </si>
  <si>
    <t xml:space="preserve">J'ai été trés satisfait de mon assureur  La Macif
Au niveau du prix ,je n'ai rien à rajouter
La qualité des services sont d'un haut niveau
A la Macif,les interlocuteurs sont trés courtois,que ce soit à l'agence ou au téléphone
J'ai toujours obtenu des réponses,rapide,claires et précises à mes demande
</t>
  </si>
  <si>
    <t>MACIF</t>
  </si>
  <si>
    <t>31/08/2021</t>
  </si>
  <si>
    <t>mylene-52786</t>
  </si>
  <si>
    <t>Personnellement je suis tres satisfaite le personnel est tres aimable aucun probleme</t>
  </si>
  <si>
    <t>27/02/2017</t>
  </si>
  <si>
    <t>clement-m-124982</t>
  </si>
  <si>
    <t xml:space="preserve">Gros problème sur le contrat souscrit sur le vehicule KIA NIRO : devis accepté puis annulé et résilié 4 jours après : paiement effectué aucun remboursement reçu inadmissible  </t>
  </si>
  <si>
    <t>27/07/2021</t>
  </si>
  <si>
    <t>chambers-v-134886</t>
  </si>
  <si>
    <t>Je suis très satisfaite du service client, de l'écoute, de la rapidité et des prix plus bas par rapport à mon ancienne assurance.  Je recommande L'olivier assurance .</t>
  </si>
  <si>
    <t>28/09/2021</t>
  </si>
  <si>
    <t>verone-40371</t>
  </si>
  <si>
    <t>Souscription d'un contrat d'assurance habitation et auto (peugeot 207 premiere main de 2008), assurer chez EUROFIL voila déja 8 ans, conducteur exemplaire ayant zéro sinistre depuis tous ce temps, possesion du permis obtenu en 1988(30 ans), bonus 50% ( en 2001).
Reçu a ce jour mon avis d'échéance avec tenez vous bien une augmentation de ma prime auto de 10%( 9 fois plus que l'inflation)???.
Déja que l'année derniere celle ci avait bondit de plus de 41%( OUI VOUS AVEZ BIEN LU), naturellement pour maintenir ma cotisation de 2017 au niveau des années précédentes j'avais du raboter ma prime d'assurance auto( plus de bris de glace, indemnisation protection conducteur diviser par 2).........AU SECOUUUUUUUUUUURS.</t>
  </si>
  <si>
    <t>Eurofil</t>
  </si>
  <si>
    <t>10/12/2017</t>
  </si>
  <si>
    <t>riri-65353</t>
  </si>
  <si>
    <t xml:space="preserve">Le Gan change sans cesse de procédure sans en informer le bénéficiaire. en invalidité depuis des années, il y a des oublis de paiement.
</t>
  </si>
  <si>
    <t>Gan</t>
  </si>
  <si>
    <t>09/07/2018</t>
  </si>
  <si>
    <t>01/07/2018</t>
  </si>
  <si>
    <t>ismael-b-113563</t>
  </si>
  <si>
    <t xml:space="preserve">Je suis ravi le rapport qualité prix est redoutable sur les contrat d'assurance est top, reste à voir si en cas sinistre l'assurance est efficace et réactive </t>
  </si>
  <si>
    <t>12/05/2021</t>
  </si>
  <si>
    <t>tatootyson-54382</t>
  </si>
  <si>
    <t>Bonne compagnie au niveau des garanties, mais malgré plus de 10 années comme client sans sinistre, les primes augmentent tous les ans, ce qui n'est pas un agissement pour fidéliser les clients.</t>
  </si>
  <si>
    <t>30/04/2017</t>
  </si>
  <si>
    <t>01/04/2017</t>
  </si>
  <si>
    <t>jean-pierre-m-107338</t>
  </si>
  <si>
    <t xml:space="preserve">je suis satisfait du prix je recommanderait direct assurance a des amies  et je pense que je vait assurait ma maison aussi  en plus si je trouve des amie le parrain a 20 euros et le filleul aussi </t>
  </si>
  <si>
    <t>21/03/2021</t>
  </si>
  <si>
    <t>djo-133988</t>
  </si>
  <si>
    <t>Je trouve les cotisations particulièrement élevés. A côté les niveaux de remboursement dans certains secteurs clef ( dentaire, ophtalmologie) sont assez bas.</t>
  </si>
  <si>
    <t>22/09/2021</t>
  </si>
  <si>
    <t>patrick-l-111055</t>
  </si>
  <si>
    <t xml:space="preserve">Mon avis sur Direct assurance, très décevant, que j'ai signalé à une association de défense des consommateurs.
D'autre part, si vous les appeler, vos tombez sur une plateforme on ne sait où, et les personnes que vous avez au bout du fil, soit sont incapables de comprendre votre demande, soit vous donnent des informations différentes selon celles qui vous répondent. Et finalement, leurs tarifs ne sont pas plus intéressants, voir plus chers, que chez d'autres assureurs, et il est préférable de s'adresser à un assureur disposant d'une agence. Le contact en est fortement facilité.
En conséquence, je les ai quittés et je suis allé m'assurer ailleurs.
J'espère que cet avis sera diffusé auprès d'autres consommateurs, afin qu'ils ne fassent pas avoir comme cela m'est arrivé.
</t>
  </si>
  <si>
    <t>20/04/2021</t>
  </si>
  <si>
    <t>01/04/2021</t>
  </si>
  <si>
    <t>erwan-102669</t>
  </si>
  <si>
    <t>J'ai décidé de changer d'assurance auto pour une question de tarif. 
J'ai comparé plusieurs assurances sur le Lynx et l'Olivier assurance figuré parmis le moins cher par rapport à ma situation.
Ils ce sont occupés de la résiliation je n'ai presque rien eu à faire.
C'est la première fois que je change d'assurance auto et franchement tout c'est fais facilement et rapidement sans communiquer avec qui que ce soit. Tout ce fait en ligne. 
Je recommande ! ??</t>
  </si>
  <si>
    <t>14/01/2021</t>
  </si>
  <si>
    <t>01/01/2021</t>
  </si>
  <si>
    <t>fleur06-77454</t>
  </si>
  <si>
    <t>J'AI EU UN Contact chaleureux efficaces et operationnel, trouver la conseillere a mon ecoute et qui va me faire realiser des economies a long termes.</t>
  </si>
  <si>
    <t>09/07/2019</t>
  </si>
  <si>
    <t>01/07/2019</t>
  </si>
  <si>
    <t>guillaumeau-g-125034</t>
  </si>
  <si>
    <t>Accueil sympathique.....et beaucoup d'écoute et de patience.......bien placé au niveau du prix .........je vous recommande cette assurance, c'est super ??</t>
  </si>
  <si>
    <t>michel-w-105368</t>
  </si>
  <si>
    <t>Bonjour, je trouve que cette assurance est de plus en plus cher surtout en période de confinement avec couvre-feu ou les déplacements sont de moins en moins fréquents. Vous devriez assurer au km.</t>
  </si>
  <si>
    <t>zaz-53679</t>
  </si>
  <si>
    <t xml:space="preserve">Cela fait 6 mois que j'attends le paiement de mes indemnités par le Service Prévoyance. Une vraie catastrophe. Je n'ai jamais vu une qualité de service aussi médiocre. Les réponses sont toujours les mêmes : nous accusons un peu de retard  : 6 mois ce n'est plus du retard, c'est une honte ! </t>
  </si>
  <si>
    <t>Generali</t>
  </si>
  <si>
    <t>29/03/2017</t>
  </si>
  <si>
    <t>01/03/2017</t>
  </si>
  <si>
    <t>bandoki-108017</t>
  </si>
  <si>
    <t xml:space="preserve">Fluidité des renseignement , rapidité du traitement du dossier , meilleur rapport qualité/prix , reste à l'écoute du client. je recommande à ma famille </t>
  </si>
  <si>
    <t>florence-52016</t>
  </si>
  <si>
    <t>C'est une honte, je n'appelerai même ça une assurance. Assurez chez eux depuis 6 mois : au début aucun problème. Et puis un jour après 6 mois sans soucis, ne voyant pas le prélèvement se faire je les appel et là je tombe des nu. Il m'annonce qu'il on stoppé le contrat sans raison et qu'en plus il ne me fourniront pas de relevé d'information. Qu'est ce que sa ve dire? Est ce que au moins j'ai vraiment été assurée? Se sont il goinfrer a me prélever dans le vide? Ne souscrivez jamais ils m'étent en danger la vie des gens. Je compte bien porter plainte contre eux.</t>
  </si>
  <si>
    <t>Active Assurances</t>
  </si>
  <si>
    <t>03/02/2017</t>
  </si>
  <si>
    <t>brothier-m-137658</t>
  </si>
  <si>
    <t xml:space="preserve">Très satisfait assurance a l écoute de c est client. J ai toujours eu une écoute et réponse à m es question.  L Olivier c est satisfaire ca clientèle. </t>
  </si>
  <si>
    <t>gedeon-66690</t>
  </si>
  <si>
    <t>Maif ou est ton aura des années antérieures?
Adhérent à la Maif depuis depuis plus de 30 ans je suis extrêmement déçu de voir ce qu'elle devient actuellement. Je m'explique  je viens de déclarer un sinistre d'habitation causé par EDF qui en coupant un poteau a déclenché un incendie dans le quartier. Comme mes toiles de stores étaient brûlées par des flammèches j'ai fait établir un devis pour les remplacer. La Maif n'ayant plus ses propres experts elle a délégué ce travail à Elex qui abaisse le montant de 1925 euros à 1277 euros. Je contacte donc cette expertise demandant logiquement l'adresse d'un artisan pouvant effectuer cette réparation pour ce prix et en réponse j'obtiens que ce sont les prix du marché en gros circulez, il n'y a rien a voir. Ce cabinet d' expertise étant située à plus de 300 kms je ne sais pas si les prix sont plus bas dans sa région mais ici je ne trouve pas. En outre bien que je ne sois pour rien dans ce sinistre  il est prélevé 125 euros de franchise plus 280 euros qui me seront remboursés quand le travail sera fait. Si l'on y rajoute la différence de l'estimation d'Elex il me faut débourser immédiatement environ la moitié du prix du devis initial. Comme je n'y suis pour rien je n'ose imaginer la tournure des événements si j’étais entièrement responsable. Ce n'est pas tout la Maif me demande de prendre contact avec la Mairie de la commune en charge du dossier incendie en vue d' un éventuel recours pour me rembourser la franchise. C'est à ne rien y comprendre: qui fait quoi est ce à l'assuré d'assumer lui même le travail de l'assureur? Je ne cache pas que malgré une certaine nostalgie je suis en train de chercher ailleurs.</t>
  </si>
  <si>
    <t>MAIF</t>
  </si>
  <si>
    <t>habitation</t>
  </si>
  <si>
    <t>07/09/2018</t>
  </si>
  <si>
    <t>01/09/2018</t>
  </si>
  <si>
    <t>corine-b-130364</t>
  </si>
  <si>
    <t>toujours aussi satisfait de vos services et de votre efficacité merci pour les conducteurs de 2 roues et avoir des tarifs aussi compétitifs merci merci</t>
  </si>
  <si>
    <t>zabou-111846</t>
  </si>
  <si>
    <t xml:space="preserve">Bon contact avec la conseillère  à l'écoute et elle m'a proposé de bonnes garanties suite  à mes demandes.
Contrat proposé adapté à mes besoins et celle de ma famille. 
Très bon rapport prix j ai fait une économie sur l'ancienne mutuelle. 
Je recommande santiane avec qui je viens de souscrire mon deuxième contrat de mutuelle. 
</t>
  </si>
  <si>
    <t>27/04/2021</t>
  </si>
  <si>
    <t>dion-l-115542</t>
  </si>
  <si>
    <t>Je suis satisfait, conseillé comique, tarif relativement correct en vu de mon expérience d’assurance, réactif et de bon conseille avec le conseille eu.</t>
  </si>
  <si>
    <t>adilee2312-77618</t>
  </si>
  <si>
    <t>Après l'absence chronique d'interlocuteur de la CPAM pour dénouer mon dossier (ma mutuelle n'est pas adossée à mon compte), c'est un grand plaisir que de pouvoir échanger avec ERIKA qui est très claire dans ses explications et conseils. On peut deviner son sourire au timbre de sa voix. A l'heure tout où tout est robotisé et externalisé, cette approche humaine est un véritable +</t>
  </si>
  <si>
    <t>15/07/2019</t>
  </si>
  <si>
    <t>pat-67014</t>
  </si>
  <si>
    <t xml:space="preserve">Compagnie d'assurance intéressante mais attention :
- Tarifs nettement majorés pour les non fonctionnaires
- Affichage d'une garantie tous risques éco ne couvrant pas les sinistres si le véhicule n'est pas en mouvement !!!
Donc si on vous emboutit votre voiture en stationnement vous ne serez pas couvert même si vous êtes assurés au tiers.
Les devis ne mentionnent pas ce point pour afficher des tarifs compétitifs.
</t>
  </si>
  <si>
    <t>21/09/2018</t>
  </si>
  <si>
    <t>christine-55182</t>
  </si>
  <si>
    <t xml:space="preserve">Bonjour,
Je suis très mécontente du contrat obsèques contracté par ma mère il y a plus de  10 ans. Elle avait fait ce choix pensant nous éviter le paiement de ses obsèques...elle est décédée au mois d août  et bien que le contrat mentionne un versement dans les 48h, nous nous retrouvons dans une impasse au mois de juin. Apres nous avoir réclamé des documents différents à chacun de nos appels, et après avoir fourni chacun d'eux par  mail et courrier recommandé, aujourd'hui le service client nous confirme depuis deux mois et demi que toutes les pièces sont rassemblées et qu ils ne comprennent pas pourquoi le service financier  ne verse pas la somme. Or ce service n'est joignable que par mail et reste sans réponse. Que penser de telles pratiques? 
Devons nous nous déplacer pour rencontrer nos interlocuteurs qui abusent de la confiance des personnes agées prévoyantes, devons nous engager une action auprès des associations de consommateurs? </t>
  </si>
  <si>
    <t>SwissLife</t>
  </si>
  <si>
    <t>07/06/2017</t>
  </si>
  <si>
    <t>01/06/2017</t>
  </si>
  <si>
    <t>christiane-b-128543</t>
  </si>
  <si>
    <t>je suis satisfaite du service et du prix de DIRECT ASSURANCE j'espère ne pas avoir de problèmes avec mon véhicule qui n'est plus tout jeune (comme moi)
Merçi pour votre patience et vos informations.</t>
  </si>
  <si>
    <t>18/08/2021</t>
  </si>
  <si>
    <t>khemarie-p-127684</t>
  </si>
  <si>
    <t>Nickel pas cher, satisfaite pour le moment tant que je n'ai pas eu de soucis je ne peux pas donner mon avis pour un service en cas de sinistre ou de problemes</t>
  </si>
  <si>
    <t>12/08/2021</t>
  </si>
  <si>
    <t>vivi78680-62882</t>
  </si>
  <si>
    <t xml:space="preserve">tres decu  car rien n'est fait lors d'un litige 
constat perdu, procedure sinistre 4 mois et toujours pas terminer ... c'est inadmissible </t>
  </si>
  <si>
    <t>03/04/2018</t>
  </si>
  <si>
    <t>01/04/2018</t>
  </si>
  <si>
    <t>didah-a-114383</t>
  </si>
  <si>
    <t>je suis satisfait du service très rapide et simple à la souscription le prix me conviennent
ons .avait Juste un souci à la souscription De l'assurance avec la ligne téléphonique du service ventes</t>
  </si>
  <si>
    <t>20/05/2021</t>
  </si>
  <si>
    <t>nicolas-123445</t>
  </si>
  <si>
    <t xml:space="preserve">Client GMF depuis que j’ai l’âge d’avoir une voiture, je n’avais jamais rencontré de problème (que ce soit en cas d’accident ou d’assistance suite à panne) avant aujourd’hui. En effet j’ai eu le malheur de tomber en panne dans un lieu complètement « perdu » à 70 km de la 5 eme ville de France qui se trouve être également mon lieu de domicile. 
Bref je suis tombé en panne le matin à 9h30, j’ai avisé l’assistance vers 10h et je suis arrivé chez moi vers 18h…. 
J’ai donc galeré 8 heures pour qu’ils m’envoie une solution de dépannage et de rapatriement alors que je me trouvais à 70 km de chez moi. Et le comble c’est que je partais en vacances avec la voiture ( grand scenic), avec un coffre de toit plein et deux vélos sur le porte vélo et qu’ils m’ont loué une Fiat 500. Autant vous dire que 90% de nos affaires sont restées dans la voiture et qu’elles se trouvent encore actuellement chez le garagiste. 
Ah oui quand je suis arrivé chez le loueur de voiture pour récupérer la Fiat 500, la demande de location faite par GMF n’avait même pas été faite dans la bonne agence, il a fallu que je les rappelle pour la 20eme fois de la journée afin qu’ils la transmettent à la bonne agence. 
Prévoyez donc si vous êtes à la GMF  de tomber en panne uniquement en centre ville et arrangez vous pour être seul dans votre voiture et avec un seul bagage. 
Je ne suis vraiment pas satisfait de leur prestation sur ce coup là. </t>
  </si>
  <si>
    <t>15/07/2021</t>
  </si>
  <si>
    <t>pepemoko-96949</t>
  </si>
  <si>
    <t>.en contactant  l olivier assurance auto ,,j ai trouve un acceuil tres sympatique et tres respectueux ,,une rapidite d execution dans l aide que j avais besoin  et dans le contrat execute comme il me convenait ...je conseille aux personnes qui cherchent une assurance competente et rapide,l assurance  l olivier..quelques minutes suffisent pour vous mettre en regle...</t>
  </si>
  <si>
    <t>02/09/2020</t>
  </si>
  <si>
    <t>devi1569-51846</t>
  </si>
  <si>
    <t xml:space="preserve">Bonsoir
Je suis très déçu par le club auto , j'avais signé un mandat et demande un crédit auto..
Le dossier de crédit auto car il manquait le bon de commande . La secrétaire n'a pas su gérer manque de professionnalisme ( elle a envoyé une facture pro-forma et je me souviens bien avoir remis le BC + facture pro format ) ... le fait d'avoir plusieurs interlocuteurs et à chaque fois, il faut dire son pedigree ( nom prénom date de naissance le lieu et numéro du dossier etc. C'est trop long !!!! Finalement j'ai tt annuler le contrat et mon crédit qui n'était pas sur d'être accorde ( maintenant, il faut que je récupère les sommes que j'ai versée 200 € , l'acceptation du Bon de commande + 2038 € l'acompte ) dommage pour GMF il y a bcp de travail ! </t>
  </si>
  <si>
    <t>30/01/2017</t>
  </si>
  <si>
    <t>01/01/2017</t>
  </si>
  <si>
    <t>sidibe-m-108935</t>
  </si>
  <si>
    <t xml:space="preserve">Je suis satisfaite du service client, ils repondent vite et tres bien a toutes les questions que vous pouvez vous poser. prix sont abordables et etant une etudiante cela me convient parfaitement. </t>
  </si>
  <si>
    <t>02/04/2021</t>
  </si>
  <si>
    <t>alexandre1783-55442</t>
  </si>
  <si>
    <t>A l'occasion d'un vol vehicule . Valeur sup à 20000€</t>
  </si>
  <si>
    <t>Pacifica</t>
  </si>
  <si>
    <t>26/06/2017</t>
  </si>
  <si>
    <t>stephane34-56706</t>
  </si>
  <si>
    <t>Bonjour mon papa a souscrit une assurance vie Cardif depuis 2003 a 8,50 euros par mois puis plus tard à 9,90 /mois à ce jour ! Puis décédé ce lundi 13/08/2017 d'une chute et suivi d'un malaise cardiaque ! Suite aux appels téléphoniques Aucune prise en charge de votre part pourquoi ??! Soit 40000euros de prevu par votre organisme !car il voulait nous couvrir ! en vous dongnant autant de prélèvements vu sa petite retraite ! Et voilà plus rien en un clin d'oeil ! Il ce sera seigner pour rien? Quand il faut donner les cotisations pas de soucis mais quand vous devez donner l'argent que vous devez la par contre on trouve toujours un petit truc ( un malaise cardiaque n'est pas toléré dans l'assurance vie ) pour ne pas versé le dû ! J'espère que vous lirez mon message et d'essayer dans faire quelque chose ! Surtout pour ceux et celles qui voudront souscrire un tel contrat ! C'est une honte......dans l'attente d'une très grande réactivité de votre part</t>
  </si>
  <si>
    <t>Cardif</t>
  </si>
  <si>
    <t>vie</t>
  </si>
  <si>
    <t>17/08/2017</t>
  </si>
  <si>
    <t>01/08/2017</t>
  </si>
  <si>
    <t>marc-d-122225</t>
  </si>
  <si>
    <t>satisfait pratique prix raisonnable bon suivi des factures en cours possibilité d'imprimer toutes attestations a la demande ;
Top pour la déclaration de sinistres .</t>
  </si>
  <si>
    <t>03/07/2021</t>
  </si>
  <si>
    <t>evelyne-87288</t>
  </si>
  <si>
    <t xml:space="preserve">ayant un feu de cheminee avec un poele a pellet  dangereux pour le monoxyde de carbonne   tous a ete declarer et aucune nouvelle aujourd hui  le sinistre a ete declarer le 9 janvier aujourd hui toujours pas de chauffage  avec deux enfants a la maison et entre expert et assurance cela se renvoie le dossier  assurance a fuir </t>
  </si>
  <si>
    <t>Crédit Mutuel</t>
  </si>
  <si>
    <t>18/02/2020</t>
  </si>
  <si>
    <t>sanaa-67913</t>
  </si>
  <si>
    <t>Cela fait maintenant 1 an que j'ai eu un accident de voiture, mon dossier n'avance pas malgré mes diverses relances téléphoniques. 
Aucune nouvelle de mon assureur et de l'expert qui examine l'aile gauche de mon véhicule alors que j'ai souligné maintes fois qu'il s'agit de l'aile droite, bien que ca soit précisé dans le constat. 
De plus, victime d'un accident dont je ne suis pas responsable, victime de malhonnêteté de celle qui m'est rentrée dedans, j'ai pu avoir un témoignage d'une personne ayant vu l'accident de sa fenêtre devant mon lieu de travail. Mon assureur a refusé de prendre en compte cet élément sous prétexte que je n'ai pas précisé la présence de ce témoin sur le constat. Comment voulez-vous que je précise cette info quand le témoin a vu l'accident de sa fenêtre de bureau pendant que l'incident a lieu dans la rue en bas de l'immeuble...pure moquerie et mépris envers votre client non ?
Les assureurs sont là pour débiter notre compte des cotisations mais dés qu'il s'agit de recourir à nos droits, ils se défilent...
Je suis trop déçue de la MACIF, elle ne vaut pas plus qu'Axa et d'autres "Assureurs escrocs". J'ai quitté ces derniers pensant qu'une enseigne avec une telle notoriété serait plus sérieuse et loyale envers ses clients. 
 je vais résilier l'ensemble des mes assurances Macif (Immo + voitures), et vous assigner devant 60 millions de consommateurs, UFC que choisir et le tribunal compétent pour le non respect de vos engagements contractuels. 
1 an sérieusement, c'est du foutage de gueule et du vol, sans parler de votre plateau téléphonique avec des agents incompétents qui prennent vos clients pour des marionnettes. 
Mme HARDAT</t>
  </si>
  <si>
    <t>20/10/2018</t>
  </si>
  <si>
    <t>01/10/2018</t>
  </si>
  <si>
    <t>mrd-69414</t>
  </si>
  <si>
    <t xml:space="preserve">contrat de mon fils résilié alors qu'il n'avait eu aucun siniistre et était à jour de ces cotisations !!! nous étions assuré aussi pour notre habitation, quelle fut pas notre surprise quand on apprend que notre appart était assuré mais pas les murs ni le toit, assurance nulle à éviter absolument
</t>
  </si>
  <si>
    <t>MAAF</t>
  </si>
  <si>
    <t>14/12/2018</t>
  </si>
  <si>
    <t>gg85-71649</t>
  </si>
  <si>
    <t xml:space="preserve">Demande de modif de beneficiaire sans repo se depuis plus d un mois malgré relances.
Qd vs menacez de tout resilier, là le serv client vs repond mais vs demande un delai de 3 semaines à 2 mois pour traiter votre reclamation...
Allianz se moque de ses clients ou c est une telle desorganisation dans leurs services qu ils ne sont plus capables de gérer </t>
  </si>
  <si>
    <t>Allianz</t>
  </si>
  <si>
    <t>25/02/2019</t>
  </si>
  <si>
    <t>01/02/2019</t>
  </si>
  <si>
    <t>sandjak-s-110679</t>
  </si>
  <si>
    <t>je suis conseillé BNP Paribas (assurance cardif) et malgré cela sur ce véhicule vos tarifs sont moins élevés avec il est vrai des franchise supérieures.. Je suis satisfait des échanges avec les conseillés et notamment la personne avec qui j ai souscrit ce contrat ce jour par telephonne. 
effectivement simple et efficace/ une personne souriante au bout du fil cela fait une grande différence</t>
  </si>
  <si>
    <t>16/04/2021</t>
  </si>
  <si>
    <t>pulverax-68943</t>
  </si>
  <si>
    <t>Après un sinistre avec délit de fuite qui a détruit mon véhicule en stationnement, direct assurance ne me rembourse que la moitié du prix du véhicule et me compte une franchise alors que je suis 0% responsable et que je suis tout risques !!!</t>
  </si>
  <si>
    <t>27/11/2018</t>
  </si>
  <si>
    <t>01/11/2018</t>
  </si>
  <si>
    <t>olivier-l-109117</t>
  </si>
  <si>
    <t xml:space="preserve">Prix régulièrement à la hausse sans explications et raisons (moins de trafic dû aux Covid = moins d'accidents !). Services à la hauteur des attentes ainsi que les garanties mais les tarifs restent chers mêmes si compétitifs. Aimerai une stabilisation de ces cotisations  </t>
  </si>
  <si>
    <t>04/04/2021</t>
  </si>
  <si>
    <t>alsadig--a-125871</t>
  </si>
  <si>
    <t xml:space="preserve">Bonne note pour votre site pour assurer nous via la même temps c’est bien pour assurer en ligne et ça donne le Facilité de la assurance et nous aider à contacte vous facilement </t>
  </si>
  <si>
    <t>angefabie80-56836</t>
  </si>
  <si>
    <t>Que dire sur cette assurance qui se prend pour une banque ? Tout le personnel n est pas compétent. Les employés poussent à prendre des assurances, ouvrir des comptes, et ne savent même pas les conditions pour ne pas payer la carte. Et que dire du comportement du directeur d agence quand on demande pourquoi nos deux chèques pour l ouverture de notre compte pour près de 500 euros ne sont tjrs pas encaissés, que celui ci nous envoie balader en nous sortant qu il a autres choses à faire. Quand on lui fait remarquer que pour faire des vidéos qui ne sont pas regardées sur fb là il a le temps on se fait insulter (propos sexistes) et menacer. J ai été gentille je n avais pas déposé une plainte mais ça n a pas empêché le directeur de déposer une plainte pour diffamation non publique c est un comble. 
Prenez une banque en ligne Boursorama, au moins la carte est gratuite...</t>
  </si>
  <si>
    <t>22/05/2021</t>
  </si>
  <si>
    <t>grace-63617</t>
  </si>
  <si>
    <t>je connaissais depuis un moment santiane sante et je suis revenue,je suis contente.</t>
  </si>
  <si>
    <t>27/04/2018</t>
  </si>
  <si>
    <t>michael-a-110479</t>
  </si>
  <si>
    <t>Je suis satisfait du service de direct assurance pour l habitation je n ai rien d autres ajouter à mon avis sur cette assurance bonne journées vouscordialement</t>
  </si>
  <si>
    <t>15/04/2021</t>
  </si>
  <si>
    <t>michelgabriel-107820</t>
  </si>
  <si>
    <t>Procédure en ligne simple et intuitive de l'édition du devis à la contractualisation en passant par un entretien téléphonique avec un conseiller clair et pragmatique.
Rapidité de l'ouverture de l'espace client en ligne et simplicité de navigation et d'accès aux documents et messagerie interne.</t>
  </si>
  <si>
    <t>24/03/2021</t>
  </si>
  <si>
    <t>patrick-67180</t>
  </si>
  <si>
    <t>A FUIR car aucun sérieux! Je pense qu'ils protègent la partie adverse au risque de décevoir leurs clients. J'ai eu un incendie au niveau compteur, EDF etait responsable a 200% ..Depuis 2 ans je n'ai touché qu'une partie du remboursement. Il n'y a aucun suivi dossier. Je suis au courant de rien, et personne n'est capable de m'informer. Cette fois je vais prendre un avocat, et peut être même ouvrir une pétition qui rassemblera des gens aillant de gros problèmes de remboursement. Ce qui est intolérable! Vraiment je ne recommande pas cette assurance . Je peux fournir les preuves de ce que j'avance a quiconque.</t>
  </si>
  <si>
    <t>28/09/2018</t>
  </si>
  <si>
    <t>magalie-m-105169</t>
  </si>
  <si>
    <t xml:space="preserve">Je suis très satisfaite, des conseillers à l'écoute et dynamique.
Niveau prix très raisonnable avec un bonne garanti de conducteur.
il manque juste la garanti des passagers dommage.
</t>
  </si>
  <si>
    <t>02/03/2021</t>
  </si>
  <si>
    <t>mecontent-99688</t>
  </si>
  <si>
    <t>j ai déclaré un sinistre de dégat des eaux le 11 septembre 2020..le lendemain,apres avoir eu plusieurs interlocuteurs qui se repassaient le dossier, j ai eu la visite d un technicien qui a situé l origine de la fuite que j avais déjà située au niveau du joint de sortie des wc, comme prévu j ai remis un chèque de 178 euros à cette personne.. Depuis aucune nouvelle, le service des sinistres ne repond jamais au : 0540543550, aucun reçu du chèque remis? ce même service contacté par le : 0970809809, doit me rappeler et ne rappelle jamais.. Heureusement, que j ai changé seul mes toilettes sinon imaginez ma situation... Dans cette situation je pense que la GMF est incompétente , méprise ses clients , en conséquence, j envisage de changer de mutuelle, pour assurer mes 5 appartements, mes 3 voitures.. etc .. j espère être bien accueilli ailleurs</t>
  </si>
  <si>
    <t>05/11/2020</t>
  </si>
  <si>
    <t>01/11/2020</t>
  </si>
  <si>
    <t>eve-95687</t>
  </si>
  <si>
    <t>Suite à un bris de vitre (domicile) (double vitrage de 85 x 183 en 4/16/4 ) et dû à la période du Cavid 19, et sans aucun retour de proximité de la Matmut j'ai fais appel en urgence à un vitrier qui m'a facturé après visite un montant de 1381€. la Matumut me verse un montant dérisoire de 342.05 euro pff ils ont des travailleurs qui font le travail presque gratuitement...</t>
  </si>
  <si>
    <t>30/07/2020</t>
  </si>
  <si>
    <t>01/07/2020</t>
  </si>
  <si>
    <t>frederic-m-105777</t>
  </si>
  <si>
    <t xml:space="preserve">satisfait pour les tarifs qui sont pratiqués mais n'ayant jamais eu de sinistres je ne peut pas me prononçé pour le suivi des sinistres et c"est tant mieux.  </t>
  </si>
  <si>
    <t>07/03/2021</t>
  </si>
  <si>
    <t>ptit--99966</t>
  </si>
  <si>
    <t xml:space="preserve">Prévoyance prise en option dans le cadre de mon assurance, le vendeur a été mais le conseil absent... le prix est intéressant mais après l’avoir évalué avec un courtier, elle ne couvre pas grand chose et beaucoup de motifs d’exclusion 
</t>
  </si>
  <si>
    <t>10/11/2020</t>
  </si>
  <si>
    <t>galdamez-p-111830</t>
  </si>
  <si>
    <t>satisfait du contrat et de l'accueil par téléphone de l'interlocuteur. Dans l'attente de souscrire un contrat habitation dans un avenir proche.
Cordialement</t>
  </si>
  <si>
    <t>maeva-m-126746</t>
  </si>
  <si>
    <t xml:space="preserve">Je suis satisfaite de mon assurance pour mon scooter vos prix son pas cher je recommande vraiment merci beaucoup pour mon assurance pour mon scooter deux roue </t>
  </si>
  <si>
    <t>06/08/2021</t>
  </si>
  <si>
    <t>ly-a-107521</t>
  </si>
  <si>
    <t>Le prix est très compétitif.
Devis rapide 
Carte d'assurance reçu rapidement 
Résiliation de mon assurance automobile faite par le nouvel assureur 
Très contente du service</t>
  </si>
  <si>
    <t>22/03/2021</t>
  </si>
  <si>
    <t>chelaulau-m-137973</t>
  </si>
  <si>
    <t xml:space="preserve">Simple et pratique , en quelques minutes j'étais assuré un samedi après midi. Les prix sont un peu plus élevé que la concurrence mais c'est seulement l'olivier qui a pu traiter ma demande </t>
  </si>
  <si>
    <t>21/10/2021</t>
  </si>
  <si>
    <t>mace-f-128846</t>
  </si>
  <si>
    <t>Service réactif et à l'écoute. Ponctuel pour rappel sur RV.
Explications claires.
Dossier facile à constituer.
Interlocuteurs compétents. 
Pas de difficulté particulière.</t>
  </si>
  <si>
    <t>20/08/2021</t>
  </si>
  <si>
    <t>el-mordi-d-114582</t>
  </si>
  <si>
    <t xml:space="preserve">Je suis satisfait du prix et je trouve que vous assurez bien et vite et encore merci beaucoup de votre intention et aussi le service et très correct. </t>
  </si>
  <si>
    <t>cedric91280-97173</t>
  </si>
  <si>
    <t xml:space="preserve">Très déçu de cette assurance qui se dit moins chère que les autres. Je suis resté 5 ans chez eux. Avec un bonus à 0.8 en arrivant, 5 ans après mon bonus était à 0.6 et malgré tout sur les 5 années ma cotisation n'a pas arrêté d'augmenter. J'étais en tiers maxi pour une polo et je payais 58 par mois !! Inadmissible. Aucune baisse de tarif sur les 5 années. Je suis donc parti chez Wilov et là j'économise réellement 200 à 250€ par an. </t>
  </si>
  <si>
    <t>08/09/2020</t>
  </si>
  <si>
    <t>olivier-b-134894</t>
  </si>
  <si>
    <t xml:space="preserve">tres content de se prix tres attractif.je le recommande. Trouver sur le lynx.je recommander cette assurance a tous les motards.un petit prix pour ma joli  125 </t>
  </si>
  <si>
    <t>s-tho-96015</t>
  </si>
  <si>
    <t>Le contact avec le courtier est correct,  mais catastrophique dès qu'il faut avoir à faire au siège pour les transactions particulièrement aujourd'hui face au règlement de l'assurance vie.   A éviter pour protéger vos proches pour qui ce sera le parcours du combattant à votre décès</t>
  </si>
  <si>
    <t>Afer</t>
  </si>
  <si>
    <t>07/08/2020</t>
  </si>
  <si>
    <t>01/08/2020</t>
  </si>
  <si>
    <t>lpg-136370</t>
  </si>
  <si>
    <t>Je viens de recevoir ce jour une rupture de contrat pour inadéquation du risque regarder la politique d’acceptation de la compagnie sachant que j’ai eu un accident un gros certes mais ce n’était pas de ma faute je me suis fait moi-même agressé physiquement et ma voiture aussi C’est honteux pour une assurance sachant que ça fait plusieurs années que j’y étais et j’ai payé tout risque vraiment complet du tout risque</t>
  </si>
  <si>
    <t>07/10/2021</t>
  </si>
  <si>
    <t>alexisvans84-128489</t>
  </si>
  <si>
    <t>La souscription est  simple et rapide, interlocuteur à l'écoute, prix attractifs, je recommande vivement. L'application est elle même facile d'utilisation</t>
  </si>
  <si>
    <t>marcelm-58223</t>
  </si>
  <si>
    <t>A fuir absolument!
Accident le 26 août, nous sommes le 19 octobre et toujours ni remboursement ni connaissance du montant du remboursement dans un accident non responsable. Je n'ai plus de voiture et un assureur qui retarde (volontairement? ...c'est mon impression) les procédures.
L'épave a été vendue le 2 octobre suite à appel d'offres et doit être enlevée enlevée demain, le garage refuse de livrer le véhicule car l'Olivier Assurances ne leur a toujours pas envoyé de prise en charges pour les travaux demandés par leur expert.
Après paiement de l'épave il restera à l'assureur à rembourser autour de 13 000€ (qui leur sera remboursé par l'assureur de la partie adverse) pour un véhicule qui a été assuré sur la valeur de 30 000€ il y a 4 mois. La gestionnaire me dit que la procédure est longue compte tenu du montant! L'assureur de Gibraltar n'a pas d'argent à ce point?
En fait, à ce jour je ne sais pas qui est à mettre en cause, l'Olivier Assurances ou la gestionnaire de mon dossier qui me promet qu'elle garde mon dossier sous le coude. Elle s'est peut-être endormie sur son coude car elle reste injoignable, malgré les promesses du standard qui me dit qu'elle va me rappeler. Aucune réponse non plus à mes courriels, c'est aberrant! 
Si je veux racheter une nouvelle voiture, je sens que je vais devoir passer à la vitesse supérieure parce que les semaines passent et rien ne bouge, des mous!!!</t>
  </si>
  <si>
    <t>19/10/2017</t>
  </si>
  <si>
    <t>01/10/2017</t>
  </si>
  <si>
    <t>davide-z-131682</t>
  </si>
  <si>
    <t>Je suis extrêmement du satisfait du service offert. Le service en ligne est extrêmement pratique,  efficace et bien fait. Les prix sont très concurreniels par rapport aux autres compagnies;</t>
  </si>
  <si>
    <t>07/09/2021</t>
  </si>
  <si>
    <t>stephnoire-53716</t>
  </si>
  <si>
    <t>suite a un accident de scooter de mon fils ,il a fallu que nous leur demontrions la culpabilitée de la partie adverse ,alors qu'un procé de gendarmerie avait ete effectue a l'encontre du deuxieme vehicule mis en cause (interdiction de depassé un vehicule en agglomeration ). c'est quand meme une honte que de devoir faire le travail a leur place et de payer les cotisation par dessus le marché .je dirais incompetant</t>
  </si>
  <si>
    <t>30/03/2017</t>
  </si>
  <si>
    <t>innacro-78767</t>
  </si>
  <si>
    <t>Bonjour,
Je suis très en colère contre ag2r la mondiale car je suis en arrêt maladie depuis plus que 3 mois. la prévoyance devrait prendre le relais pour le complément de salaire. mais j'ai l'impression qu' me mène en bateau.
j'ai appelé leur service hier, on me dit après identification qu'il y a un bug informatique et qu'il faut rappeler le lendemain. Je rappelle le lendemain, la conseillère me réponds à chaque fois à côté. Je demande où il est le traitement du dossier que j'ai envoyé le fin juillet, elle me dit qu'elle voit que traitement est bloqué car ils sont en attente de la réception de mon courrier et qu'ils ont rien reçu, sauf que je l'ai en Lettre suivie et que j'ai la preuve que c'est arrivé au sein de l'organisme. Après on me dit qu'il faut plus qu'un mois pour le traitement d'un Dossier et qu'elle n'a pas une fourchette à me communiquer. Je lui ai dit qu'on va tomber ds la précarité car les prélèvements bancaires continuent. Elle m'a demandé si j'ai un reclamation, il faut s'approcher de mon employeur pour qu'il l'a fasse. C'est vraiment lamentable. 
Je vais entamer une procédure. C'est comme si ce n'ai pas suffisant la maladie il faut rajouter des soucis financiers.</t>
  </si>
  <si>
    <t>Ag2r La Mondiale</t>
  </si>
  <si>
    <t>28/08/2019</t>
  </si>
  <si>
    <t>emma-105611</t>
  </si>
  <si>
    <t>merci surtout au conseiller que j'ai eu en ligne qui était très agréable, professionnel et souriant.
J'ai déjà dû appeler pour d'autres demandes et à chaque fois, je ressens l'écoute, l'amabilité, la compétence, et le professionnalisme.</t>
  </si>
  <si>
    <t>Génération</t>
  </si>
  <si>
    <t>05/03/2021</t>
  </si>
  <si>
    <t>dti-104175</t>
  </si>
  <si>
    <t xml:space="preserve">FUYER CETTE ASSURANCES 
IL VOUS INVENTE DES SINISTRE PUIS QUAND IL SAGIT DE LES RETIRER IL SE RENVOIE LA BALLE ENTRE SERVICE RECOURS ET SERVICES SINISTRES 
INCOMPÉTENCE TOTAL!!! </t>
  </si>
  <si>
    <t>15/02/2021</t>
  </si>
  <si>
    <t>01/02/2021</t>
  </si>
  <si>
    <t>csimb-138980</t>
  </si>
  <si>
    <t>A fuir absolument ..à aucun moment la période de carence est mentionnée au moment de la souscription. Je viens de me faire avoir pour plus de 250 euros!! A fuir absolument</t>
  </si>
  <si>
    <t>SantéVet</t>
  </si>
  <si>
    <t>04/11/2021</t>
  </si>
  <si>
    <t>fandagrr-100952</t>
  </si>
  <si>
    <t>Je souhaite mettre en garde les clients potentiels d'AG2R.
Depuis 18 mois en invalidité de deuxième catégorie, licenciée et déclarée inapte, mon épouse ne touche pas un centime. Car chez AG2R la Mondiale, on ne conteste pas les décisions de votre médecin traitant, de votre médecin spécialiste, du médecin du travail, des commissions spécialisées, du médecin de l'assurance maladie.
Non, chez AG2R La Mondiale, on a simplement "d'autres critères d'appréciation des garanties". C'est écrit noir sur blanc dans leur dernier courrier...
Donc... Fuyez cette compagnie.</t>
  </si>
  <si>
    <t>jean1-59341</t>
  </si>
  <si>
    <t>Scandaleux ! Plusieurs mails envoyés et aucune réponse ! pour prendre vos coordonnées bancaires et encaissé l'argent ils répondent présent et n'hésite pas à rappelé mais quand il s'agit de savoir pourquoi je n'ai toujours pas reçus ma carte verte d'assurance ben là plus personne . mon mois et terminé et toujours rien eu , inadmissible si il n'est pas trop tard ne souscrivez jamais active assurance je vous aurez prévenu .</t>
  </si>
  <si>
    <t>03/12/2017</t>
  </si>
  <si>
    <t>mimi86-99345</t>
  </si>
  <si>
    <t xml:space="preserve">assurance beaucoup trop chère augmentation injustifiée
je regrette de ne pas avoir pris le temps de comparer avec d'autres assurances
c'est une amie qui m'avait donné les coordonnées
je suis coincée car maintenant ma chienne a 11ans 
</t>
  </si>
  <si>
    <t>Assur O'Poil</t>
  </si>
  <si>
    <t>28/10/2020</t>
  </si>
  <si>
    <t>01/10/2020</t>
  </si>
  <si>
    <t>mamine31-55029</t>
  </si>
  <si>
    <t>Bon, je dirais que c'est une bonne offre si je ne connaissais pas bien votre politique.
là je souhaite partager mon expérience avec ceux qui sont tenter de franchir le pas:
J'ai été l'heureux assuré naif qui payait pas grand chose et assuré au tiers maxi.
1- J'ai eu un bris de glace suite à un vandalisme pour un malheureux déflecteur de 25cm2, j'ai du payer 140€ de franchise sachant que sans l'assurance c'est ce que j'aurais payer chez un centre auto. bref j'etais pigeoné.
2- le conducteur secondaire à eu un accident non responsable pris en charge par DIRECT ASSURANCE OFFICIEL à 100%. cool pour une petite rayure visible sur la portière.
Pour conclure, 
J'etais assez content malgré tout de direct assurance, Mais;
je décide de faire un devis pour un second véhicule que nous souhaitions acquérir, moins puissant et de la meme année et pour les meme garanties, et là !!!!!!! le drame !!! je decouvre que je payerais 30 voir 35% plus cher que ce que je paye maintenant!!!! enfin bref j'ai de la chance d'etre encore assuré, car j'ai lu dans des forum qu'ils ont meme réussi à résilier des assuré qui etaient dans mon cas, soit 2 sinistres non responsables!
et pour avoir le relevé d'informations, on fait une demande en ligne et après on reçoit un mail pour nous demander de les appeler !! non mais c'est pas serieux là!!</t>
  </si>
  <si>
    <t>31/05/2017</t>
  </si>
  <si>
    <t>01/05/2017</t>
  </si>
  <si>
    <t>damdam-54063</t>
  </si>
  <si>
    <t xml:space="preserve">Client actuel...et futur ancien client... Tout va bien, la MAIF est "assureur militant"...tant que vous ne leur demandez rien... J'ai un vehicule en contrat Plenitude chez eux (bref, le max)...crevaison chez moi...c'est couvert par le contrat. Je fais appel a l'assistance IMA dont le numero figure sur ma carte MAIF...depannage couvert par la MAIF...le depanneur detruit ma boite de vitesse (et reconnait 100% ses torts !)...expertise, contre expertise, l'expert m'appelle, les torts du depanneurs sont reconnus par lui et par l'expert adverse...mais mon vehicule n'est pas reparable car le cout de reparation est plus eleve que la valeur venale du vehicule. J'accepte la chose. Comme stipule sur mon contrat MAIF, je demande si je vais beneficier de la majoration de 20% au-dela de la valeur d'expert...reponse de la MAIF, dans le texte "la MAIF n'a pas vocation a intervenir, c'est entre vous et Inter Mutuelles Assistances". Et on me reproche de ne pas avoir fait de déclaration de sinistre auprès de la MAIF (alors que je les ai eus au telephone maintes fois...pensant qu'ayant fait appel a leur assistance, que tout serait gere...mais bon...et ils se sont bien gardés de me conseiller de le faire !). Je demande un vehicule de remplacement temporaire, l'immobilisation de ma voiture etant de la responsabilite de l'assistance que j'ai contacte via la MAIF (et de son depanneur), on me dit initialement non, car ce n'est pas un accident ! Je rale un peu, et comme l'assurance du depanneur accepte de payer pour un vehicule de location, alors tout d'un cout, mon assurance accepte (donc avec la MAIF, si ca ne leur coute rien, tout se passe bien ! Pour un cout hebdomadaire annonce par le loueur de voiture de 170 euros) ! Mais ca n'est pas fini..depuis, on me demande (IMA) de ne pas acheter de vehicule tant que les papiers ne sont pas finis et valides (cela fait plus de 15 jours), on refuse de me dire, une fois que cela sera (peut-etre, ils ne s'engagent a rien) valide, de combien de temps je disposerai pour racheter un vehicule, la MAIF ne repond pas a mes emails (bien que je leur  ai dit etre assure a la MAIF, non pas a IMA), IMA a ete extremement desagreable...et le pompon: IMA ne rachetant pas les epaves (meme si ma voiture a ete declaree epave suite a leur intervention !), ils font un appel d'offre pour qu'une entreprise rachete mon vehicule, et eux, si c'est valide, me rembourseront la difference et cela sera de ma responsabilite d'aller contacter l'entreprise qui aura rachete mon "epave" pour recuperer le reste de la somme...Bref... Apres 20 ans a la MAIF (au cours desquels je ne leur ai vraiment pas demande grand chose. Aucun accident a ma charge), la MAIF et son assistance me font rentrer dans une situation compliquee pour 7000 euros (valeur de la voiture, validée par l'expert du depanneur qui est OK pour payer), + 1400 euros de majoration (qui devrait venir de la MAIF si jamais ils respectaient les closes de leur contrat au lieu de trouver tous les moyens possibles pour me dire que ca n'est pas leur probleme mais celui de IMA !). Comment, pour une telle somme, etant donnee la resposabilité du depanneur mis en place par MAIF/IMA cela aurait du se passer, si la MAIF avait ete une bonne assurance ? La MAIF aurait du prendre les choses en main, me rembourser rapidement de la somme et de la majoration contractuelle, et ensuite, elle, gérer avec l'assurance du depanneur etc pour determiner qui paye quoi. Cela aurait du etre transparent et rapide pour moi, et si la MAIF avait gere cela de cette facon, je me serais dit: c'est une bonne assurance, quand j'ai un soucis (non responsable) ils gerent cela bien pour que cela soit le plus rapide et simple pour moi. ils sont bien "assureurs militants". Mais ca n'est pas le cas, c'est tout simplement faux. La MAIF fait tout pour ne rien payer. </t>
  </si>
  <si>
    <t>13/04/2017</t>
  </si>
  <si>
    <t>herve-b-109766</t>
  </si>
  <si>
    <t>très mécontent  h bouju aucune information  service écoute publicité mensongeaire  tromperie mauvaise foi surtout a eviter ne pas s engager avant avoir une proposition claire et ecrite avant de prendre une décision</t>
  </si>
  <si>
    <t>09/04/2021</t>
  </si>
  <si>
    <t>jc19-60512</t>
  </si>
  <si>
    <t xml:space="preserve">aucun probleme pour m'assurer rapide efficace les prélèvements se font comme prévu et je suis averti par mail avant le prélèvement,donc je recommande bon rapport qualité prix par contre le point noir c'est le service client je compte assurer un deuxième véhicule prochainement et j'ai joint le service client 2 fois ou on me promet le rappel d'un conseiller afin d’établir 2 devis puisque j’hésite entre 2 modèles du coup j'ai demander un relevé d'information par mail au cas ou je serais obligé de m'assurer ailleurs     </t>
  </si>
  <si>
    <t>15/01/2018</t>
  </si>
  <si>
    <t>01/01/2018</t>
  </si>
  <si>
    <t>clement-c-132266</t>
  </si>
  <si>
    <t>je suis satisfait du site de prise en charge direct assurance pour assurer mon véhicule                             
il est plutôt rapide ,clair et simple.</t>
  </si>
  <si>
    <t>10/09/2021</t>
  </si>
  <si>
    <t>cargou-p-112366</t>
  </si>
  <si>
    <t>Je suis ravi, devis rapide, pas cher, efficace. Je n'hésiterai pas à parler de vos services à mes contacts. Bien cordialement. Philippe Cargou........</t>
  </si>
  <si>
    <t>02/05/2021</t>
  </si>
  <si>
    <t>philippenessus-139094</t>
  </si>
  <si>
    <t>J'étais satisfait jusqu'en 2019 , date à laquelle je me trouve immobilisé en Espagne . Etant à l'époque au tiers "maxi" , Direct Assurance devait - et faire mettre en sécurité mon véhicule-et nous envoyer un taxi pour suivre le plateau devant transporter le véhicule . Le plateau est arrivé 3 heures plus tard , mais pas de taxi . Il nous était impossible de laisser partir notre véhicule chargé de tout sans le suivre . Le plateau a attendu 1/2 heure , puis est reparti . Un rappel vers Direct Assurance , où une conseillère nous a répondu que le dossier a  été classé puisque nous avions refusé le plateau ! Notre explication sur l'absence de taxi : ils n'en avaient rien à faire . Cela nous a coûté 600 € plateau que nous avons choisi avec un taxi affrété par nos soins . Bien sûr en rentrant de vacances nous avons résilié cette assurance qui nous a rappelé en nous proposant une indemnisation de 60 € ...de quoi rire .</t>
  </si>
  <si>
    <t>06/11/2021</t>
  </si>
  <si>
    <t>01/12/2020</t>
  </si>
  <si>
    <t>sanglier-110941</t>
  </si>
  <si>
    <t>impossible d'allez sur le site car il refuse le N° d'adhérent alors que nous avons la carte depuis Janvier 2021. C'est incompréhensible surtout qu'il en a besoin. Pourquoi ??????</t>
  </si>
  <si>
    <t>19/04/2021</t>
  </si>
  <si>
    <t>estelle-b-128053</t>
  </si>
  <si>
    <t>satisfait du devis et de sa simplicité ainsi que du prix et des options proposés par la compagnie... beaucoup moins chère qu'ailleurs  par rapport a l'ancienne assurrance</t>
  </si>
  <si>
    <t>15/08/2021</t>
  </si>
  <si>
    <t>clo02-75382</t>
  </si>
  <si>
    <t xml:space="preserve">Tout d'abord je tiens à remercier Erika qui a su régler rapidement mon problème et surtout avec beaucoup de gentillesse et de prévenance.  Par contre je ne suis pas satisfaite du tout du niveau des remboursements et du suivi clients de la part de santiane.  J'ai fait une demande de prise en charge le 30 mars pour des hospitalisations les 26 avril et 3 mai. Je n'ai obtenu aucune réponse même après 2 rappels par mail. Seule Erika a su réagir rapidement et je l'en remercie mon opération étant pour demain. </t>
  </si>
  <si>
    <t>25/04/2019</t>
  </si>
  <si>
    <t>01/04/2019</t>
  </si>
  <si>
    <t>philmatt1-78328</t>
  </si>
  <si>
    <t xml:space="preserve">Très bon en tarif, par contre ne pas avoir de sinistre même non responsable. 5 mois pour être remboursé. Je déconseille. Mieux vaut prendre une assurance avec un interlocuteur en face. </t>
  </si>
  <si>
    <t>30/08/2020</t>
  </si>
  <si>
    <t>doydou-69046</t>
  </si>
  <si>
    <t>Bonnes garanties pour un travailleur indépendant c est plutot rare et surtout le prix est très correct</t>
  </si>
  <si>
    <t>30/11/2018</t>
  </si>
  <si>
    <t>nesaviation92-75638</t>
  </si>
  <si>
    <t>Compagnie à fuire, assuré en tout risque, accident survenu en octobre, depuis j'attends toujours le remboursement de ma franchise et de mes accessoires 1400, impossible d'avoir un document confirmant si je suis ou non responsable...</t>
  </si>
  <si>
    <t>AssurOnline</t>
  </si>
  <si>
    <t>06/05/2019</t>
  </si>
  <si>
    <t>01/05/2019</t>
  </si>
  <si>
    <t>roro-108388</t>
  </si>
  <si>
    <t xml:space="preserve">Mon interlocutrice à très bien répondue à ma demande très professionnelle et à l'écoute, pour moi une assurance (mutuelle) qui correspond à mes attentes et qui peut évoluée. </t>
  </si>
  <si>
    <t>29/03/2021</t>
  </si>
  <si>
    <t>nessrine-k-135222</t>
  </si>
  <si>
    <t xml:space="preserve">Satisfaite du service et du prix pratique pour s'assurer sur internet je remercie direct assurance j'attends le contrat facilité de s'assurer sur internet </t>
  </si>
  <si>
    <t>jean-maddox--d-113360</t>
  </si>
  <si>
    <t>Je suis satisfait des prestations de Direct Assurance et de le niveau de rapidité de réponse
Cela fait fait plus de 10 ans je suis chez direct assurance.
Je souhaite parrainer de nouveau client.</t>
  </si>
  <si>
    <t>11/05/2021</t>
  </si>
  <si>
    <t>francois62-78513</t>
  </si>
  <si>
    <t xml:space="preserve">Suite à un arrêt prolongé j'ai demandé la prise en charge de mon assurance crédit poussé 
Par mon conseillé juridique hors après une longue attente une simple lettre me disant que mon arrêt de travail entre dans les clauses d'exclusion du contrat sans autres explications. Sur la demande de mon conseillé j ai renvoyé  une lettre demandant la clause exacte du refus et de m'envoyer les conditions générales de mon crédit ne les ayant plus cela fait 3 semaines sans retour le 2 septembre je dois revoir mon conseillé sans les papiers ni l'explication ? Est-ce une non réponse volontaire de cardif ???? Ou il ne m'est pas autorisé  de connaître la clause incriminée ???? Je relance cette semaine par courrier sans réponse j'engagerai ce qu'il doit se faire </t>
  </si>
  <si>
    <t>credit</t>
  </si>
  <si>
    <t>18/08/2019</t>
  </si>
  <si>
    <t>zh-elalaoui-51930</t>
  </si>
  <si>
    <t>Augmentation non justifiée des frais  (plus que 200 euros) cette année sans raison, sans sinistre année précédente , quand j'ai appelé ils mont dit augmentation générale sur tous les clients. j'ai choisi cette assurance car elle était la moins chère alors pourquoi y rester maintenant qu'elle l'est plus ........</t>
  </si>
  <si>
    <t>damien-d-108717</t>
  </si>
  <si>
    <t xml:space="preserve">Hausse de l'assurance auto de 5€ par mois par rapport à 2020. C'est ENORME. Je pars à la concurrence l 12 avril 2021.                                                  </t>
  </si>
  <si>
    <t>31/03/2021</t>
  </si>
  <si>
    <t>miralles-mp-97746</t>
  </si>
  <si>
    <t>Je suis mutualiste depuis 1984 j’ai toujours eu les réponses à mes demandes auprès de personnes qualifiées les services proposés me conviennent et les tarifs restent raisonnables</t>
  </si>
  <si>
    <t>jredo-97656</t>
  </si>
  <si>
    <t>Bonjour, Je n'ai jamais eu de problèmes au.niveau local agence de NARBONNE par contre évitez d'appeler le numéro national ou certaines personnes font n'importe quoi :   hier j'ai appelé le service sinistre juste pour savoir si le bris du verre d'une plaque de cuisson pouvait être pris en charge, reponse non, j'ai donc dit : au revoir, merci. Un instant plus tard j'ai reçu un mail m'informant que j'avais déclaré un sinistre, (clos le jour même). C'est vraiment n'importe quoi, je voudrais bien savoir pourquoi une simple demande de renseignement s'est transformée en déclaration bidon de sinistre est ce pour gonfler artificiellement le nombre de sinistres ???.</t>
  </si>
  <si>
    <t>10/02/2021</t>
  </si>
  <si>
    <t>boutevillain-c-123391</t>
  </si>
  <si>
    <t>Satisfait des tarifs mais dommage de régler avant de finaliser le contrat ! Trop long pour la carte verte, malheureusement on le découvre trop tard, dommage</t>
  </si>
  <si>
    <t>14/07/2021</t>
  </si>
  <si>
    <t>meli-58678</t>
  </si>
  <si>
    <t>Demande de supprimer la surprime  de 75% suite decret fevrier 2017droit à l'oubli 
Relance de cardif sur questionnaire tumeur qui n'est pas obligatoire à remplir</t>
  </si>
  <si>
    <t>18/11/2017</t>
  </si>
  <si>
    <t>01/11/2017</t>
  </si>
  <si>
    <t>margueritte-63900</t>
  </si>
  <si>
    <t>j'attends depuis un an mes indemnités suite à un sinstre</t>
  </si>
  <si>
    <t>CNP Assurances</t>
  </si>
  <si>
    <t>11/05/2018</t>
  </si>
  <si>
    <t>01/05/2018</t>
  </si>
  <si>
    <t>yohan-61486</t>
  </si>
  <si>
    <t>Assurance vraiment pourri à ces sur les prix sont intérésant mais quand il ya un souci il vous allume de plus sa fait 1mois et demie que je me retrouve sans voiture alor que suis assurer tous risque jai l option voiture de pret mais non vous avez pas le droit votre vehicule est declareé epave ensuite nous attendons un cheque de rembousement de notre voiture alor il faut les appelez tous les jours pour qua la fin obliger de renvoyer le cheque car le nom est meme pas le mien j'allucine!!! bientot 2 mois que je me dermerde pour allez bosser et toujours pas de remboursement je deconseille vraiment cette assurance!!!</t>
  </si>
  <si>
    <t>15/02/2018</t>
  </si>
  <si>
    <t>bene-64206</t>
  </si>
  <si>
    <t xml:space="preserve">service très médiocre, plate forme téléphonique nulle on nous ballade de numéros en numéros pour n'obtenir aucun renseignements à déconseiller très coûteux en frais téléphoniques c'est une honte surtout quand on est en pleine détresse! </t>
  </si>
  <si>
    <t>25/05/2018</t>
  </si>
  <si>
    <t>assia-v-125810</t>
  </si>
  <si>
    <t xml:space="preserve">très satisfaite du prix et de la facilité d’avoir un devis rapidement! dommage que je n’ai pas pu avoir les conseillers au téléphone  mais sinon rien à dire </t>
  </si>
  <si>
    <t>31/07/2021</t>
  </si>
  <si>
    <t>marlin-voilier-102982</t>
  </si>
  <si>
    <t>Dommage que le tarif Auto ne soit pas compétitif avec les mèmes garanties pour un véhicule de luxe par rapport à la concurrence.
Si il y avait changement, j'opterai pour AMV.</t>
  </si>
  <si>
    <t>20/01/2021</t>
  </si>
  <si>
    <t>lili-76756</t>
  </si>
  <si>
    <t>Adhérente avec sa titane depuis 2015</t>
  </si>
  <si>
    <t>13/06/2019</t>
  </si>
  <si>
    <t>01/06/2019</t>
  </si>
  <si>
    <t>essbie-c-135263</t>
  </si>
  <si>
    <t>satisfaite économie de 150 euros sur l' année avec mon ancienne assurance je v donc souscrire pour tous mes véhicules et meme l'assurance habitation.....que du boheur vive les économies........</t>
  </si>
  <si>
    <t>brossard-a-134233</t>
  </si>
  <si>
    <t xml:space="preserve">Parfait! Franchement pour jeune conducteur ces attractif et arrangeant face au conçurent y a rien a dire foncé tête baissée merci à vous pour cette efficacité </t>
  </si>
  <si>
    <t>23/09/2021</t>
  </si>
  <si>
    <t>housseyn-a-131140</t>
  </si>
  <si>
    <t xml:space="preserve">Satisfait de vos services prix es devis je recommanderai l assurance à d autre personne j ai plusieurs véhicules chez vous assurer toujours au service de vos clients </t>
  </si>
  <si>
    <t>03/09/2021</t>
  </si>
  <si>
    <t>materic-77804</t>
  </si>
  <si>
    <t xml:space="preserve">Bonsoir , j'ai bientôt 30 années de conduite sans aucun accident responsable.
Malheureusement cette année , j'ai mon premier accrochage de ma faute.
Hier j'ai reçu une lettre recommandée de la ma GMF me signifiant la résiliation de mon contrat à echéance.
j'estime avoir été traité comme un grand délinquant de la route et j'avoue que cela me dégoute </t>
  </si>
  <si>
    <t>21/07/2019</t>
  </si>
  <si>
    <t>dumas-n-112121</t>
  </si>
  <si>
    <t xml:space="preserve">Je suis satisfaite du service et le prix me convient. Le principe du parrainage est très intéressante en terme de prix pour le parrain et le parrainé </t>
  </si>
  <si>
    <t>29/04/2021</t>
  </si>
  <si>
    <t>arthur-m-115116</t>
  </si>
  <si>
    <t>Simple et pratique, les prix me conviennent, bon niveau de service et bonne réactivité.
Simple et pratique, les prix me conviennent, bon niveau de service et bonne réactivité</t>
  </si>
  <si>
    <t>28/05/2021</t>
  </si>
  <si>
    <t>maud-102148</t>
  </si>
  <si>
    <t>Je suis très mécontente de cet assureur. Il trouve toujours une excuse pour ne pas rembourser les frais vétérinaires. Se permet d'aller à l'encontre des avis médicaux  du vétérinaires. Les personnes au téléphone sont humiliantes et sans gêne.
Il joue sur les mots et invente tous les prétextes pour ne pas payer.
Un conseil : Fuyez et surtout lisez bien les conditions générales de vente avant toutes souscriptions. Il joue sur les mots : stérilisations, invente des maladies soit disant dues à la race pour ne pas payer. C'est honteux de se servir de l'amour des animaux et de notre détresse face à un animal souffrant pour s'enrichir.
J'ai résilié pour 2021 mais j'ai dû tout payer d'un coup pour ne plus avoir a faire à eux.
FUYEZ !</t>
  </si>
  <si>
    <t>04/01/2021</t>
  </si>
  <si>
    <t>jemsi34-77855</t>
  </si>
  <si>
    <t xml:space="preserve">Client depuis 1983 un véhicule bonus à vie 0,50 plus 0,02et un véhicule a 0,62 suite accident sans tiers 5000euros dégâts et bris de glace 60 euros 
Il me propose de résilier le contrat à 0,62 de bonus et de le placer chez jocker assurances ??? Avec + 240 euros </t>
  </si>
  <si>
    <t>23/07/2019</t>
  </si>
  <si>
    <t>terence-a-116492</t>
  </si>
  <si>
    <t>Satisfait du service, accueil agréable et clair dans les informations fourni par le conseiller, je recommande vivement et les tarifs sont intéressant.</t>
  </si>
  <si>
    <t>09/06/2021</t>
  </si>
  <si>
    <t>bernard-7738-102772</t>
  </si>
  <si>
    <t>April n’a aucune considération pour ses clients en mutuelle santé...
Nous leur avons fait une demande d’assurance de prêt, à  50 / 50 % avec mon Epouse et.... ils m’ont refusé parce que j’ai fait un infarctus il y a 12 ans !!
Même pas proposé de mettre l’assurance à  100 % sur mon Epouse.
Ils ont mis 1 semaine pour refuser sans motif et j'ai du attendre 1 semaine de plus pour avoir un courrier de leur médecin conseil, exposant les motifs de leur refus.
Et la convention aeras ?, ils ne semblent pas connaître. 
Pas très commercial tout cela, résultat : nous allons changer de mutuelle.</t>
  </si>
  <si>
    <t>17/01/2021</t>
  </si>
  <si>
    <t>marika-138008</t>
  </si>
  <si>
    <t xml:space="preserve">Mon véhicule en stationnement a été percuté le 6 août par un véhicule dont le conducteur était sous l’emprise de stupéfiant Un constat a été établi Notre responsabilité nullement engagé Allianz doit nous racheter notre véhicule Le dossier est en cours et l’on ne peut obtenir aucune information par téléphone On vous rappellera sous 48 heures et bien sûr aucun rappel Aucune considération pour sa clientèle Très déçue d’Allianz ?? En plus un contrat tout risque et possédant plusieurs contrats depuis de nombreuses années </t>
  </si>
  <si>
    <t>marion-m-122437</t>
  </si>
  <si>
    <t xml:space="preserve">Je suis satisfaite du contact avec Imane Mansouri, très efficace et des tarifs proposés.
Je recommanderai cette assurance auprès de mes connaissances </t>
  </si>
  <si>
    <t>Zen'Up</t>
  </si>
  <si>
    <t>nefertiti-99434</t>
  </si>
  <si>
    <t>Je n'ai pas eu souvent affaire à la GMF, mais quand j'ai eu des problèmes, leurs réponses ont été OK.
Ils ne sont pas parfaits : le temps d'attente au téléphone est parfois long, mais comparée à mes autres assurances, la GMF est au dessus du lot (peut-être parce que les autres assurances se dégradent ?).
Globalement bons !</t>
  </si>
  <si>
    <t>30/10/2020</t>
  </si>
  <si>
    <t>rachid-o-107312</t>
  </si>
  <si>
    <t>je souhaiterais un paiement mensualisé et il me semble que vous avez augmenté alors que je n'ai pratiquement pas roulé .Merci de faire le nécessaire .je souhaiterais modifié mon contrat</t>
  </si>
  <si>
    <t>20/03/2021</t>
  </si>
  <si>
    <t>khadytraore-92246</t>
  </si>
  <si>
    <t xml:space="preserve">Prix convenable ... simulation rapide...juste les trois mois a payer d avance qui sont un peu compliqués
Je n ai rien d autre a dire.
Merci cordialement 
Bon week-end </t>
  </si>
  <si>
    <t>25/06/2020</t>
  </si>
  <si>
    <t>roux-c-111856</t>
  </si>
  <si>
    <t>Bon accueil, manque un peu de connaissance du conseiller qui avait besoin d'aide pour finaliser le contrat a plusieurs reprise pour différents sujet et donc mise en attente mais très polie.</t>
  </si>
  <si>
    <t>alo-102408</t>
  </si>
  <si>
    <t xml:space="preserve">Demander 1200€ d’assurances pour une voiture de 15 ans une HONTE ! Je résilie chez eux on me demande d’avances la sommes pour que je puisse être rembourser ????  AUCUNE LOGIQUE ! Aucun côté humain dommage que le 0 ne sois pas possible à fuir de toute urgence !! </t>
  </si>
  <si>
    <t>09/01/2021</t>
  </si>
  <si>
    <t>richard-m-105088</t>
  </si>
  <si>
    <t>Je trouve les services très réactifs et les prix sont compétitifs. L'espace personnel est ergonomique et l'aide en ligne est efficace. Je ne peux donner mon avis sur la prise en charge de sinistre car je n'ai pas eu recours à ce service</t>
  </si>
  <si>
    <t>motton-c-134080</t>
  </si>
  <si>
    <t>Très satisfait des tarifs que vous proposez merci et la rapidité avec laquelle vous vous occupez de vos clients merci beaucoup de votre compréhension cordialement Mr motton</t>
  </si>
  <si>
    <t>cyrille-k-130291</t>
  </si>
  <si>
    <t xml:space="preserve">Les prix sont intéressants mais il y a trop de question a remplir surtout quand je suis déjà client chez vous. a améliorer car on ne se sent pas reconnu et privilégier </t>
  </si>
  <si>
    <t>dayeg-n-129214</t>
  </si>
  <si>
    <t>Aucune information sur mon contrat , min conseillé m’a affirmé avoir fait un changement d’adresse, qu’il n’a pas fait depuis ! Impossible d’accéder à mon compte ! J’appelle le service client à titre d’information, on me dit je sait pas Monsieur essayer de modifier sur votre application ! Bref déçu et regrette de m’être engagée chez vous ! Je monte un dossier pour résilier mon contre</t>
  </si>
  <si>
    <t>23/08/2021</t>
  </si>
  <si>
    <t>al19-90360</t>
  </si>
  <si>
    <t>En conflit depuis plus d'un an pour un dossier de mes enfants en garantie décennale sur la construction d'un chalet bois. Les bois de structure sont attaqués de partout et la SMA rejette le dossier alors que les démarches respectent bien la date avant les 10 ans. Argumentations pour décourager les sinistrés, prétends que l'entreprise a bien mis les bois en conformité excluant la garantie. Alors que l'assurance décennale du constructeur est là pour garantir l'imprévu, donc l'attaque des vers.</t>
  </si>
  <si>
    <t>Sma</t>
  </si>
  <si>
    <t>garantie-decennale</t>
  </si>
  <si>
    <t>09/06/2020</t>
  </si>
  <si>
    <t>djiel-61182</t>
  </si>
  <si>
    <t xml:space="preserve">Accident non responsable le 2 janvier 2018, aujourd'hui le 6 février alors que les papiers avec l'expert ont été réceptionné par le service sinistre depuis le 17 janvier , je n'ai pas reçu l'indemnisation et en appelant ce service "sinistre" ne peut pas me donner une avancée  concrète sur mon dossier, bande d'incompétence! </t>
  </si>
  <si>
    <t>06/02/2018</t>
  </si>
  <si>
    <t>laurent-m-107694</t>
  </si>
  <si>
    <t>Voilà plus de 4 ans que je n'ai pas bougé ce véhicule et aucune proposition ne m'est faite pour réduire la prime d'assurance. Aucun dispositif n'existe pour adapter ce montant.</t>
  </si>
  <si>
    <t>23/03/2021</t>
  </si>
  <si>
    <t>manu-110164</t>
  </si>
  <si>
    <t>Elle fait Référence Uniquement au prix et á la qualité des conseillers aussi le faite que cela fait peut de temps que j'y suis Mais ils sont très Pro.</t>
  </si>
  <si>
    <t>12/04/2021</t>
  </si>
  <si>
    <t>ma-122043</t>
  </si>
  <si>
    <t>10 appels pour avoir la cotisation de l'année 2020. 
Aucune personne n'est capable de traiter la demande. Je reçois 10 pièces comptable pour l'année 2021!!! 
Le pire c'est qu'a chaque fois on me dis oui oui c'est bien pris en compte pour que je raccroche et puis plus rien!!!! 
service de mer**. 
j'attends d'avoir l'attestation pour trouver un autre assureur plus compétent</t>
  </si>
  <si>
    <t>Sogessur</t>
  </si>
  <si>
    <t>lucino-l-138129</t>
  </si>
  <si>
    <t>je viens de souscrire mon contrat mais en revanche je peux garantir que l'Olivier Assurance est bien une des moins cher du marché (rip a toutes ses heures perdus à établir des devis chez les concurrents si j'avais j'aurais commencé par l'Olivier)</t>
  </si>
  <si>
    <t>23/10/2021</t>
  </si>
  <si>
    <t>lynx-113409</t>
  </si>
  <si>
    <t>A éviter cela va bientôt faire 2 ans que j'attends l'appel de mon chargé de sinistre pour me faire indemniser. j'appelle presque chaque semaine et j'ai toujours la même chanson des conseillers le chargé de sinistre me rappelera sous 48h maximum</t>
  </si>
  <si>
    <t>savajols-j-124999</t>
  </si>
  <si>
    <t>Très satisfait pour le moment (seulement 1 mois). Prix compétitif, simplicité d'engagement, support clientèle satisfaisant, A confirmer sur le long terme.</t>
  </si>
  <si>
    <t>guillaume-g-126166</t>
  </si>
  <si>
    <t xml:space="preserve">Rapide et bon tarifs tout est parfait 
La facilité de souscription ainsi que le choix des formules qui sont toujours adaptées à nos besoin. Je recommande </t>
  </si>
  <si>
    <t>arobaz112-79280</t>
  </si>
  <si>
    <t>Ils augmentent leur tarif chaque année. Même avec le bonus, vous payerez de plus en plus cher. Fuyez cette assurance. Près de 500 euros par an avec 32% de bonus en tiers mini pour un véhicule de 7 cv qui a plus de 12 ans...!!!</t>
  </si>
  <si>
    <t>18/09/2019</t>
  </si>
  <si>
    <t>01/09/2019</t>
  </si>
  <si>
    <t>trft-63803</t>
  </si>
  <si>
    <t xml:space="preserve">Des garanties convenables à  des prix similaires à la Maaf par exemple mais une service client déplorable et une absence totale de conseil. </t>
  </si>
  <si>
    <t>05/05/2018</t>
  </si>
  <si>
    <t>chauvet-l-128689</t>
  </si>
  <si>
    <t xml:space="preserve">Rapide, conseiller sympathique, prix raisonnable. Je cherchais un assurance au tiers pour ma voiture et tout à été fait rapidement et simplement... Service efficace. </t>
  </si>
  <si>
    <t>19/08/2021</t>
  </si>
  <si>
    <t>cess67-77821</t>
  </si>
  <si>
    <t xml:space="preserve">Après 4 mois le décès de ma maman je suis beneficiaire du capital que j'attend depuis pour payer les pompes funèbres. A chaque appel le dossier est au même point evitez cette assurance. Les 10 jours ne sont pas en aucun cas respecté </t>
  </si>
  <si>
    <t>Sogecap</t>
  </si>
  <si>
    <t>22/07/2019</t>
  </si>
  <si>
    <t>vlad49-68122</t>
  </si>
  <si>
    <t>Moto volée le 4 septembre. Toujours en attente d'indemnisation. Le plus beau est d'apprendre que j'ai été résilié  pour la précédente moto car ils ont pas reçu le cerfa de cession. C'est 1 an et demi après qu'on me reparle de ça. Une fois le cerfa renvoyé trois services me réclament des montants différents pour clore mon contrat. En l'état actuel les gestionnaires ne semblent pas du tout enclins à donner suite à mon dossier.
J'attends aussi qu'ils lèvent la résiliation honteuse dont j'ai fait l'objet au titre de mon précédent véhicule et qui je me pénaliser pendant des années.</t>
  </si>
  <si>
    <t>27/10/2018</t>
  </si>
  <si>
    <t>thibault-91361</t>
  </si>
  <si>
    <t xml:space="preserve">Satisfait de votre site très complet, avec le site j’ai eu toutes mes reponses,                                                                       </t>
  </si>
  <si>
    <t>valentin-v-125721</t>
  </si>
  <si>
    <t xml:space="preserve"> Code promo AUTO80 refusé...
Aurais apprécié un geste commercial...
Le prix reste intéressant par rapport à mon assurance actuelle.
À voir pour la suite...</t>
  </si>
  <si>
    <t>cliente-56635</t>
  </si>
  <si>
    <t xml:space="preserve">Je  viens  de parler de mon problème avec la GMF en oubliant de mettre une  note.  Il s'agit d'une panne avec inexistence d'assistance. Deux  jours à attendre sans véhicule de remplacement comme le stipule le contrat ni hébergement. </t>
  </si>
  <si>
    <t>12/08/2017</t>
  </si>
  <si>
    <t>lavergne-j-138624</t>
  </si>
  <si>
    <t>Je suis satisfait du tarif et du service lors de la signature du contrat. Je serai pleinement satisfait si tout se passe bien tout au long du contrat et notamment en cas de sinistre....</t>
  </si>
  <si>
    <t>30/10/2021</t>
  </si>
  <si>
    <t>virginie03-91060</t>
  </si>
  <si>
    <t>Site clair et facile d'accès.
Rédaction du devis simple et rapide, prix attractif même avec les options.
je recommande sans problème. A prévoir l'habitation</t>
  </si>
  <si>
    <t>16/06/2020</t>
  </si>
  <si>
    <t>nougat-107928</t>
  </si>
  <si>
    <t>Plus d'un an pour ne PAS réussir à obtenir un retrait sur un contrat GMO, pas de contact possible par e_mail, tout passe par courrier et mettre des semaines pour être pris en compte et traité. C'est le moyen-âge ! 
À fuir absolument</t>
  </si>
  <si>
    <t>antoine-75146</t>
  </si>
  <si>
    <t>Un leurre : Eurofil est une pompe à fric. 
Dès le premier sinistre, même dérisoire et après plus de dix ans de bons et loyaux paiements, Eurofil vous vire.</t>
  </si>
  <si>
    <t>peggy-t-131212</t>
  </si>
  <si>
    <t>TRES BIEN ?PARFAIS J ESPERE NE PAS ME TROMPER SUR VOUS J ETAIS A ASSU 2000 MAIS CELA RESTE TRES CHER  ?CHEZ VOUS C EST SIMPLE ET RAPIDE JE VERRAI BIEN</t>
  </si>
  <si>
    <t>04/09/2021</t>
  </si>
  <si>
    <t>mounin-z-131257</t>
  </si>
  <si>
    <t xml:space="preserve">trop de doublons dans les garranties prosposes par tel sinon site est bien fait et laie le temps de reflechir au meilleurs combinaisons oissibles merci </t>
  </si>
  <si>
    <t>sandrine-l-103170</t>
  </si>
  <si>
    <t xml:space="preserve">facile et rapide. courtier réactif aux questions posées...
tarif très intéressant et frais de dossier attractifs
                                                                                            </t>
  </si>
  <si>
    <t>25/01/2021</t>
  </si>
  <si>
    <t>sandra-b-126451</t>
  </si>
  <si>
    <t xml:space="preserve">Je suis satisfait de votre offre internet, assurance auto et les options que vous proposez. Votre site est très intéressant, beaucoup de choix et options. 
</t>
  </si>
  <si>
    <t>04/08/2021</t>
  </si>
  <si>
    <t>auxerre89-137140</t>
  </si>
  <si>
    <t xml:space="preserve">Très bonne mutuelle, sérieuse et compétente. Transparence et compétence de la gouvernance. Le maillage délégué est bon. Le prix est à sa juste valeur pour une bonne prise en charge. </t>
  </si>
  <si>
    <t>12/10/2021</t>
  </si>
  <si>
    <t>jennifer-m-121927</t>
  </si>
  <si>
    <t xml:space="preserve">Le meilleur tarif que j’ai trouvé même si c’est un peu cher. 
Facilité  d’adhésion. 
Simple rapide efficace. A maintenant dans le temps si je reste satisfaite. </t>
  </si>
  <si>
    <t>30/06/2021</t>
  </si>
  <si>
    <t>client-63652</t>
  </si>
  <si>
    <t>très décevant. Je suis client depuis 18 ans. Dès que j'ai eu besoin de retirer de l'argent de mon compte d'assurance vie mon conseiller ne répond plus malgré les nombreux messages téléphoniques auprès de son assistante. L'on me dit que l'on va rappeler mais ce n'est pas le cas. Tant que vous faites des versements sur votre compte, l'accueil est bon et puis après plus rien. Du coup, c'est la galère pour récupérer mes fonds. Aucun service et surtout aucun respect de leurs clients.</t>
  </si>
  <si>
    <t>29/04/2018</t>
  </si>
  <si>
    <t>damien-96895</t>
  </si>
  <si>
    <t>Complement a coté de leur pompes: ils vous reclament des cotisations deja payées, tres difficiles a joindre, il vous font patienter au téléphone pour rien, quand on voit le manque de professionnalisme pour la gestion des contrats, on s'inquiete en cas de sinistre...</t>
  </si>
  <si>
    <t>zazou-110685</t>
  </si>
  <si>
    <t>Je suis satisfait de mon assurance, tarif attractif. Ceci dit, je n'ai jamais eu d'accident, ni dérobé de mon scooter donc je n'ai jamais eu besoin de solliciter mon assureur.</t>
  </si>
  <si>
    <t>christgo95-137533</t>
  </si>
  <si>
    <t xml:space="preserve">Une assurance à fuir, depuis février 2021 je "bagarre" pour un remboursement de 800/1000€ sur 2500e de frais vétérinaire. J'appelle tous les 3 semaines et toujours la même réponse votre dossier est complet je le transmet plus haut... Mdrrr je reçois des mails me demandant toujours les mêmes documents qu'ils ont déjà. Je ne peux même pas partir ma chienne ne sera plus acceptée nul part ayant malheureusement déclaré une maladie d'addison. Merci eca assurance vous savez très bien prélever les mensualités le reste.... Fuyez </t>
  </si>
  <si>
    <t>15/10/2021</t>
  </si>
  <si>
    <t>annie-g-130318</t>
  </si>
  <si>
    <t>Je trouve les prix convenables et le contact en agence et sur le site satisfaisant. Je recommanderai auprès de mes collègues en recherche d'assurance.</t>
  </si>
  <si>
    <t>fabre-i-109553</t>
  </si>
  <si>
    <t>Très bon contact avec les opératrices, prix raisonnables, nous ferons le point dans 12 mois pour un avis définitif. A ce jour, le système informatique connait quelques lacunes - Merci</t>
  </si>
  <si>
    <t>08/04/2021</t>
  </si>
  <si>
    <t>mickael-c-134151</t>
  </si>
  <si>
    <t>Je suis satisfait des services et des tarifs même pour les jeunes permis A2 
L'assistance téléphonique est très agréable et professionnelle .
Je recommande vivement.</t>
  </si>
  <si>
    <t>yasemin-t-108477</t>
  </si>
  <si>
    <t>Avec les options au final cela revient vraiment trop cher, si les optons étaient comprises avec le prix global ça serai top, Si c'est ainsi je ne recommande pas direct assurance</t>
  </si>
  <si>
    <t>30/03/2021</t>
  </si>
  <si>
    <t>enzo33160-93080</t>
  </si>
  <si>
    <t>Je suis satisfais du service.. Les prix sont abordables et les services proposés également. Après comparaison direct assurance est l’assurance la moins chère que j’ai trouvé pour une Audi A3 sportback</t>
  </si>
  <si>
    <t>02/07/2020</t>
  </si>
  <si>
    <t>schauvin85-63976</t>
  </si>
  <si>
    <t>Nous sommes le 14 Mai et toujours pas recu ma pension d'invalidité du Mois d'avril 2018.Aux problèmes de santé grave et faut rajouter le soucis du non paiement des prestations d'invalidté.C'est inadmissible</t>
  </si>
  <si>
    <t>14/05/2018</t>
  </si>
  <si>
    <t>benoit-g-124317</t>
  </si>
  <si>
    <t xml:space="preserve">je suis satisfais de la prestation mais les démarches pour un contrat supplémentaire sont trop longue et compliqué la rattachement au contrat existant devrait être simplifier .
</t>
  </si>
  <si>
    <t>23/07/2021</t>
  </si>
  <si>
    <t>titmouche-64106</t>
  </si>
  <si>
    <t>Bonne assurance avec un large choix.</t>
  </si>
  <si>
    <t>20/05/2018</t>
  </si>
  <si>
    <t>jfe-67488</t>
  </si>
  <si>
    <t xml:space="preserve">Ma grand mère est décédée et avait un contrat chez vous. Mon père ne le savait pas, il est décédé aussi. je dois régler sa succession merci de me donner un contact.  </t>
  </si>
  <si>
    <t>09/10/2018</t>
  </si>
  <si>
    <t>ferrer-89028</t>
  </si>
  <si>
    <t xml:space="preserve">bonjour sociétaire depuis l'age de 18 ans premier sinistre survenue le 3/03/2020,devis fait pendant le confinement pour aller plus vite 3500 euros , pas d'expert envoyé mais un expert qui de son bureau situe  a Lyon (j'habite a coté de st Gaudens haute Garonne) qui trouve que le devis est trop cher de 200 euros et qui me demande d'en faire un autre ou d'accepter ses recommandation pour un paiement de 3200 euros  .Bravo quelle rapidité et quelle justesse  </t>
  </si>
  <si>
    <t>21/04/2020</t>
  </si>
  <si>
    <t>catherine-p-115231</t>
  </si>
  <si>
    <t>Suite à une déclaration sinistre voiture ,super contact et rapidité d'action, rappel à domicile malgré le confinement, et contrat inchangé, je recommande.</t>
  </si>
  <si>
    <t>zepati-86277</t>
  </si>
  <si>
    <t xml:space="preserve">Excellent service clients. Très bonne application. </t>
  </si>
  <si>
    <t>24/01/2020</t>
  </si>
  <si>
    <t>01/01/2020</t>
  </si>
  <si>
    <t>christian-81614</t>
  </si>
  <si>
    <t>Un des taux les plus bas des assurances vies, à fuir si vous voulez ouvrir un nouveau compte.</t>
  </si>
  <si>
    <t>04/12/2019</t>
  </si>
  <si>
    <t>01/12/2019</t>
  </si>
  <si>
    <t>kit-o-115712</t>
  </si>
  <si>
    <t>L'attestation d'assurance ne mentionne pas le modèle et le numéro de la voiture.
il serait bon de modifier le modele que vous proposez lorsque nous devons communiquer ce document à un organisme tiers.</t>
  </si>
  <si>
    <t>02/06/2021</t>
  </si>
  <si>
    <t>bikinda-walker-o-110088</t>
  </si>
  <si>
    <t xml:space="preserve">Je suis satisfait du service
Information claire
Prix satisfaisant, je recommanderais à mes proches et amis.
Réactif et professionel
Courtois
Merci...
</t>
  </si>
  <si>
    <t>martin-111508</t>
  </si>
  <si>
    <t>La Matmut elle assure pas du tout... cela fait maintenant 6 mois qu'une personne est rentré dans le mur de notre maison il est complètement éventré..
nous n'avons reçu aucun remboursement pour effectuer les travaux de la partie adverse, et la Matmut qui nous représente ne s'occupe absolument pas de notre dossier seul au monde... Prochaine étape Julien Gourbet ..</t>
  </si>
  <si>
    <t>24/04/2021</t>
  </si>
  <si>
    <t>martin-g-123628</t>
  </si>
  <si>
    <t>Nous avons toujours été très satisfaits par la GMF. Nous avons subit un vol de scooter et trois accidents non-responsables et tout s'est toujours très bien passé.</t>
  </si>
  <si>
    <t>16/07/2021</t>
  </si>
  <si>
    <t>alexandre-thouvenin--128355</t>
  </si>
  <si>
    <t>Si je pouvais mettre 0 je le metrrai ! Igne d'une assurance exotique... Personnellement client depuis 25 ans et toute ma famille historiquement depuis encore plus longtemps.
Suite à 1 sinistre sur un vitrage d'immeuble, rebondit d'excuses en excuses à chaque fois que l'on trouve le document leur prouvant le contraire , pour ne pas rembourser au final.
Les mails ne sont ni reçus ni transmis aux experts, douce mélodie d'attente qui vous racroche au nez après quelques minutes d'attente, que du bonheur. Je m'attendais pas à ce traitement de la part d'un assureur mutualiste 
Fuyez !!!</t>
  </si>
  <si>
    <t>17/08/2021</t>
  </si>
  <si>
    <t>manfran-52268</t>
  </si>
  <si>
    <t>Je suis assurer depuis plus d'un an; pas de sinistres pas de problèmes particulier, j'ai donc noter en positif. Dans l'attente qu'un jour n'arrivera pas de sinistre et je reviendrais donner mon opinion....</t>
  </si>
  <si>
    <t>09/02/2017</t>
  </si>
  <si>
    <t>mahmoud-l-132233</t>
  </si>
  <si>
    <t xml:space="preserve">Très satisfait de votre professionnalisme et de votre écoute. L'entretien téléphonique   ainsi que le temps que vous accorder pour se mettre en règle au niveau des documents. Merci. </t>
  </si>
  <si>
    <t>outrez-81306</t>
  </si>
  <si>
    <t xml:space="preserve">Je pense que je v me rendre au siège personne est capable de me transmettre mon contrat signé c mon mon droit on ne me transmet que des contrats sans ma signature donc je ne suis pas chez vous je paie 130 e en tous risque g pas d assistance mais où on voit ça c une blague </t>
  </si>
  <si>
    <t>25/11/2019</t>
  </si>
  <si>
    <t>01/11/2019</t>
  </si>
  <si>
    <t>ajg13-74766</t>
  </si>
  <si>
    <t>Impossible de joindre les conseillers pour procéder au rachat total. Attitude de personnes manquant de professionnalisme !!! ne répond ni au téléphone ni aux courriels!!
Comment compléter les documents requis sans aide d'un conseiller?</t>
  </si>
  <si>
    <t>04/04/2019</t>
  </si>
  <si>
    <t>boutria-a-138505</t>
  </si>
  <si>
    <t xml:space="preserve">Bonjour , je m'appelle Adam , je suis satisfais du service , mais j'aimerais payer un peu moins comme j'ai 2 véhicules qui sont assurer à L'olivier , sinon vous êtes simple parfois , mais parfois dure d'avoir ce qu'on voudrais  . Sinon je suis satisfait </t>
  </si>
  <si>
    <t>28/10/2021</t>
  </si>
  <si>
    <t>gonzalez-m-137448</t>
  </si>
  <si>
    <t xml:space="preserve">Vos conseillers, res, sont très professionnels, agréables, et patients pour mon cas en tout cas??
Biensur, je suis courtois et respecte le travail d autrui.. 
Cordialement 
</t>
  </si>
  <si>
    <t>14/10/2021</t>
  </si>
  <si>
    <t>wheely-123899</t>
  </si>
  <si>
    <t>Très mauvaise expérience... Malheureusement c'est dans la difficulté que l'on reconnaît ses vrais amis, mais également un bon assureur ! Cette assurance si vous tombez en panne fera tout ce qui est en son pouvoir pour minimiser la facture quitte à vous faire galérer comme ça été mon cas.
En effet je suis tombé en panne avec mon véhicule et la remorque à 200 kilomètres de mon domicile... L assurance appel le dépanneur autoroute et ils m'annoncent que j'ai droit à un forfait dépannage de 240 euros et que l excédent sera à ma charge ! Première belle surprise et pas la dernière. Arrivé du dépanneur et remorquage jusqu'à son dépôt hors de l autoroute et évidemment le forfait auquel j'ai droit est totalement atteint... Donc plus de possibilité de  prise en charge par l'assurance à partir de ce moment ! Je vous laisse deviner qui va mettre la main à la poche pour rapatrier un véhicule à 200 bornes de son domicile... Ensuite il a fallu me rapatrier moi à mon domicile et la bien entendu une autre magnifique surprise, aviva m annonce sans sourciller que j'ai droit à 50 euros de taxi... Je vous laisse admirer la blague ! Ils me proposent alors de prendre le train avec 3 correspondances en passant par Paris.... Une rallonge donc de 200 kilomètres et une galère de plus de 7 heures a attendre les différents trains.
En conclusion je vous déconseille très fortement cette compagnie car si vous êtes dans la galère, ne comptez pas sur eux et préparez vous à souffrir avec femme et enfants...  mes 3 contrats chez eux seront résiliés des la rentrée le temps pour moi de lire toutes les petites lignes des contrat de la concurrence...</t>
  </si>
  <si>
    <t>20/07/2021</t>
  </si>
  <si>
    <t>fa-123948</t>
  </si>
  <si>
    <t>MGEN solutions pour salariés d'entreprises
si la note 0 existait je la mettrait:
- des interlocuteurs téléphoniques qui répondent "je transmets"....et il ne se passe ...rien, malgré plusieurs relance (quand ils ne mente pas pour vous dire"je vous rappelle aujourd'hui"
- 2 mois pour la mise en place de la portabilité! Et encore c'est l'employeur qui ai intervenu
- un remboursement que l'on attend depuis 2 mois...."c'est en cours"
- une télétransmission Ameli supprimée et personne ne sait pourquoi
- des relances mail ou sur leur messagerie internet sans réponses
qui peut me dire quoi faire?
j'en suis au recommandé avec AR</t>
  </si>
  <si>
    <t>Mgen</t>
  </si>
  <si>
    <t>fred-52874</t>
  </si>
  <si>
    <t>Bonjour,suite à plusieurs interventions chirurgicales avec complications et radiothérapie entre 2013 et 2015(tumeur cérébrale),je me trouve aujourd'hui en cat 2 CPAM,reconnu travailleur handicapé avec séquelles importantes sur la jambe droite ainsi que des maux de tête intenables en cas de trop grosse fatigue ou de stress.
En janvier 2016 un médecin missionné par l'assurance conclue son compte rendu par une éventuelle stabilisation dans 2 à 3 ans.En décembre de la même année, nouvelle expertise avec un autre "pseudo" médecin qui lui décide de me consolider.Etant sous traitement anti-épileptique suite à une crise en 2014 (1 sem après une intervention lourde),je ne peux reprendre mon activité professionnelle.En effet,en tant que chauffeur poids-lourds et toujours salarié de mon entreprise,la revalidation de mes permis PL ne pourra être considéré qu'après sevrage de ce traitement.
Mon neurologue envisage de considérer cette possibilité en mai 2018.Je me considère donc en incapacité temporaire totale de travail et non stabilisé vu qu'avec l'accord de  mon médecin j'ai commencé à diminuer la posologie de ce médicament pour pouvoir reprendre mon activité au plus tôt.Je compte transmettre mon dossier à un avocat et une association de consommateurs au vue de clauses assurément contradictoires dans la notice d'adhésion.Depuis 4 ans je me bats contre la maladie,pour revalider mes permis professionnels(j'ai récupérer mon permis VL allez comprendre),je me battrai désormais pour faire valoir mes droits.</t>
  </si>
  <si>
    <t>07/03/2017</t>
  </si>
  <si>
    <t>mercercnul-107478</t>
  </si>
  <si>
    <t>Mutuelle MERCER est a FUIR !!!!!!!!!!!!!!!!!
les 3 N° de tel fournis sur carte vous renvoient sur leur site informatique ou la personne ne peut RIEN pour vous ! pas de conseiller disponible ! 
les remboursements ne sont PAS TRAITES dans les delais ex + 4 mois d'attente !!!!!!!!!!</t>
  </si>
  <si>
    <t>Mercer</t>
  </si>
  <si>
    <t>pl-138698</t>
  </si>
  <si>
    <t>Aucun respect envers l'assuré, ne répond pas aux messages laissés sur l'espace perso..Les remboursements traînent sans raison..Médicaments remboursés au pharmacien mais pour le TM de la consultation RIEN...</t>
  </si>
  <si>
    <t>jackie-rosenberger-132366</t>
  </si>
  <si>
    <t>Que ce soit pour une assurance habitation ou la protection juridique, changez sans attendre.
La protection juridique la pire sur le marché, ils vous baladent d'une expertise à l'autre, tout en passant par un avocat qui évidemment ne vous écoute pas.
Pourtant des documents et un constat d'huissier à l'appui !!!
Méfiez-vous s'ils vous proposent une assurance dépendance (garage) en plus de votre multirisque habitation. Lors de votre changement d'assureur, le contrat en question ne sera peut-être pas résilié et vous continuerez à payer le contrat dépendance des ACM !
Le Crédit Mutuel est une banque et non un ASSUREUR !</t>
  </si>
  <si>
    <t>11/09/2021</t>
  </si>
  <si>
    <t>josse-v-128710</t>
  </si>
  <si>
    <t>Les prix sont compétitifs, la souscription, qu'elle soit en ligne ou par téléphone, est relativement simple et intuitive. Pour le moment, je suis satisfait !</t>
  </si>
  <si>
    <t>lutete-matanga-n-131491</t>
  </si>
  <si>
    <t xml:space="preserve">Les prix proposés par le site comparateur affiche seulement les prix de base, mais dans l'ensemble, les prestations rapport qualité prix/ sont assez raisonnables </t>
  </si>
  <si>
    <t>06/09/2021</t>
  </si>
  <si>
    <t>nanou-75860</t>
  </si>
  <si>
    <t>Bonjour La conseillère Nelly très professionnelle , a répondu à toute mes attentes</t>
  </si>
  <si>
    <t>13/05/2019</t>
  </si>
  <si>
    <t>fabien-c-107567</t>
  </si>
  <si>
    <t>J'ai trouvé les prix très attractifs par rapport à notre ancienne assurance. L'obtention d'un devis et les démarches de résiliation / transfert sont simples.</t>
  </si>
  <si>
    <t>abdelkader-b-125371</t>
  </si>
  <si>
    <t xml:space="preserve">Satisfait très rapide et bien organisé dans un minimum de temps réponse immédiate et le prix est très attractif en rapport aux protections je recommande. </t>
  </si>
  <si>
    <t>29/07/2021</t>
  </si>
  <si>
    <t>arenas-s-113748</t>
  </si>
  <si>
    <t xml:space="preserve">Je suis je suis très content d’avoir trouvé une assurance comme Olivier assurance très bons tarifs Traitement et réponse immédiate de mon contrat d’assurance merci </t>
  </si>
  <si>
    <t>14/05/2021</t>
  </si>
  <si>
    <t>salvatore-r-132256</t>
  </si>
  <si>
    <t>pratique ,complet et simple, bien placé au niveau du prix par rapport aux conditions, je verrais si les renseignements par internet sont rapide et précis</t>
  </si>
  <si>
    <t>benureau-50803</t>
  </si>
  <si>
    <t xml:space="preserve">j'ai été résilié pour un prélèvement refusé qui a été payé le demain c'est comme sa qu'on vire les client sen rien dire  on reçoit un recommandé et on veut plus rien savoir  </t>
  </si>
  <si>
    <t>31/12/2016</t>
  </si>
  <si>
    <t>01/12/2016</t>
  </si>
  <si>
    <t>caro-97289</t>
  </si>
  <si>
    <t>À fuir  sinistre depuis 1 an pas de réponses téléphonique ni au mails envoyer on tombe toujours sur un serveur vocal qui nous dit qu'il vont vous rappeler sa fait au moins 8 mois c est inadmissible le service gestion et inexistant je me demande si il existe</t>
  </si>
  <si>
    <t>11/09/2020</t>
  </si>
  <si>
    <t>sylvain-s-110421</t>
  </si>
  <si>
    <t>les dates de prélèvement ne sont pas respecté scrupuleusement après un entretien téléphonique ont me dit que je doit plus rien pourtant je reçois un mail comme quoi je doit 54 euros je suis déçu</t>
  </si>
  <si>
    <t>14/04/2021</t>
  </si>
  <si>
    <t>christine--m-130947</t>
  </si>
  <si>
    <t xml:space="preserve">Très rapide et prix raisonnable je suis satisfaite de mon inscription sur le site très bien fait rapide et efficace les offres de souscription sont très bien expliquées </t>
  </si>
  <si>
    <t>02/09/2021</t>
  </si>
  <si>
    <t>attab-m-137781</t>
  </si>
  <si>
    <t xml:space="preserve">Je suis satisfait de service les prix sont très abordables pour les prix des prestations et de la commande assurance merci beaucoup pour les prix merci merci </t>
  </si>
  <si>
    <t>19/10/2021</t>
  </si>
  <si>
    <t>hugo-130410</t>
  </si>
  <si>
    <t>Impossible de les contacter, ne répondent pas au téléphone (plus d'1h30 d'attente en milieu de journée et automate qui finit par raccrocher). Aucune réponse via l'espace client en ligne non plus (demande envoyée il y a 20 jours et restée sans réponse...). On ne peut pas faire plus incompétent.</t>
  </si>
  <si>
    <t>Harmonie Mutuelle</t>
  </si>
  <si>
    <t>batadi-k-123900</t>
  </si>
  <si>
    <t>je suis satisfait de la garantie mais pour le prix je trouve que chaque année mon prix augmente pourtant déjà client avec une bonne ancienneté difficile a comprendre l augmentation.</t>
  </si>
  <si>
    <t>tontonbubu-54321</t>
  </si>
  <si>
    <t>je viens de resilier mon assurance auto chez Eurofil, En effet, suite a une augmentation de tarif ,j'ai appelé eurofil ,et l'hotesse  (courtoise &amp; sympathique!) a pris en compte ma demande sans m'expliquer les contreparties  (diminution du tarif mais KILOMETRAGES LIMITE /AN : 11000 KM sinon en cas d'accident ...surprime . En consequence, j'ai mis fin a cette assurance ,et je mes suis tourné vers les concurents !</t>
  </si>
  <si>
    <t>18/01/2020</t>
  </si>
  <si>
    <t>philcoq-107171</t>
  </si>
  <si>
    <t>Rien de sérieux chez MAAF
On se moque du futur client 
A éviter .
Devis au tel ne correspondant pas au devis final...
Certaines personnes feraient mieux de changer de boulot</t>
  </si>
  <si>
    <t>19/03/2021</t>
  </si>
  <si>
    <t>nono-129125</t>
  </si>
  <si>
    <t>La personne que j'ai eu au téléphone et qui s'appelle Georges a été très agréable. Il a bien répondu à mes attentes et à été très clair. Cet échange a été agréable.</t>
  </si>
  <si>
    <t>adrien-g-127605</t>
  </si>
  <si>
    <t xml:space="preserve">Je suis nouveau, on verra par la suite. On verra en cas de sinistre, votre réactivité, votre rapidité etc... Pour l'instant ma mère est satisfaites de vos services
</t>
  </si>
  <si>
    <t>mo38-92846</t>
  </si>
  <si>
    <t>Mon véhicule assuré tout risque a été incendié il y a plus de 6 mois. Je n'ai toujours pas été indemnisé. Après plusieurs expertises la Maif à conclu que le véhicule était en bonne état avant l'incendie. Depuis le début du sinistre la Maif fait tout pour gagner du temps. Aujourd'hui on me propose 50€ pour un véhicule côté plus de 5000€. Offre a accepter sous peine de payer des frais de gardiennage pour une épave. Chez la Maif il ne faut pas se faire incendier son véhicule sous peine d'être suspecté malgré plus de 10 ans de fidélité et un bonus de 0,54.</t>
  </si>
  <si>
    <t>30/06/2020</t>
  </si>
  <si>
    <t>aurelilou-63755</t>
  </si>
  <si>
    <t xml:space="preserve">A fuir absolument cette assurance qui en plus d'être très mauvaise et très chère, use de subterfuges pour refuser une résiliation... Nous avons été obligés de souscrire cette assurance auprès de notre banque sous peine de voir notre demande de prêt refusée (à un prix plus élevé que notre actuel assureur Allianz...). Malheureusement nous avons eu un sinistre sur le véhicule : Pacifica n'a pas bougé le petit doigt pour régler le problème, certes un peu épineux. J'ai demandé la résiliation à échéance après avoir longuement échangé avec un conseiller qui me garantissait que 1 mois était suffisant. Que nenni, c'était 2 mois, mais Pacifica n'a pas pris la peine de m'en informer, je paie donc deux assurances pour le même véhicule depuis 2 mois. Il est impossible d'avoir la moindre information par téléphone, personne n'est en mesure de vous répondre. C'est après plusieurs emails au service client que j'ai enfin reçu le courrier de refus (2 mois plus tard donc). Bravo ! du coup c'est Allianz qui va résilier pour moi en loi Hamon. Privilégiez les agences avec un vrai interlocuteur en face de vous ! </t>
  </si>
  <si>
    <t>03/05/2018</t>
  </si>
  <si>
    <t>hugo-85467</t>
  </si>
  <si>
    <t>Leur produit obsèques est carrément obscène.
Vous payez mais ils ne sont même pas capables de vous rembourser la totalité des sommes versées. Même pas un intérêt financier ! depuis 8 ans !</t>
  </si>
  <si>
    <t>Afi Esca</t>
  </si>
  <si>
    <t>03/01/2020</t>
  </si>
  <si>
    <t>christian-a-123006</t>
  </si>
  <si>
    <t>je suis satisfait des prix ainsi que l efficacite des conseilles ainsi que leur amabilite leur competence et la rapidite de leur intervention tres cordialement</t>
  </si>
  <si>
    <t>10/07/2021</t>
  </si>
  <si>
    <t>anagrammes-139115</t>
  </si>
  <si>
    <t xml:space="preserve">Mutuelle décevante
Aucune prise en charge conforme au besoin
Communiquer avec eux relève d'un défi Herculien
Leur prestations pour les forces de l'ordre est pitoyable et aucun suivi ni prise en compte des besoins. Privilégier une autre mutuelle </t>
  </si>
  <si>
    <t>debomy-j-117077</t>
  </si>
  <si>
    <t>Je suis satisfait du service. Les personnes que j'ai eu au téléphone étaient polies, courtoises et professionnelles. Je recommanderai L'Olivier assurance.</t>
  </si>
  <si>
    <t>15/06/2021</t>
  </si>
  <si>
    <t>king92-95480</t>
  </si>
  <si>
    <t>Suite a un petit accrochage sur un parking, le miroir de ma voiture s'est fissuré. J'ai appelé mon assurance qui veut rien entendre ! 500€ de franchise pour changer le miroir d'un rétroviseur à 8€. (Avec une assurance tous risques svp !)</t>
  </si>
  <si>
    <t>28/07/2020</t>
  </si>
  <si>
    <t>dehia-102196</t>
  </si>
  <si>
    <t xml:space="preserve">Leurs site n'est pas pratique pour demander un remboursement, on peut même pas voir le barème de garantie, délai de remboursement très long, j'avais un problème dans mon espace personnel le service technique n'a rien fait pour le régler, juste des fausses promesses ... </t>
  </si>
  <si>
    <t>evelyne-75929</t>
  </si>
  <si>
    <t>Je vous déconseille vivement cette assurance qui ne prend pas ses clients au sérieux après 12 ans chez eux. En effet, suite à une fuite d'eau chez ma voisine, mon dossier n'a pas du tout été traité avec professionnalisme. Après l'envoi du constat amiable, je n'ai eu aucune information quant aux démarches à suivre, pas de son pas d'image de la part de la Matmut, les informations communiquées sont contradictoires... bref une assurance qui n'a pas l'air de mettre ses clients au centre de ses priorités. Je résilie mon contrat à la prochaine date anniversaire !</t>
  </si>
  <si>
    <t>15/05/2019</t>
  </si>
  <si>
    <t>hilaire-z-121292</t>
  </si>
  <si>
    <t xml:space="preserve">Impossible de telecharger des pieces jointes : erreur envoi meme pour des tailles inferieures a 1 Mo.
</t>
  </si>
  <si>
    <t>26/06/2021</t>
  </si>
  <si>
    <t>harmoniecnul-61893</t>
  </si>
  <si>
    <t xml:space="preserve">a fuir, impossible d avoir la carte mutuelle depuis 3 mois indispensable a la pharmacie, hopital ect...
</t>
  </si>
  <si>
    <t>01/03/2018</t>
  </si>
  <si>
    <t>bonomo-q-123745</t>
  </si>
  <si>
    <t xml:space="preserve">Je suis satisfait du service, les prix sont attractifs, j’ai réussi à m’assurer ici alors que certaines assurances m’ont refuser catégoriquement à cause des cheveux fiscaux de mon véhicule (8cv en jeune permis) </t>
  </si>
  <si>
    <t>18/07/2021</t>
  </si>
  <si>
    <t>valerie-f-131130</t>
  </si>
  <si>
    <t>Je suis très satisfaite des services de la GMF tant sur la prise en charge en cas de sinistre que de l'accueil téléphonique; Toutefois, je trouve dommage que l'agence de Cognac, agence de proximité n'existe plus. Se déplacer à Angoulême ou Saintes est problématique lorsque l'on travaille.</t>
  </si>
  <si>
    <t>aplatel-137116</t>
  </si>
  <si>
    <t xml:space="preserve">Nous avons subi en Italie un dommage sur un véhicule en stationnement. La MACIF a exigé une expertise, l’expert prétend qu’il s’agirait selon lui d’une collision avec un mur. À la suite de cette prétendue expertise, la MACIF refuse de prendre la réparation en charge alors que le véhicule est assuré tous risques. 
Nous allons donc résilier tous les contrats automobile et habitations que nous avons chez cet assureur depuis plus de 20 ans. </t>
  </si>
  <si>
    <t>mustafa-y-131579</t>
  </si>
  <si>
    <t>Les prix me conviennent très bien cependant les niveaux de garanties (même s'ils sont modulables) ne sont pas suffisants. Egalement, les franchises sont assez importantes.</t>
  </si>
  <si>
    <t>alain-g-106736</t>
  </si>
  <si>
    <t xml:space="preserve">Service clients NUL
a chaque appel de notre part nous tombons sur des personnes qui on du mal à comprendre je but ne notre appel et on du mal avec la langue francaise </t>
  </si>
  <si>
    <t>16/03/2021</t>
  </si>
  <si>
    <t>henri-p-121520</t>
  </si>
  <si>
    <t xml:space="preserve">nous sommes très satisfaits du service. nous avons eu un excellent accueil et tous les renseignements demandés.
service efficace.
personne contactée très aimable et attentive aux questions
cordialement
</t>
  </si>
  <si>
    <t>29/06/2021</t>
  </si>
  <si>
    <t>ganesh-63492</t>
  </si>
  <si>
    <t>Bien expliquer le nouvelle tarification.................................................................................</t>
  </si>
  <si>
    <t>23/04/2018</t>
  </si>
  <si>
    <t>paulinemtn-62993</t>
  </si>
  <si>
    <t xml:space="preserve">a fuir absolument. Les renseignements que tu rentres pendant une souscription en ligne ne sont pas repris et quand on t'appelle pour faire le contrat par téléphone on te donnes des mauvaise informations " bonus cumulé avec la conduite accompagne" donc il invente un bonus que tu n'as pas juste pour te faire un contrat beaucoup + cher et te faire payer les mois d'avant et les frais de changements. quand tu demandes l'enregistrement bizarrement personne le trouve. ce sont de véritables menteur, qui sont juste intéressé par l'argent. </t>
  </si>
  <si>
    <t>05/04/2018</t>
  </si>
  <si>
    <t>chane-j-114312</t>
  </si>
  <si>
    <t xml:space="preserve">Je suis satisfaite du service
c est dans mes attentes,qualité prix et le service telephonique rien a dire 
merci pour ce service et j espere rester le plus longtemp possible 
</t>
  </si>
  <si>
    <t>19/05/2021</t>
  </si>
  <si>
    <t>gp-92742</t>
  </si>
  <si>
    <t>Je suis assuré chez GROUPAMA depuis plus de 30 ans. Je suis assuré "garantie habitation avec Equipement valeur à neuf. Après un vol, on me dit que c'est la valeur du neuf aujourd'hui (ce que je comprend) mais après on m'enlève de la vétusté. Donc pour moi ce n'est plus valeur à neuf. Merci de m'aider SVP.</t>
  </si>
  <si>
    <t>Groupama</t>
  </si>
  <si>
    <t>biarritz13-55776</t>
  </si>
  <si>
    <t>Très bonne assurance à laquelle je suis rattachée depuis de nombreuses années,mais devenue trop chère au fil du temps.Je recherche une autre assurance auto car je veux changer de voiture et cela augmentera encore mon adhésion</t>
  </si>
  <si>
    <t>03/07/2017</t>
  </si>
  <si>
    <t>01/07/2017</t>
  </si>
  <si>
    <t>zeprods09-91346</t>
  </si>
  <si>
    <t>Je suis très satisfait parce que c’est rapide, simple et efficace de trouver une assurance pas cher en tant que jeune conducteur avec un malus. Je remercie le service pour ces comparaisons d’assurance.</t>
  </si>
  <si>
    <t>delten-72251</t>
  </si>
  <si>
    <t xml:space="preserve">Ne comptabilise pas les années en tant que conducteur secondaire et donc mon bonus actuel n'est pas applicable. Bien on m'annonce cela après avoir souscris, alors que j'avais bien précisé ce point dès le départ. Bref, j'ai perdu au total près de 2 heures au téléphone avec une compagnie d'assurance pas du tout professionnelle. Contrat donc résilié le même jour Je ne recommande pas du tout. </t>
  </si>
  <si>
    <t>18/03/2019</t>
  </si>
  <si>
    <t>lecriel-103690</t>
  </si>
  <si>
    <t>Adhérente depuis 1992, à l'époque auprès de Mutuelle Existence à Saint-Etienne (42) puis Lyon (69), je suis choquée et extrémement déçue de la gestion d'Harmonie Mutuelle, qui, depuis août 2020, ne m'a jamais contactée pour m'informer d'un souci, ni même pour m'avertir qu'au 1er janvier mon contrat était automatiquement résilié ! Si je n'avais pas téléphoné hier pour demander ma carte pour 2021, jamais personne ne m'aurait informée de quoique ce soit ! Et lorsque j'appelle le service contentieux ce matin pour régulariser tout cela, la conseillère me parle durant vingt minutes sur un ton de reproche parce que c'était soi-disant à moi de vérifier tout cela, elle fait des calculs qui se contredisent l'un après l'autre, le tout sur un ton plaintif et avec de nombreux soupirs parce que, je cite, elle n'allait "quand même pas reprendre toutes les cotisations versées depuis décembre 2019", et de renvoyer la demande au service de gestion. Dans ce cas il ne faut pas travailler au service contentieux, et surtout ne pas répondre aux appels des adhérents.
Cette situation aberrante n'est pas admissible, et révèle un manque flagrant de suivi des dossiers, qui me pousse aujourd'hui à examiner les offres de leurs concurrents avant de renouveler mon contrat.</t>
  </si>
  <si>
    <t>04/02/2021</t>
  </si>
  <si>
    <t>olivier-p-106189</t>
  </si>
  <si>
    <t>les prix me conviennent pour le moment, et j'espère que les services et la réactivité seront à la hauteur.
je verrai à l'usage .
j'espère ne pas avoir à trop vous solliciter</t>
  </si>
  <si>
    <t>10/03/2021</t>
  </si>
  <si>
    <t>elodie-c-108064</t>
  </si>
  <si>
    <t>Les tarifs ne diminuent jamais, à croire que votre publicité indiquant une baisse de prix la 1ère année en venant chez DIRECT ASSURANCE est récupéré les années suivantes sur nos contrats. Et quand vous voulez des explications sur la hausse constante du tarif voici la réponse "dans votre région, il y a plus d'accident donc paiement collectif", étonnant pour 2020 avec le COVID-19 et le télétravail qu'il y ai eu plus d’accident, mais aucune baisse de mon tarif pour 2021 alors que le coefficient malus-bonus baisse chaque année. C'est incompréhensible !</t>
  </si>
  <si>
    <t>26/03/2021</t>
  </si>
  <si>
    <t>smail-b-116595</t>
  </si>
  <si>
    <t xml:space="preserve">Très satisfait des tarifs, du services téléphonique personnel très accueillant et satisfaisant. 
Espérant que les services en cas de sinistres soit des meilleures </t>
  </si>
  <si>
    <t>10/06/2021</t>
  </si>
  <si>
    <t>damien-d-132539</t>
  </si>
  <si>
    <t>Je suis satisfait de la rapidité des démarches , un point bloquant quand même plusieurs date pourrait être proposé pour le prélevement automatique ce qui n'est pas le cas....</t>
  </si>
  <si>
    <t>12/09/2021</t>
  </si>
  <si>
    <t>2n-58768</t>
  </si>
  <si>
    <t>Bonjour  j ai un contrat scénario retraite  chez Generali Le 13 janvier 2017  j ai demandé le rachat de mon contrat  Nous sommes à 12 novembre  j attends toujours</t>
  </si>
  <si>
    <t>12/11/2017</t>
  </si>
  <si>
    <t>martin-f-114151</t>
  </si>
  <si>
    <t xml:space="preserve">Je suis satisfait de la rapidité des prises en charges des demandes faites tel que mon sinistre et ma demande de relevé d information ainsi que la souscription à mon véhicule Peugeot expert </t>
  </si>
  <si>
    <t>18/05/2021</t>
  </si>
  <si>
    <t>jldb20-135543</t>
  </si>
  <si>
    <t>Emeline, mon interlocutrice, a pris de temps de parfaitement répondre à mes interrogations. Renseignements donnés avec la plus grande amabilité. Outre les tarifs, cette qualité d'accueil est très importante.</t>
  </si>
  <si>
    <t>02/10/2021</t>
  </si>
  <si>
    <t>martinez-a-124773</t>
  </si>
  <si>
    <t>Très satisfaite des services, simple et rapide, accueil agréable et professionnel. Je n'ai rien à signaler de négatif pour le moment. je recommande vivement!</t>
  </si>
  <si>
    <t>26/07/2021</t>
  </si>
  <si>
    <t>edji-126772</t>
  </si>
  <si>
    <t xml:space="preserve">Service de remboursement catastrophique. 
Cela fait plus d'un mois et demi que j'attend un remboursement. j'ai rappelé à 5 reprises le service, on me dit à chaque fois que le nécessaire va être fait mais c'est que du vent et des paroles en l'air. 
On me fait tourner en rond et quand je demande à parler à un responsable , on me répond qu'il n'y a pas de responsable. 
Le service est O.
Si je pouvais, je mettrai 0 étoile </t>
  </si>
  <si>
    <t>fefe-68474</t>
  </si>
  <si>
    <t>assurance qui ne sert à rien incendie de ma voiture au mois de juillet et vol de celle ci quelques jours après et aucune nouvelle de direct assurance qui me balade depuis le mois de juillet
ils osent continuer à me prelever une mensualité tous les mois et m'envoyer un nouveau contrat pour une voiture que je n'ai plus.
ils sont fort.
A FUIR</t>
  </si>
  <si>
    <t>09/11/2018</t>
  </si>
  <si>
    <t>brancato-c-135376</t>
  </si>
  <si>
    <t>je suis très satisfait du service les conseillers sont à l'écoute de nos demandes et font en sorte de trouver  des solutions si problèmes il y a . Je recommanderais énergiquement votre assurance</t>
  </si>
  <si>
    <t>estelle-52674</t>
  </si>
  <si>
    <t xml:space="preserve">Je tente en vain de me faire rembourser des soins depuis un mois. Malgré de multiples relances, aucune réponse ne m'est apportée hormis " votre dossier est en cours de traitement ". C'est vraiment inacceptable. Je n'ai jamais rencontré autant de délais avec une mutuelle santé. Fuyez cette mutuelle. </t>
  </si>
  <si>
    <t>23/02/2017</t>
  </si>
  <si>
    <t>carral-t-112444</t>
  </si>
  <si>
    <t>satisfait rapide juste lors du devis par téléphone devoir redonner mes infos étant déjà client chez vous est la différence de prix concernant les comparateurs d'assurances est l'assureur lors du devis pour la même couverture .</t>
  </si>
  <si>
    <t>krab53-85928</t>
  </si>
  <si>
    <t xml:space="preserve">scooter volé le 28/12/2019 retrouvé le 30/12/2019 par nos soins dans un quartier de toulouse en payant quelques jeunes pour le localiser.Documents police nationale de vol  et de restitution transmis au jour le jour à APRIL. Mise à disposition chez un concessionnaire peugeot. Depuis aucune nouvelle. Je trouve leur non intervention déplorable. </t>
  </si>
  <si>
    <t>15/01/2020</t>
  </si>
  <si>
    <t>nicolas-b-110820</t>
  </si>
  <si>
    <t>je n'ai aucune information sur le boitier connecté et son fonctionnement, quand vais je le recevoir ?  comment ça fonctionne ? j'ai été débité de 216 euros mais je n'ai même pas l'occasion d'installer le boitier pour baisser le prix</t>
  </si>
  <si>
    <t>18/04/2021</t>
  </si>
  <si>
    <t>jocelyn-p-105116</t>
  </si>
  <si>
    <t xml:space="preserve">Très bonne assurance , très sérieuse. Bonus 50 % garanti.
Peut-être un petit effort à faire sur le prix par rapport à la concurrence et au nombre de véhicules assurés.
</t>
  </si>
  <si>
    <t>anisa-90036</t>
  </si>
  <si>
    <t>Si je pouvais mettre 0 étoiles! Sinistre du 28/10/2020. Appel tous les jours pour être renvoyée au lendemain. Sans  logement mon mari et moi, sans affaires et sans avancée du dossier. Toujours la même réponse: en attente du compte rendu de l'expert qui est passé 2 fois fin d'année 2019. On tourne en rond sans issue mais Allianz s'en fou. Débordement des eaux usées l'appartement est insalubre donc inhabitable et Allianz nous demande encore et encore de patienter.
Assurance à fuir.</t>
  </si>
  <si>
    <t>29/05/2020</t>
  </si>
  <si>
    <t>01/05/2020</t>
  </si>
  <si>
    <t>f600b-89916</t>
  </si>
  <si>
    <t xml:space="preserve">J'essai depuis 5 semaines de contacter la mutuelle des motards pour m'assurer, aucune réponse au téléphone même en appelant plusieurs fois par jour. Multiple demande en ligne pour être rappelé sans reponse et un mail au services des réclamations sans réponse lui aussi 
Je commence à en avoir marre et la moto doit être assurer pour samedi donc je pense aller ailleurs ou on me répondra au moins si je n'ai pas de réponse avant </t>
  </si>
  <si>
    <t>Mutuelle des Motards</t>
  </si>
  <si>
    <t>25/05/2020</t>
  </si>
  <si>
    <t>tikos-64231</t>
  </si>
  <si>
    <t xml:space="preserve"> Cherche tout les moyen pour m'empecher de faire une resiliation ce qui est en violation avec la loi chatel de chez eux me mentent  ouvertement avec leurs courtier du CABINET FRANTIS qui me dise ne pas etre assurer chez eux alors que neoliane me dise clairement que je suis chez eux
J'en ai marre mais ayant arreter les payement au moins je ne paye plus en me disant quil appelerais mais visiblement ont peut ne pas les payer il s'en fiche a cet vitesse sa va finir aux tribunal</t>
  </si>
  <si>
    <t>27/05/2018</t>
  </si>
  <si>
    <t>lili-63665</t>
  </si>
  <si>
    <t>Mutuelle nulle, malheureusement pas le choix car c'est celle de mon travail, plus d'un mois pour répondre aux mails, et les remboursement n'en parlons pas .....</t>
  </si>
  <si>
    <t>30/04/2018</t>
  </si>
  <si>
    <t>J'ai voulu souscrire une assurance auto chez eux, assuré sans interruption depuis 2005, aucun sinistre un bonus de 0.50, mon contrat a été résilié avant la fin des 30 jours provisoires.
La raison: je n'ai pas été assuré en tant que conducteur principal sur les 24 deniers mois. J'étais "seulement" assuré en tant que conducteur secondaire, mais sur un contrat de mes parents, ce qui apparemment n'est pas pris en compte pour Eurofil. Tous les autres assureurs prennent bien en compte cet historique. Malheureusement pour moi, je me suis rendu compte de cette subtilité trop tard, j'avais déjà payé l'équivalent de 4 mois de cotisations, non récupérables selon leur dire...
Assureur à éviter !</t>
  </si>
  <si>
    <t>17/04/2019</t>
  </si>
  <si>
    <t>krm-52074</t>
  </si>
  <si>
    <t>C'est le système le plus nulle que je connaisse ! C'est le stresse qui est garanti !</t>
  </si>
  <si>
    <t>06/02/2017</t>
  </si>
  <si>
    <t>joel-32-101494</t>
  </si>
  <si>
    <t>Bonjour,
Je suis très satisfait des services rendus en ligne par la MGP.
Simple et rapide, le remboursement a été viré sur mon compte dans les 48 h.
Cordialement,
Joel</t>
  </si>
  <si>
    <t>15/12/2020</t>
  </si>
  <si>
    <t>cherif-m-106100</t>
  </si>
  <si>
    <t>je suis satisfait du service ..j'ai pas éprouvé de difficulté pour demande un devis ..
les prix me conviennent..
simple et pratique..et la conseillère est très sympathique..</t>
  </si>
  <si>
    <t>antoine-b-126353</t>
  </si>
  <si>
    <t>simple et facile mais un peu cher pour les jeunes ! sinon vous êtes top !
vous devriez adapter vos prix en fonction de la tranche d'age et du salaire de la personne sinon rien a dire encore une fois !</t>
  </si>
  <si>
    <t>valvalou-139590</t>
  </si>
  <si>
    <t xml:space="preserve">Je me suis acheté une voiture et elle a été incendiée 1 semaine plus tard
Depuis l'expert est passé mais l'indemnisation n'a toujours pas été réglé,  je n'ai plus de voiture depuis 1 mois et demi et ils continuent à prélever ma mensualité et ne répondent à aucun message 
Je ne recommande absolument pas cette assurance </t>
  </si>
  <si>
    <t>14/11/2021</t>
  </si>
  <si>
    <t>maxime-b-116063</t>
  </si>
  <si>
    <t>Je suis satisfait du service et des prix.
Très bonne réactivité des agents April.
Système de paiement et de devis rapides et intuitifs.
Je recommande cette assurance.</t>
  </si>
  <si>
    <t>05/06/2021</t>
  </si>
  <si>
    <t>marc-104808</t>
  </si>
  <si>
    <t>Refuse de remorquer ma voiture tombée en panne en Suisse jusqu'à un garage français et la mette de leur propre chef dans un garage en Suisse (la frontière n'était pourtant qu'à quelques kilomètres).
Refus de prêt de véhicule.
La voiture n'étant pas réparable (ou trop onéreux) nous voulons la faire remorquer en France pour la détruire dans un centre à 20 minutes de là où est la voiture, là aussi refus car voiture trop âgée...
Démerdez-vous!
A fuir!</t>
  </si>
  <si>
    <t>25/02/2021</t>
  </si>
  <si>
    <t>loicnain-99249</t>
  </si>
  <si>
    <t>assurance qui augmente trés souvent sans aucune raison et lettre de menace pour un seul impayé trés décu,je vais changer pour une autre assurance plus humaine</t>
  </si>
  <si>
    <t>26/10/2020</t>
  </si>
  <si>
    <t>caramel-62242</t>
  </si>
  <si>
    <t>Néoliane a répondu rapidement à mon problème car je n'avais rien demandé ils m'ont tout simplement annulé le contrat qui avait été souscrit sans pénalité je les remercie pour tout.
caramel</t>
  </si>
  <si>
    <t>17/01/2019</t>
  </si>
  <si>
    <t>01/01/2019</t>
  </si>
  <si>
    <t>valou-138457</t>
  </si>
  <si>
    <t>Je viens de vendre mon véhicule et j ai acheté un nouveau , j ai téléphoné à active assurance pour assurer le nouveau , ils voulaient que je souscrive un nouveau contrat pour le nouveau véhicule et que je repaye pour 1 an alors que j ai payé il y a 1 mois l année complète pour mon ancien véhicule , ils me disent que chez active ils ne font pas le changement de véhicule sur 1 contrat et en plus il faut que je leur envoie un recommandé pour annuler le contrat de l ancien véhicule et sûrement que j attendes des mois pour être remboursé . , déjà il a fallu que je les appelle 3 fois pour avoir ma nouvelle carte verte , à fuir cette assurance , je vais assurer mon véhicule autre part</t>
  </si>
  <si>
    <t>yaya-117682</t>
  </si>
  <si>
    <t>Nous sommes très satisfaits de la MAAF. Clients depuis 27 ans, nous avons perdu notre maison suite à un incendie en janvier 2020. Le directeur de l'agence de St Jean de Luz a été très à l'écoute. L'expertise a eu lieu 7 jours plus tard. Les travaux ont débuté début mars. Nous avions des craintes suite à certains avis négatifs. Mais grâce à notre contrat formule intégral nous avons été indemnisé à hauteur de ce que nous avions perdu. Merci la MAAF.</t>
  </si>
  <si>
    <t>21/06/2021</t>
  </si>
  <si>
    <t>frederick-l-106470</t>
  </si>
  <si>
    <t xml:space="preserve">Mécontent des prix qui augmentent tous les ans:
 en 2016 : 400€
 en 2021 : 498€
S'ils ne font pas un effort, je partirai à la prochaine échéance
Ca fait plus de 25% d'augmentation en 5 ans, mon salaire  lui n'a pas pris 25% </t>
  </si>
  <si>
    <t>13/03/2021</t>
  </si>
  <si>
    <t>stephane-f-123354</t>
  </si>
  <si>
    <t xml:space="preserve">BONJOURS SIMPLE PAS TROP CHER POUR L'INSTANT JE SUIS SATISFAIT DE VOTRE PRESTATION J'AI BIEN REUSSIS A FAIRE ASSURER MON QUAD ET JE VOUS EN REMERCIE  BONSOIR </t>
  </si>
  <si>
    <t>13/07/2021</t>
  </si>
  <si>
    <t>laurent-l-129905</t>
  </si>
  <si>
    <t>LES TARIFS SONT ELEVES AVEC SEULEMENT 1 AN D'ARRET MOTO
28 ANS DE PERMIS ET QUASIMENT 1000 EUROS A L'ANNEE POUR UN GSXR DE 2009...
JE PENSE QUE LA COMPAGNIE DEVRAIT FAIRE UN GESTE COMMERCIAL POUR LES ANCIENS CLIENTS AMV</t>
  </si>
  <si>
    <t>28/08/2021</t>
  </si>
  <si>
    <t>chany69-71199</t>
  </si>
  <si>
    <t>Service déplorable quasi inexistant on ne peut les joindre que rarement. Les remboursements sont longs à traiter. Mutuelle à éviter</t>
  </si>
  <si>
    <t>12/02/2019</t>
  </si>
  <si>
    <t>josie-67281</t>
  </si>
  <si>
    <t>C est incroyable 25 % se malus alors que je n étais pas en tord on écoute pas le client et même on est pris de haut .Je ne recommande pas et même je dissuade.</t>
  </si>
  <si>
    <t>02/10/2018</t>
  </si>
  <si>
    <t>chris-105063</t>
  </si>
  <si>
    <t xml:space="preserve">Les remboursements sont rapides . Il est assez facile de contacte un conseiller par voie téléphonique . c'est simple , la MGP s'occupe de la sécurité sociale et de la complémentaire santé . Par contre , concernant les prix , par rapport à d'autres complémentaires santé, c'est cher . En ce qui me concerne , le tarif est de 300 euros par mois pour un assuré et une adhérente . Au final , 5 étoiles pour la satisfaction et 3 étoiles pour les prix , j'ai hésité sur la 2eme note , je pensais à un 2 .  </t>
  </si>
  <si>
    <t>simone-61745</t>
  </si>
  <si>
    <t>La MGP n'est pas pire que les autres mutuelles, au contraire. L'agence de Toulouse nous reçoit du lundi au jeudi et le vendredi sur rendez-vous. Les conseillères sont agréables et mettent tout en oeuvre pour satisfaire les adhérents. Je suis ravie d'avoir affaire à ces personnes quand j'en ai besoin car elles montrent beaucoup de disponibilité à mon égard à chacun de mes déplacements.</t>
  </si>
  <si>
    <t>25/02/2018</t>
  </si>
  <si>
    <t>jd-60236</t>
  </si>
  <si>
    <t>monsieur w.Allen disait: la différence entre la dictature et la démocratie est que la première dit: ferme là et la deuxième: cause toujours. Bienvenue à la mgen</t>
  </si>
  <si>
    <t>06/01/2018</t>
  </si>
  <si>
    <t>kenny-97530</t>
  </si>
  <si>
    <t>Un très bel accueil téléphonique, une écoute et prise en charge de mes questions au top.
Merci beaucoup: pour une première expérience je suis ravis !
Votre conseillère a su prendre le temps de m'expliquer les garanties liées à mon contrat ainsi que les démarches à mener pour bénéficier des remboursements auxquels je ne pensais même plus.
Toutes es félicitations à votre conseillère et encore merci pour votre accompagnement.</t>
  </si>
  <si>
    <t>17/09/2020</t>
  </si>
  <si>
    <t>jc-r-113310</t>
  </si>
  <si>
    <t>1° contrat 529 € passé a 609 € je trouve cette augmentation un peu trop forte !!!
Aucun sinistres depuis la souscription ...
Pour ce qui est du reste je suis assez satisfait !
Reste a voir ( j'espère jamais ) la gestion d'un sinistre !</t>
  </si>
  <si>
    <t>10/05/2021</t>
  </si>
  <si>
    <t>robles-f-121255</t>
  </si>
  <si>
    <t xml:space="preserve">Recommandé par mon revendeur moto, ne pouvant pas assurer ma nouvelle moto chez mon assureur habituel (car "jeune permis"). Simple et pratique ; grille de tarifs claire </t>
  </si>
  <si>
    <t>25/06/2021</t>
  </si>
  <si>
    <t>pierrot-2000-96865</t>
  </si>
  <si>
    <t>D'ordinaire j'ai la dent dure mais là je suis extrêmement surpris du nombre d'avis très négatifs sur la mutuelle des motards.
Je suis chez eux depuis 2 ans, plusieurs motos et scooters assurés, et je n'ai jamais rencontré le moindre problème, que ce soit pour les joindre, demander un document, déclarer un sinistre ou être rappelé.
En effet je viens dans la semaine de vendre une moto et d'en acheter une autre, tout ça a été réglé le plus normalement du monde, j'ai été rappelé à l'heure du rendez vous et tout est en ordre, en plus à un tarif super intéressant pour du tout risque.
C'est sûr que si les mécontents tentaient d'appeler durant le confinement... Egalement, il peut être plus dur de joindre son assurance le samedi, on est nombreux à aller acheter nos meules en week-ends...
C'est mon expérience, elle n'a pas vocation à faire consensus et je n'aime pas noter les services et les gens, je ne le fais quasiment jamais, mais là j'ai trouvé les avis très très durs et ne reflétant en rien une réalité vécue par moi même et d'autres motards.</t>
  </si>
  <si>
    <t>31/08/2020</t>
  </si>
  <si>
    <t>eugenie-r-108257</t>
  </si>
  <si>
    <t>Une erreur sur mon contrat qui aurait pu me coûter cher : facturée en tiers au lieu de tous risques , on m'a demandée de payer 2 fois heureusement que la banque a bloqué les paiements. Un manque d'information. Je vais prochainement contacter Direct Assurance pour savoir quand et comment recevoir le boîtier.</t>
  </si>
  <si>
    <t>27/03/2021</t>
  </si>
  <si>
    <t>cinhoucine-68195</t>
  </si>
  <si>
    <t>je galère depuis 6 mois pour résilier un simple contrat, j'ai essayé par courrier, par mail, par téléphone mais impossible. ils continuent à me prélevé, c'est dingue.</t>
  </si>
  <si>
    <t>30/10/2018</t>
  </si>
  <si>
    <t>settlers83-72432</t>
  </si>
  <si>
    <t xml:space="preserve">client depuis 47 années, dernièrement j'ai mon abri piscine (garantie tempête) est légèrement détérioré suite aux  vents violents. réponse GMF les vents ne sont pas supérieurs à 100 kms /h pas de prise en compte, mon voisin sinistré également à  ses gouttières arrachées et la garantie est accordée sans problème,  il assuré chez AXA. je change d'assurance pour montrer ma désapprobation   </t>
  </si>
  <si>
    <t>24/03/2019</t>
  </si>
  <si>
    <t>florent57-122789</t>
  </si>
  <si>
    <t xml:space="preserve">Bonjour,
Mon expérience avec cette assurance est très très mauvaise. 
En effet, j'ai eu accident le 8 juin et depuis le 25 juin on bloque mon numéro. En appelant en numéro  masqué on me repond. 
Après 1 mois je reçois un mail, stipulant que suite à l'avis de l'expert j'aurais fait une fausse déclaration.
Car j'ai vu que j'avais un impcat en regardant les dégâts de mon véhicule, ainsi que d'autres dégâts.
Il faut savoir que je suis assuré tout risque et comme vous vous en doutez bris de glace également. 
Donc quel intérêt. 
Quand tout va bien ils sont, mais quand on a besoin d'eux, ils sont aux abonnés absents.
A fuir absolument. </t>
  </si>
  <si>
    <t>08/07/2021</t>
  </si>
  <si>
    <t>lylou-87608</t>
  </si>
  <si>
    <t>Bonjour
Je tiens à remercier mon interlocutrice LAMIA qui est très professionnelle et surtout à l'écoute. Elle a tout de suite identifier le problème à régler et m'a aiguiller pas à pas sur le site afin de m'aider dans mes démarches. Quelle patience de sa part ! merci LAMIA</t>
  </si>
  <si>
    <t>parmentier-s-139033</t>
  </si>
  <si>
    <t>Rapide et pratique.
les tarifs sont intéressants et les possibilités de choix aussi. On reçoit tout instantanément et on peut rouler tranquillement. bonne route à tous</t>
  </si>
  <si>
    <t>05/11/2021</t>
  </si>
  <si>
    <t>stephbob-86497</t>
  </si>
  <si>
    <t xml:space="preserve">Une assurance à proscrire. Du harcèlement pour la souscription. Une interlocutrice ultra désagréable qui prend de haut le client. Finalement je passe pour un menteur. Je n'ai soit disant pas compris ce qu'elle m'a expliqué. Finalement les garanties ne sont absolument pas celles qu 'elle me dit au tel. L'agence de courtier un vrai charlot. Allez voir ailleurs. Ne vous faites pas avoir !!!! Ils me font vomir. </t>
  </si>
  <si>
    <t>29/01/2020</t>
  </si>
  <si>
    <t>sl-s-68793</t>
  </si>
  <si>
    <t>Fuyez avant d'avoir un sinistre, car quand ça arrivera ça sera trop tard.
j'ai eu un sinistre, l'olivier m'a envoyer un soit disant "expert" qui n'en a rien d'un, il considéré que les réparations de mon véhicule coûteraient plus cher que sa valeur avant sinistre, jusque là ok, ensuite il m'appelle et me donne l'estimation de mon véhicule avant sinistre qui est de 1800 euros alors qu'il est coté à 3180 euros, je lui dis donc que je ne suis pas d'accord avec son estimation, d'autant plus que je suis ingénieur automobile et je travaille pour le constructeur de mon véhicule, le pseudo expert de maison conseil m'envoie donc des annonces de véhicules dont le prix minimum (sur toutes les annonces) etait de 2890 euro sauf pour une qui est un véhicule commercial donc 2 places à 2500, pour les autres ce n'est pas non plus exactement les mêmes finitions.
je lui fais un retour de mail avec d'autres annonces dont les prix sont entre 2900 et 3600 euros, en lui demandant de revoir son estimation tenant compte de tout les éléments apportés
quand il m'envoie le rapport d'expertise, non seulement il est resté sur son estimation (qui est une insulte par rapport à la côte du véhicule) en plus il met dans son rapport qu'il n'a pas pu me joindre pour nous mettre d'accord sur une valeur du véhicule alors qu'on a discuté au téléphone et je lui ai donné tout les éléments pour lui dire que son estimation est bidon
donc un conseil FUYEZ VITE CETTE COMPAGNIE D'ASSURANCE</t>
  </si>
  <si>
    <t>13/03/2020</t>
  </si>
  <si>
    <t>01/03/2020</t>
  </si>
  <si>
    <t>jess-63230</t>
  </si>
  <si>
    <t>tres bien renseigner.....</t>
  </si>
  <si>
    <t>13/04/2018</t>
  </si>
  <si>
    <t>gsr47-137731</t>
  </si>
  <si>
    <t xml:space="preserve">Mon chat a était tué par un chien de catégorie, Allianz n'a jamais voulu poursuivre le propriétaire en disant que c'était l'assurance adverse qui ne répondait pas, malgré les nombreuses relances et le dépôt de plainte, Allianz à réussi à clôturé le dossier...
J'ai eu un souci avec un véhicule de prêt (j'ai abîmé une jante et un triangle), j'ai fait un constat d'après les conseils d'allianz (conseillère), réponse: Allianz ne fera rien sous prétexte que ce n'est pas notre véhicule qui a eu des dommages, j'ai du payé de ma poche et en plus Allianz à gardé le sinistre sur le relevé d'info.
Accroche non responsable, Allianz nous a envoyé un expert de la finance et non de l'automobile, obligé de lui dire que j'allais faire appel à un autre Expert pour que ça bouge, Malgré tout le travail d'expertises est bâclé.
J'ai connus des assurances médiocre mais Allianz avec AXA reste pour moi les pires que j'ai connus
</t>
  </si>
  <si>
    <t>savarimoutou-a-113441</t>
  </si>
  <si>
    <t xml:space="preserve">Entretient avec le conseiller de qualité, réponse à mes principales interrogations.
On verra ce que cela donne niveau assurance.                                 </t>
  </si>
  <si>
    <t>black-bird-43508</t>
  </si>
  <si>
    <t xml:space="preserve">je ne suis pas assurer chez eux, et pour cause voilà quel que mois je me rendis a une de leurs agence, je reconnais avoir été très bien reçus, mais malheuresement ils ont refusé, de m'assurer sans meme avoir éxaminer mon dossier sous pretexte qu'il ne prenait pas de jeune conducteur, si leurs parents n'avait pas de contrat chez eux, face à une tel forme de discrimination je n'est pas insister et je suis aller voir aillieur aujourdhui je suis chez Allianz en contrat tous risque  à 2 300 euros l'année, soit 200 euros par mois. jusqu'ici je n'est pas eu de sinistre.  Serte c'est un peut chère mais je préfère payez un peut chère  pour une assurance qui accepte les jeunnes conducteur, la macif m'a refuser aussi mais eux ils ont étudier mon dossier et ont pris le temps de m'éxpliquer pour quoi ( parce que je suis un jeune conducteur avec une voiture un peut trop "puissante" pour m'a faible éxpérience ) et je comprend tout à fait. Encore aujourd'hui je ne comprend toujours pas en quoi le fait que mes parents soit assurer chez eux serait si indispenssable pour que moi MAJEUR !! Je le soit a mon tour  </t>
  </si>
  <si>
    <t>08/12/2016</t>
  </si>
  <si>
    <t>mascotte83-63176</t>
  </si>
  <si>
    <t xml:space="preserve">Quand votre conseiller hyèrois vous trompe sur le produit demandé. 
Que le sce client vous donne de fausses informations.
Quand on ne vous informe pas de vos droits lorsque vous demandez des explications.
 </t>
  </si>
  <si>
    <t>04/06/2020</t>
  </si>
  <si>
    <t>lyoubi-e-130029</t>
  </si>
  <si>
    <t xml:space="preserve">Bonjour, 
Je ne comprends pas pourquoi j ai souscris une assurance pack famille et que je n ai pas le droit de recevoir les documents sur ma boîte e-mail alors que c est moi qui gère les documents chez nous. Et que c est mon conjoint qui doit signer les documents à ma place ! Merci
Samiha Djellali 
Cordialement </t>
  </si>
  <si>
    <t>29/08/2021</t>
  </si>
  <si>
    <t>damien-c-112406</t>
  </si>
  <si>
    <t>Je suis satisfait du service , les prix sont plutôt intéressants pour des jeunes . Je le recommande a tout le monde . Faut voir quand même a changer certaines choses concernant le questionnaire de plus l’approfondir .</t>
  </si>
  <si>
    <t>rayapin-k-124917</t>
  </si>
  <si>
    <t>Assurance rapide sérieux et patience pour l attente pour récupérer les documents ou echeance merci 
Assurance correcte espérons que vous allez proposer d autres services</t>
  </si>
  <si>
    <t>kevinsoler-133757</t>
  </si>
  <si>
    <t>Bravo pour la lenteur du dossier, la collaboratrice malade tous les 2 jours et les dossiers qui s'arrêtent pendant le mois d'aout. C'est une honte, qui plus est travail avec des experts qui ne font pas leur travail dans les délais. Je ne recommande pas, une bonne assurance c'est important allez plutôt voir ailleurs. Je ne re ferais pas l'erreur une seconde fois</t>
  </si>
  <si>
    <t>21/09/2021</t>
  </si>
  <si>
    <t>angabd-50010</t>
  </si>
  <si>
    <t>Bonjour. Dommage qu'on puisse pas mettre 0 étoile. Personne au telephone . Impose de payer 500 euros sans possibilité de mensualité. Insulte par téléphone et j'en passe. Mon enfant est devenu handicapé suite à un accident et aucune prise en charge. C'est la catastrophe. Ne surtout pas faire appel à eux. Affreux et honteux.</t>
  </si>
  <si>
    <t>07/12/2016</t>
  </si>
  <si>
    <t>florent-d-131166</t>
  </si>
  <si>
    <t>L'ADHESION SUR AMV POUR L'ASSURANCE DE LA MOT EST SIMPLE ET PRATIQUE. EFFECTUEE EN QUELQUES MINUTES SEULEMENT, C'EST CE QUE JE RECHERCHAIS. JE RECOMMANDE</t>
  </si>
  <si>
    <t>jp-138261</t>
  </si>
  <si>
    <t xml:space="preserve">        Je viens d avoir par téléphone une de vos employées qui se prénomme RAMATA. Cette dernière très agréable et très professionnelle nous a très bien renseigné et a acquiescé à nos demandes.
         Personne à feliciter 
          Sylviane DUBOIS </t>
  </si>
  <si>
    <t>26/10/2021</t>
  </si>
  <si>
    <t>sophie-z-110890</t>
  </si>
  <si>
    <t>Nous pensions que vous vous occupiez des papiers à envoyer à la banque. Mais sinon très rande réactivité et service client ! en vous remerciant et en vous souhaitant une excellente journée</t>
  </si>
  <si>
    <t>brahim-k-106350</t>
  </si>
  <si>
    <t>Je suis satisfait du service généralement, mais ça serait bien de baisser un peu les prix
Je pense que vous pouvez faire un effort sur le rapport qualité/prix.
Je souhaiterais aussi qu'on puisse télécharger automatiquement nos attestations à jour sur votre site.
Bien cordialement,</t>
  </si>
  <si>
    <t>12/03/2021</t>
  </si>
  <si>
    <t>asmacif17000-89201</t>
  </si>
  <si>
    <t xml:space="preserve">Bonjour,
Je vous adresse cet e-mail pour exprimer mon fort mécontentement.
En effet après plusieurs échanges avec vos services et les servies IMH  concernant le sinistre habitation survenu en 10/2019!!
Votre conseillère IMH m'a indiqué que vous alliez me verser une somme de 1750€ correspondant au devis fourni par l'artisan que j'ai choisi pour faire les travaux. En effet après plusieurs mois De retard et de négociations ils s'est avéré que votre entreprise partenaire ne peut pas faire les travaux en intégralité.
J'ai reçu un virement de votre part d'un montant de 1213€ !!
Je trouve que votre gestion est lente et inadmissible en plus de mensonges répétés. Je demande au nom de la loi informatique et liberté l'intégralité de mon dossier et les notes qui y sont inscrites ainsi que les enregistrements téléphoniques avec vos services et ceux d'intermutuelle habitat. Le dernier date du 22/04/2020 où votre conseillère IMH m'a indiqué le virement sous 4 jours de la somme de 1750€.
Je vous précise également que l'ensemble de mes contrats : habitation + deux voiture et l'assurance de prêt immobilier seront résilié si vous ne me verser la somme convenu.
Par avance merci pour le traitement 
Cordialement.
</t>
  </si>
  <si>
    <t>28/04/2020</t>
  </si>
  <si>
    <t>retourdemanivelle-35920</t>
  </si>
  <si>
    <t>Suite à un sinistre non responsable, j'attends désespérément une indemnisation de AXA pour les dommages subit...Presque 4 mois de relance pour m'entendre dire: "ça va arriver au plus tard fin de semaine mon petit Monsieur". En gros, il faut comprendre que AXA est très accueillant pour les nouveaux clients mais au final vous traite comme un moins que rien. J'ai avancé tous les frais de remise en état et présenté toutes les factures...Une catastrophe !</t>
  </si>
  <si>
    <t>renans-103250</t>
  </si>
  <si>
    <t>Radié pour cause de retard de paiement car j'étais à l'étranger. Je reviens et je régularise ma cotisation et je m'attends à être assuré pour une année moins mon retard de paiement. Et bien queneni, j'ai payé une cotisation d'un an et ils ne m'ont jamais assuré. Tout cela pour un retard de moins de deux mois.
Ils n'ont pas essayé de comprendre la situation. J'étais assuré depuis des années chez eux et j'ai toujours payé rubis sur ongle. Bref je ne recommande surtout pas.</t>
  </si>
  <si>
    <t>26/01/2021</t>
  </si>
  <si>
    <t>natalia-89791</t>
  </si>
  <si>
    <t xml:space="preserve">J'ai constaté une augmentation de 5% sur un contrat tout risque en remplacement de voiture 2 mois après la souscription. J'ai écrit mais on me dit que c'est normal... les réparations augmentent. Je suis cliente depuis 2014 mais je cherche à partir. En comparaison ils sont maintenant plus cher qu'Axa, MMA, aviva, etc. </t>
  </si>
  <si>
    <t>20/05/2020</t>
  </si>
  <si>
    <t>nath-67729</t>
  </si>
  <si>
    <t>Service client nul. Il ne faut surtout pas voir de problèmes.  Ils attendent 4 jours avant de vous donner une réponse, s ils vous rappellent !!! Du coup, ils m ont fait poireauter 4 mois pour avoir juste un oui ou un non</t>
  </si>
  <si>
    <t>16/10/2018</t>
  </si>
  <si>
    <t>julia-r-131204</t>
  </si>
  <si>
    <t>Je suis très satisfaite de direct assurance.
Je recommande les services et les prix qui sont très compétitifs.
Vraiment ravie de l'ensemble du site et de tout.</t>
  </si>
  <si>
    <t>martins-m-107248</t>
  </si>
  <si>
    <t xml:space="preserve">À la souscription et au téléphone parfait maintenant à voir en cas de besoin. Les réponses apportées à mes questions m'ont convaincu j'ai donc décidé de valider le contrat. </t>
  </si>
  <si>
    <t>alexandra-b-115857</t>
  </si>
  <si>
    <t xml:space="preserve">Satisfaite des prestations proposées par la GMF 
La rapidité des de mise en place des services proposées
La facilité et l'autonomie qu'offre le site internet </t>
  </si>
  <si>
    <t>03/06/2021</t>
  </si>
  <si>
    <t>carosse-56153</t>
  </si>
  <si>
    <t xml:space="preserve">Il y a un an,j'ai souscrit auprés de mon assurance dans cette filiale pour mes deux labradors.Je n'avais jamais assuré mes animaux auparavant.Ce sont mes vétérinaires qui m'ont conseillé de les assurrer car mon petit dernier présentait à 4 mois des poignets trés laxes et craignaient une intervention;Je tiens à préciser que j'etais en connaissance que s'il devait etre opérer,toute la chirurgie serait à ma charge.Mon assureur s'est renseigné et m'a accordé la souscription au cas ou mon chien aurait tout autre problème de santé,étant donné que j'allais devoir certainement investir un gros budget financier et que l'euthanasie sur mon chien(proposé par l'éleveuse)était formellement interdite!!!Donc,j'amène mon chiot chez un spécialiste,nombreux examens,radios,scanner,puis opération.En décembre,on m'annonce que mon chien doit etre opéré d'un radius curvus bilatéral.Je me pose à la réflexion car j'ai un devis de 5100euros qui ne seront pas pris en charge.Je n'ai aucun problème avec ce fait vis à vis de l'assurance.Le problème est survenue hier,lorsque j'ai appellé l'assurance pour obtenir des renseignements.J'espère que la conversation a été enregistré.La conseillère a été audieuse.m'a parlé sur un ton autain et en élevant la voix.Elle m'a faite passer pour une esc.... me disant que mon chien avait une maladie de naissance et que je voulais me faire rembourser des soins alors que j'avais souscrit un contrat avec un chien malade.Alors que jamais je n'ai demandé de remboursement sur une intervention qui m'a couté 6000euros sachant pertinenment que je n'y avais pas droit.J'appellai juste pour savoir si j'avais droit à une indemnisation car mon chiot est hospitalisé jusqu'a vendredi prochain car il a eu une fracture à la patte.Il est déplorable et honteux de parler ainsi à ses clients,pensez vous que je tente une fraude à l'assurance alors que j'ai investi une telle somme pour mon animal.Pourquoi avoir autorisé ma souscription,je n'ai rien caché .Ce qui est sur c'est que si j'ai réussi à collecter cet argent je peux me passer d'assurance.Quel sloggan mensonger!!!Vous jouer avec les sentiments des propriétaires pour leurs animaux.J'ai vécu un calvaire et vous avez enfoncé le clou me faisant passer pour une voleuse.C'est honteux!!!J'en ai informé mon assureur qui m'avait fait souscrire car la conseillère m'a dit clairement qu'ils ne comprenaient rien en animaux.Je vais demander une résiliation de mes deux contrats.Je connaissais les clauses de mon contrat que j'ai bien lu et signé comme elle me l'a répété,je ne demande aucun remboursement sur la chirurgie du radius curvus.Ce que je denonce c'est le total manque de respect,il faut vraiment que madame change de métier,heureusement qu'elle a pour bouclier son téléphonne et personne en face,le ton ne serait pas le même.Personne inhumaine.A EVITER!!!!!!!et s'il vous plait n'essayez même pas de répondre à mon commentaire avec vos phrases toutes prétes.Ma situation est déjà assez dramatique depuis un an je n'ai nul besoin d'explications de votre part,je voulais juste un renseignement qu'elle a su me donner:la fracture ne sera pas prise en charge,puisque mon chien a une maladie de NAISSANCE:Madame est vétérinaire,tous les professeurs et vétérinaires ont jugés qu'il s'agissait d'un traumatisme. </t>
  </si>
  <si>
    <t>21/07/2017</t>
  </si>
  <si>
    <t>christelle-c-109051</t>
  </si>
  <si>
    <t>je suis satisfaite des prestations proposees, les prix sont correct par rapport aux autres assurances et les reponses par telephone sont rapides et claires</t>
  </si>
  <si>
    <t>03/04/2021</t>
  </si>
  <si>
    <t>sebastien--106259</t>
  </si>
  <si>
    <t xml:space="preserve">Des prix toujours à la hausse pour des prestations tirés vers le bas.
Récemment besoin de la protection juridique qui ne veux pas prendre en charge même en partie les frais d’avocats essentiels à mon litige.
Fidèle assurer depuis plus de 10 ans avec tous les contrats en ce même lieu je trouve inadmissible la façon dont les anciens assurés sont traités.
Si pas de nouvelles de votre part je serais contraint de partir à la concurrence 
</t>
  </si>
  <si>
    <t>michou-67461</t>
  </si>
  <si>
    <t>ancien client de neolinane, je reviens vers cette mutuelle ou j'ai apprécié la maniere de fonctionner. le rapport qualité de service et remboursement fait que je reviens aujourd'hui comme nouveau client auprés de cette mutuelle</t>
  </si>
  <si>
    <t>08/10/2018</t>
  </si>
  <si>
    <t>chris-82153</t>
  </si>
  <si>
    <t>Rapidité des formalités. Clarté des informations. Tarifs dans la bonne moyenne. Disponibilité des conseillers.
Espace personnel bien conçu, pratique et simple à utiliser.
Reactivité en cas de sinistre.</t>
  </si>
  <si>
    <t>27/01/2021</t>
  </si>
  <si>
    <t>paul-c-124152</t>
  </si>
  <si>
    <t>Je suis très déçu de l'augmentation de mes mensualités alors que ma voiture perd en valeur et que je n'ai eu aucun accident depuis le début de mon contrat chez Blablasure.
Je vais changer d'assurance si mes mensualités ne sont pas baissées rapidement.</t>
  </si>
  <si>
    <t>21/07/2021</t>
  </si>
  <si>
    <t>phil70-66608</t>
  </si>
  <si>
    <t>Client de plus de 15 ans sans accident.
Quand vous avez un accident non responsable ça va, mais quand vous avez un accident responsable il n'y a plus personne et pourtant je suis assuré tous risques.
Ils font de la pub pour la MAAF c'est celle que je préfère mais quand vous avez un accident responsable ils s'en foutent complètement de vous.Leur expert complètement incompétent et très lent pour faire un rapport d'indemnisation.
Et vous pouvez, appelez tous les jours rien ne se fait. Cela peut durer plusieurs semaines voire plusieurs mois pour être indemnisé (qu'ils m'ont dit)</t>
  </si>
  <si>
    <t>05/09/2018</t>
  </si>
  <si>
    <t>michel-b-125056</t>
  </si>
  <si>
    <t>Satisfait du tarif et de la simplicité de souscription.
A voir si tout va bien ce passer a l'avenir avec cette assurance.
Pour l'instant je recommande de faire un devis gratuit pour comparer les tarifs</t>
  </si>
  <si>
    <t>emmanuelle-v-115878</t>
  </si>
  <si>
    <t>les prix me conviennent. c'est très rapide, c'est très accessible, on peut choisir très facilement la façon dont on veut être assuré
cordialement à toute l équipe continué comme ça c est super !!!!!!</t>
  </si>
  <si>
    <t>laks-65005</t>
  </si>
  <si>
    <t>Vous recherchez un assureur EFFICACE et PAS CHER ? Passez votre chemin ! MAAF n'est disponible que pour vendre ses produits ou uniquelent quand tout va bien ! Agence difficilement joignable (je ne parle pas de ma conseillère), c'est la croix er la bannière poir avoir quelqu'un au bout du fil. Un comble pour un assureur qui met en avant son efficacité dans ses spots publicitaires ! Je quitte la MAAF pour la concurrence sans regrets.</t>
  </si>
  <si>
    <t>23/06/2018</t>
  </si>
  <si>
    <t>01/06/2018</t>
  </si>
  <si>
    <t>brice-t-122594</t>
  </si>
  <si>
    <t>En tête de liste des comparateurs d assurance.
bon compromis pour un véhicule "ballade occasionelle" sans limitions kilométriques
a voir dans le temps, s'il y'a des offres promotionnelles pour le basculement de mes autres moto</t>
  </si>
  <si>
    <t>06/07/2021</t>
  </si>
  <si>
    <t>gael-c-113096</t>
  </si>
  <si>
    <t xml:space="preserve">Rapide et satisfaisant 
Transaction sécurisée et très rapide aussi. 
Je suis satisfaite de vos services et je recommande cette assurance . Merci encore </t>
  </si>
  <si>
    <t>08/05/2021</t>
  </si>
  <si>
    <t>franck-51737</t>
  </si>
  <si>
    <t xml:space="preserve">Je rejoins tous les commentaires précédents.
Affilié via mon employeur (plus de 2000 effectifs), j’ai pris l’option supérieur pour un bon remboursement optique et dentaire.
Comparé avec la mutuelle que j’avais avec mon ancien travail - il y a quelques mois -  c’est le jour et la nuit sur tous les niveaux ! 25% plus cher, 50% moins de remboursement sur l’optique et le dentaire, aucun remboursement ostéopathie etc.
</t>
  </si>
  <si>
    <t>27/01/2017</t>
  </si>
  <si>
    <t>sylvienat-69702</t>
  </si>
  <si>
    <t xml:space="preserve">Cet assureur trouve toujours une bonne excuse pour ne pas vous rembourser. Ils fouillent dans les conditions générales pour trouver des similitudes et vous refusent tout remboursement. De plus ils vous indexent chaque annee de 10 euros minimum. plus vous payez moins ils remboursent. A 
 déconseiller fortement. </t>
  </si>
  <si>
    <t>27/12/2018</t>
  </si>
  <si>
    <t>gege-86048</t>
  </si>
  <si>
    <t xml:space="preserve">Excellent accueil et très bons conseils de ma conseillère de Bergerac (Anne-marie DUCAU). Disponible et souriante,je suis son client depuis 30 ans, cela crée des liens de confiance qui n'ont jamais été trahis. </t>
  </si>
  <si>
    <t>17/01/2020</t>
  </si>
  <si>
    <t>mathieu-q-123600</t>
  </si>
  <si>
    <t>Le service correspond à mes attentes.
Le service client est réactif.
La tarification me convient.
Je suis satisfait d'avoir choisi APRIL Moto pour m'assurer.</t>
  </si>
  <si>
    <t>philou-132284</t>
  </si>
  <si>
    <t>CATASTROPHIQUE. En arrêt maladie depuis 4 mois et étant travailleur indépendant, je cotise depuis plusieurs années auprès d'AGIPI pour une multirisque professionnelle. En théorie, elle doit couvrir mes charges fixes ainsi que mes revenus. Ayant un copie long, voici donc 4 mois que j'attends une quelconque indemnité. Comme soeur Anne, rien à l'horizon et surtout plus personne pour me répondre. 
Leur argument : une lombalgie vieille de 10 ans. Ils cherchent un lien entre le copie et cette dernière !!!!!!
Pour ce type de contrat, fuyez cette compagnie ( mais ne sont-elles pas toutes pareilles ?)</t>
  </si>
  <si>
    <t>multirisque-professionnelle</t>
  </si>
  <si>
    <t>arnaud-132910</t>
  </si>
  <si>
    <t>Maaf n’a pas voulu me prolonger mon contrat auto pour aucune raison valable ne répond plus à mes mail et cela depuis 15 jours ( pour un remboursement ) 
Je déconseille cette assurance .</t>
  </si>
  <si>
    <t>15/09/2021</t>
  </si>
  <si>
    <t>timothee-s-113016</t>
  </si>
  <si>
    <t xml:space="preserve">J'ai toujours été assuré chez direct assurance , et j'en suis très satisfais les conseiller son très pro et claire ! les prix sont très abordable tout est simple ,merci </t>
  </si>
  <si>
    <t>07/05/2021</t>
  </si>
  <si>
    <t>youko567-69840</t>
  </si>
  <si>
    <t>JE DECONSEILLE fortement, ils remboursent quand ils veulent et puis surtout c'est très très très long. ils leurs manque toujours un papier ou autre, bref a éviter absolument.  très grande mauvaise foi</t>
  </si>
  <si>
    <t>03/01/2019</t>
  </si>
  <si>
    <t>celine--a-108215</t>
  </si>
  <si>
    <t xml:space="preserve">Satisfaite sur l’accueil téléphonique,  les conseils sur les protections  et les prix et sur les promotions.
Ponctualité sur l’heure de rappel du conseiller </t>
  </si>
  <si>
    <t>laurent-61923</t>
  </si>
  <si>
    <t xml:space="preserve">Mauvaise assurance low cost
PAS cher mais peu de garantie
Tjs difficile à joindre
Tjs nouvel interlocuteur 
Incompétent </t>
  </si>
  <si>
    <t>11/03/2019</t>
  </si>
  <si>
    <t>yaya38-72421</t>
  </si>
  <si>
    <t xml:space="preserve">On se demande si leur volonté de retard et le traitement des dossiers n'est pas une vraie stratégie pour moins payer voire qu'on craque pire qu'on décède avant da payer leur du même quand tout le dossier est complet </t>
  </si>
  <si>
    <t>mireille-81835</t>
  </si>
  <si>
    <t xml:space="preserve">Quasiment impossible à joindre au téléphone et lorsque vous avez la chance d'être en relation avec un conseiller il ne saura pas répondre à une demande de renseignement concernant UNE RESILIATION FAITE EN TEMPS ET EN HEURE.
Pas plus de réponse à ma demande par é-mail... 
Mon contrat Santiane a éte envoyé en recommandé accusé de réception 28/10/2020.... Et ce jour le 26/11/2020 je reçois un é-mail comme quoi la résiliation est trop tardive ! 
</t>
  </si>
  <si>
    <t>26/11/2020</t>
  </si>
  <si>
    <t>sergio-m-108697</t>
  </si>
  <si>
    <t xml:space="preserve">Satisfait du prix, je ne peux pas dire plus pour le moment car je ne connais pas votre assurance suffisamment pour pouvoir dire autre choses.
Merci de votre compréhension </t>
  </si>
  <si>
    <t>jean-baptiste-m-130716</t>
  </si>
  <si>
    <t xml:space="preserve">J’ai trouvé que le Processus de souscription était simple, intuitif et rapide 
Les Tarifs sont intéressants
Il y a 7n Large choix d’options dans les formules proposées 
</t>
  </si>
  <si>
    <t>bmoe-86185</t>
  </si>
  <si>
    <t>Leur service est devenu catastrophique !
Autant dire qu'il n'y a plus de service...
demande d'arbitrage non réalisée : ils ne répondent pas au téléphone, pas au mail. pas de réponse non plus via le contact clientèle.
cela fait plusieurs mois que j'ai tenté de réaliser un arbitrage, celui-ci c'est perdu dans les limbes... on m'a demandé d'envoyer un mail au service "réclamation client" : aucune réponse ! même pas un accusé réception : RIEN !</t>
  </si>
  <si>
    <t>22/01/2020</t>
  </si>
  <si>
    <t>mcr-94690</t>
  </si>
  <si>
    <t xml:space="preserve">Assureur qui applique le cumul des franchises, qui considère comme conducteur novice une personne qui a plus de 15 ans de permis (suite à une interruption de quelques mois d'assurance entre 2 contrats mais pouvant prouver une antériorité d'assurance d'au moins 5 années sans accident), qui ne donne pas d'informations claires lors d'un sinistre sur les franchises appliquées et qui se cumulent (aucune information dans les conditions personnelles du contrat sur ce cumul). </t>
  </si>
  <si>
    <t>20/07/2020</t>
  </si>
  <si>
    <t>derrien-g-113271</t>
  </si>
  <si>
    <t xml:space="preserve">JE suis plutôt satisfait de votre assurance,
Les conseillers on très bien explique et c'était très compréhensible.
Ils étaient tous claires et précis. </t>
  </si>
  <si>
    <t>bony-g-128205</t>
  </si>
  <si>
    <t xml:space="preserve">les prix me conviennent et le service client est sérieux.
le personnel est à l'écoute et il est réactif , les conseils sont utiles et clairs .
je conseille l'olivier assurance </t>
  </si>
  <si>
    <t>16/08/2021</t>
  </si>
  <si>
    <t>jeremy-92251</t>
  </si>
  <si>
    <t xml:space="preserve">Le prix est correct je suis assez satisfait du service je vais consulter d’autre aussi rance pour comparer les tarifs de mon Mercedes classe gla merci </t>
  </si>
  <si>
    <t>anamaria23-59072</t>
  </si>
  <si>
    <t>Une super assurance auto pour un petit prix et pour exactement les mêmes garanties que chez les concurrents qui demandent beaucoup plus cher !!!</t>
  </si>
  <si>
    <t>23/11/2017</t>
  </si>
  <si>
    <t>db3191-79558</t>
  </si>
  <si>
    <t xml:space="preserve">CELA FAIT 5 ANS QUE JE SUIS ASSURE POUR MA VILLA CHEZ GROUPAMAJE N AI JAMAIS EU DE SINISTRE ET EN DEBUT 2019 MON VOISIN A DETERIORE UN PAN DE MA CLOTURE.J AI DEMANDE A GROUPAMA DE FAIRE LE NECESSAIRE POUR LE REMBOURSEMENT QUE CELA OCCASIONNERAIT.11 MOIS PASSES GROUPAMA M A REPONDU QUE IL N Y AVAIT AUCUN RECOURS ALORS QUE J AI FOURNI TOUTE LES INFORMATIONS DEMANDEES.JE SUIS TRES MECONTANT ET CHANGE D ASSURANCE DANS LES JOURS QUI VIENNENT CAR GROUPAMA EST TOTALEMENT INCOMPETANT !!!!!! </t>
  </si>
  <si>
    <t>14/12/2019</t>
  </si>
  <si>
    <t>meriem-h-110022</t>
  </si>
  <si>
    <t xml:space="preserve">Je ne suis pas satisfaite , et je voudrais un autre devis sur mon contrat; 
Je n'est pas e malus et je voudrais réviser mon contrat 
merci pour votre réponse </t>
  </si>
  <si>
    <t>11/04/2021</t>
  </si>
  <si>
    <t>stephane-c-104653</t>
  </si>
  <si>
    <t>Très bon accompagnement de la personne qui gère le dossier de bout en bout 
Les démarches sont simples et l'économie est importante par rapport à l'assurance emprunteur de ma banque</t>
  </si>
  <si>
    <t>23/02/2021</t>
  </si>
  <si>
    <t>chanel82-50902</t>
  </si>
  <si>
    <t>Client depuis plus de 10 ans à la MAIF, je n'avais jamais eu à m'en plaindre, pour la bonne et simple raison que je n'avais jamais eu de sinistre particulier, à part un dégât des eaux mineur il y a 2 ans.
Ayant souscrit l’option la plus chère du contrat, sur conseil du service des contrats de la MAIF, j’ai été abasourdi de voir que finalement, mon dossier d’indemnisation a finalement été rejeté, alors qu’il m’avait été certifié par 3 fois (avant de souscrire l’option et même après) qu’il serait bien pris en charge.
Après un mois d’attente suite à ma réclamation (ce qui m’avait été conseillé par la responsable du service de la MAIF), je la rappelle pour avoir des nouvelles, et elle m’indique qu’une réponse, que je n’ai jamais reçue, est partie par courrier postale (alors que tous les autres échanges se sont fait par mail.
Evidemment, la réponse est une nouvelle fois un refus de prise en compte de mon dossier. Ils me conseillent maintenant de saisir de médiateur…
Bref: prompt à vendre des garanties plus chères qu'ailleurs, mais fait tout son possible pour ne pas indemniser lorsqu'il y a un sinistre, malgré d’avoir plusieurs fois certifié que ce serait bien pris en charge (au téléphone, bien sûr, jamais d’écrit…)
Une relation de confiance avec les sociétaires? J'ai été bien naïf... Mon conseil : demander systématiquement une trace écrite de leurs promesses</t>
  </si>
  <si>
    <t>05/01/2017</t>
  </si>
  <si>
    <t>hermes-89173</t>
  </si>
  <si>
    <t>J'ai effectué les 9, 10 et 11 janvier 2020 trois virements de remboursements d'avance sur le compte AFER
Après 3 mois de démarches infructueuses auprès d'AFER, démarches de mon conseiller, coups de téléphones (les rares fois où j'ai réussi à joindre un correspondant), mails,  les deux premiers versements ont enfin été crédités, sans que je sache d'ailleurs leur date de valeur.
Pour une raison qui m'échappe totalement le troisième remboursement d'avance du 11 janvier 2020 n'est toujours pas pris en compte malgré de nombreuses nouvelles démarches
J'ai fourni à AFER les trois attestations de virement de ma banque.
Je ne sais plus quoi faire pour avoir satisfaction.</t>
  </si>
  <si>
    <t>27/04/2020</t>
  </si>
  <si>
    <t>domi-70072</t>
  </si>
  <si>
    <t>ça y est , cette fois j'en est marre de NEOLIANE ,ce matin 10 h , j'ai reçu encore un coup de fil de vous ,certe j'en n'ai ras le bol de votre insistance et là je n'ai pas étais très aimable ,mais de la a se faire carrément insulter ,cela dépasse les bornes ,bravo NEOLIANE et maintenant oublié moi SVP , salutations</t>
  </si>
  <si>
    <t>10/01/2019</t>
  </si>
  <si>
    <t>charlotte-104802</t>
  </si>
  <si>
    <t xml:space="preserve">Je suis affiliée à la MGP depuis plus de 40 ans, ce qui prouve que je suis tout à fait satisfaite de ses prestations et de ses tarifs.
Les conseillers ont toujours répondus clairement à mes questionnements et la prise en charge de ma fille majeure handicapée mentale est très efficiente et je tiens à les en remercier.
Bonne mutuelle </t>
  </si>
  <si>
    <t>sandrag-111377</t>
  </si>
  <si>
    <t>A mon sens, c'est l'assurance qui a les conditions générales les pires du marché. 
Dans mon cas, suite au décès de mon conjoint, cet assureur a arrêté sans préavis et sans me prévenir l'assurance de son véhicule. Ne pouvant refaire faire la carte grise avant la fin de la succession aucun autre assureur n'a voulu assurer un véhicule dont je n'étais pas propriétaire sur la carte grise. Je me suis donc retrouvée avec un véhicule non assuré pendant plusieurs mois (ce qui est interdit par la loi). L'olivier assurance pourrait attendre la fin des dossiers de succession pour résilier! D'autant que la cotisation était payée et qu'il n'y avait aucun souci de paiement. Aucune discussion n'est possible, ils appliquent bêtement un règlement rédigé à leur seul profit.
Etant propriétaire de nombreux véhicules, j'ai eu plusieurs assureurs, mais celui là est de très loin le pire.
A FUIR!</t>
  </si>
  <si>
    <t>23/04/2021</t>
  </si>
  <si>
    <t>despre-a-114979</t>
  </si>
  <si>
    <t xml:space="preserve">Bien le prix est correct et les conseiller son tapirent pour établir le contrat. A voir si cela tient la route par la suite. Le prix est tout à fait correct </t>
  </si>
  <si>
    <t>sackda-c-126505</t>
  </si>
  <si>
    <t>Très satisfaite de la qualité du service client (réponse rapide, opérateurs téléphoniques efficaces et très aimables). 
Très satisfaite du rapport qualité prix.</t>
  </si>
  <si>
    <t>john-104248</t>
  </si>
  <si>
    <t>Mon interlocutrice m'a communiqué les informations dont j'avais besoin. Cela a été clair et précis. J'ai pu faire mes démarches facilement. Merci de votre professionnalisme.</t>
  </si>
  <si>
    <t>16/02/2021</t>
  </si>
  <si>
    <t>ravauxjuliette-77133</t>
  </si>
  <si>
    <t>Mutuelle souscrite via mon employeur, aucune télétransmission de faite depuis le mois d'avril 2019 ! aucune réponse lorsque j'envoi des mail a MERCER, je suis redirigée vers un formulaire à remplir qui dès que je veux le valider pour envoyer un document marque que c'est momentanément indisponible . c'est une honte en 2019 d'avoir un service client aussi médiocre !</t>
  </si>
  <si>
    <t>26/06/2019</t>
  </si>
  <si>
    <t>barbarabat-56180</t>
  </si>
  <si>
    <t>Souscription en France, conseillé parfait, aimable ! Puis délocalisation au Maroc, dès lors où votre contrat est souscrit.</t>
  </si>
  <si>
    <t>22/07/2017</t>
  </si>
  <si>
    <t>horace-v-136396</t>
  </si>
  <si>
    <t xml:space="preserve">Je suis très satisfait de cette prise en charge pratique et rapide et clair  pas besoin de se déplacer surtout pour les personne âge  merci pour cette effort </t>
  </si>
  <si>
    <t>nicolas-c-130140</t>
  </si>
  <si>
    <t>Forfait ajustable. Souscription facile en ligne et résiliation automatique de l’ancienne. Simple et pratique. Prix convenable et en tous cas le moins cher d’après le comparateur</t>
  </si>
  <si>
    <t>patrick-b-112340</t>
  </si>
  <si>
    <t xml:space="preserve">J’ai trouvé la souscription relativement simple les trois propositions de contrat sont compétitives et claires le questionnaire et très simple à répondre ,parfait </t>
  </si>
  <si>
    <t>gd-88-117623</t>
  </si>
  <si>
    <t>étant assuré auprès du groupe novelia pour ma maison , mon ex compagne a résilié mon contrat sous couvert de la loi hamon sans m'avertir.
j'ai reçu une notification de mon assureur regrettant ma demande de résiliation ,très surpris de cette situation, j'ai contacté la maif en leur indiquant que je n'ai rien demandé et que c'était un faux .
j'ai demandé la copie de la demande de résiliation  ,ils ont refusé y compris en prouvant mon identité .
ils sont complices de faux avec mon ex compagne ,après 15 jours de menace ,ils m'ont transmis la copie de la lettre de demande de résiliation pour novelia envoyé par la maif .
j'ai constaté la fausse signature 
sans commentaire !!!</t>
  </si>
  <si>
    <t>19/06/2021</t>
  </si>
  <si>
    <t>sasha-m-108482</t>
  </si>
  <si>
    <t>Je suis satisfaite du service : simple / pratique / permet de faire des économies, personnel téléphonique agréable et réactif, véhicule de prêt cool !!</t>
  </si>
  <si>
    <t>roxane-53839</t>
  </si>
  <si>
    <t xml:space="preserve">Offre alléchante au premier abord, le moins chère du marcher lorsque l'on ne passe pas par un courtier. Puis lorsqu'il nous arrive quelque chose c'est le début de la catastrophe... je payais 58 euros environ pour une voiture de 12 ans car  1.18 de Bonus/Malus. Jusque là ca va. Mais au bout de 3 mois assuré chez eux j'ai un sinistre non responsable. Je déclare à l'assurance par téléphone tout va vite, mon véhicule après passage de l'expert est déclaré économiquement non réparable... pas de véhicule de près alors que la voiture est en très mauvaise état et ne me protège plus vraiment d'un éventuel accident.... Le véhicule de près est autorisé avec une garantie en plus payé 10 euros par mois et seulement pendant les réparation du véhicule. Le conseil des chargés clientèles: porter plainte contre le conducteur responsable de l'accident et son assurance pour éventuellement bénéficier d'un remboursement des frais de location d'un voiture... Inutile de vous dire qu'entre le temps de cette démarches et les frais de justice, ce n'est pas vraiment rentable... 
Je dois alors céder le véhicule à l'assurance pour être remboursé de la valeur de la voiture. L'expert a été plutôt correct sur le montant. Sauf que le temps entre la cession du véhicule et le remboursement il passe bien 10 jours... mon emploi du temps étant régit par la voiture je suis vraiment dans la galère... je parviens tout de même à me débrouiller avec quelqu'un pour m'avancer l'argent sur l'achat d'une nouvelle voiture: la même que la précédente avec une année de plus et 1CV en moins.... le nouveau prix de Direct Assurance pour cette voiture: presque le double 105 euros par mois.... Est-ce une blague???? Bien sûr impossible de demander un geste puisse que tout passe par un logiciel qui établit les prix avec certaines infos et pas d'autre..
Tout ca pour un sinistre dont je ne suis pas responsable....
En fouillant ensuite sur le net j'ai lu des avis de clients disant que les offres à prix bas étaient faites pour attirer la clientèle car au bout de plusieurs année les prix augmentaient sans trop de raison...  </t>
  </si>
  <si>
    <t>04/04/2017</t>
  </si>
  <si>
    <t>vanessa-n-117071</t>
  </si>
  <si>
    <t>Bonus 50 depuis 12 ans et chez vous depuis 5 ans et 46.55€ par mois... là ou chez les autres assureur nous sommes au minimum 5€ moins cher..
Pas possible de télécharger le relevé d'info ... on se sent un peu pris au piege, obligation d'avoir un conseiller et peryte de temps pour tout le monde. Vous n'avez qu'a vous créer une alerte et rappeler vous même si vous avez peur de perdre un contrat suite à ces demandes...</t>
  </si>
  <si>
    <t>jean-s-132061</t>
  </si>
  <si>
    <t>Top et très bien a voir sur le long terme ce que dieect assurance me propose maintenant en espérant que tout soit correct à votre niveau car c’est le prix et le rapport qui compte</t>
  </si>
  <si>
    <t>09/09/2021</t>
  </si>
  <si>
    <t>marie-h-127140</t>
  </si>
  <si>
    <t xml:space="preserve">Très simple d’utilisation et rapide. Très satisfaite de cette première prise de contact. Tarif très compétitif par rapport aux autres organismes d’assurance. </t>
  </si>
  <si>
    <t>09/08/2021</t>
  </si>
  <si>
    <t>violet-116874</t>
  </si>
  <si>
    <t>suite a une rétractation dans les temps prévu  avec santéVet au mois de février 2021, un prélèvement a été fait de 26,52 euros, il vous sera remboursé  dans un délai de 30 jours, a se jour rien est fait .Leparoux  V</t>
  </si>
  <si>
    <t>12/06/2021</t>
  </si>
  <si>
    <t>sylvie-f-129373</t>
  </si>
  <si>
    <t>aucun geste de votre part quand nous somme client depuis des année 
toujours une augmentation chaque année a quand un geste commercial 
sur tout les contrats</t>
  </si>
  <si>
    <t>25/08/2021</t>
  </si>
  <si>
    <t>ilyana-71772</t>
  </si>
  <si>
    <t>Mutuelle souscrite décembre 2017. Remboursement pour les soins courant assez rapide. . Mais un temps juste improbable pour les petits plus pour lesquels on paye cher justement, et pour lesquels il faut se battre. Mais début de cette année augmentation du tarif de 25% sans préavis. Impossible de résoudre le problème, service client met un temps phénoménal pour vous répondre et encore plus pour vous proposer une solution. Pour moi c’est la résiliation.</t>
  </si>
  <si>
    <t>alicia-l-125859</t>
  </si>
  <si>
    <t xml:space="preserve">Très sympa est très facile à faire je recommande vraiment 
Assurance très bien et pas chère 
Et bien rapide par rapport au assurance que nous avons dans nos ville </t>
  </si>
  <si>
    <t>christian-j-116947</t>
  </si>
  <si>
    <t>Je suis satisfait de vos services jusqu'à maintenant.
Votre site en ligne est simple d'utilisation.
J'attends mes documents et ne manquerai pas de suivre mon dossier par mon espace personnel.
Merci.</t>
  </si>
  <si>
    <t>14/06/2021</t>
  </si>
  <si>
    <t>bruno-p-138346</t>
  </si>
  <si>
    <t xml:space="preserve">Réponse rapide et précise j'ai trouvé les infos sur internet et j'ai procédé à une comparaison des tarifs et la plus intéressante était celle de votre compagnie </t>
  </si>
  <si>
    <t>emmanuel-a-106212</t>
  </si>
  <si>
    <t xml:space="preserve">pour l'instant je suis tres satisfait de la demarc he simple et pratique par internet j'espere qu'il en sera de meme quand j'aurais besoin de faire appliquer les clauses de mon contrat si un sinistre survient </t>
  </si>
  <si>
    <t>agajoce-126182</t>
  </si>
  <si>
    <t xml:space="preserve">Je viens de résilier mon contrat au 31/08. Pourquoi? les 2 premières années (depuis 2017), j'obtenais facilement et rapidement une réponse à mes questions. Mais plus ces 2 dernières :de fait, mon contrat n'étant pas" responsable ", je me trouvais écarté des nouvelles dispositions de reste à charge 0. April a un fonctionnement très solide (prise en charge, remboursements...) mais pêche par manque de suivi de l'assuré. Comme beaucoup de mutuelles qui délèguent aux réseaux de courtiers la prospection commerciale, leurs "clients" ne sont pas suivis. Les assurances gonflent leur portefeuille et les revendent à des plus grosses.
La résiliation, déclenchée par ma nouvelle mutuelle, se passe très bien. Merci April.
</t>
  </si>
  <si>
    <t>taib-h-115484</t>
  </si>
  <si>
    <t xml:space="preserve">Je recommande l'assurance est au meilleur prix c'est la moin cher au marché je suis nouvelle et y pleine de gens qui m'ont conseillé de la faire y pas mieux </t>
  </si>
  <si>
    <t>31/05/2021</t>
  </si>
  <si>
    <t>julien83-86881</t>
  </si>
  <si>
    <t>Absolument IMPOSSIBLE à joindre !!! Et les tarifs augmentent sans justification aucune par rapport à ce que j'ai signé en 2018.La première fois c'est le courtier qui avait géré le dossier mais maintenant il me dit de me débrouiller avec eux, bref à fuir !!!!</t>
  </si>
  <si>
    <t>MetLife</t>
  </si>
  <si>
    <t>vincent-b-113759</t>
  </si>
  <si>
    <t>Rien à dire , Rapide , efficace et nettement moins chère que la plupart des concurrence ! je récommande sans hésiter.  et Dans l'ensemble assez simple à contacter.</t>
  </si>
  <si>
    <t>corinne-b-139126</t>
  </si>
  <si>
    <t>Je suis super satisfaite de vos services simple et pratique merci et le prix ressonable je conseillerai à des connaissance encore merci à vous super pratique</t>
  </si>
  <si>
    <t>mansour-h-113364</t>
  </si>
  <si>
    <t>trop chère pour ci peu, service client impossible a avoir au téléphone, 3ans d'assurance et 3 ans que c’a augmente.
bref peu mieux faire, et revoir ces prix a la baise.</t>
  </si>
  <si>
    <t>jean-luc-d-112095</t>
  </si>
  <si>
    <t>CONDITIONS DE GARANTIES ET TARIFAIRES QUI SONT PROPOSEES SONT SATISFAISANTES ET LA MISE EN PLACE DE LA COUVERTURE EST SIMPLES ET RAPIDE.  IL S'AGIT DE MON PREMIER CONTRAT SOUSCRIT EN LIGNE</t>
  </si>
  <si>
    <t>amadou-108949</t>
  </si>
  <si>
    <t>A fuir, Fuyez ne vous conseille pas cette mutuelle. Service client zoro .Conseiller et conseillère très désagréables , pas du tout professionnels. Délai de remboursement trop trop trop long. Le client est laissé à l'abandon. 
Chez Mercer c'est "On te prend ton argent mais on fera rien pour toi et quand tu nous appelle , on te fait balader"
Je ne vous conseille surtout pas cette mutuelle.
Fuyez et ne vous retournez surtout pas.
Ils ne mérite même pas la moitié d'une étoile.</t>
  </si>
  <si>
    <t>kevin-p-133906</t>
  </si>
  <si>
    <t xml:space="preserve">Les prix me conviennent, hâte de commencer à rouler avec votre assurance youdrive en espérant avoir de bonne réduction sur mon assurance. Souscription rapide et sécurisé. </t>
  </si>
  <si>
    <t>led-89759</t>
  </si>
  <si>
    <t>Une étoile pour votre service médiocre, aucun remboursement pour les salariés en TT pour la période de COVID, en revanche, pour les personnes au chômage, c'est possible. 2 ans que les tarifs augmentent mais quand il s'agit de rendre une partie, ça parle chinois. En plus de ça, la matmut est loin d'être l'assurance la moins chère pour les mêmes garanties.</t>
  </si>
  <si>
    <t>19/05/2020</t>
  </si>
  <si>
    <t>mignon-j-117258</t>
  </si>
  <si>
    <t xml:space="preserve">Équipe très sympathique et à l'écoute des autres. Je recommande vivement ainsi que pour les tarifs plus que raisonnables , avec facilité de paiement. </t>
  </si>
  <si>
    <t>16/06/2021</t>
  </si>
  <si>
    <t>stephcluses-70507</t>
  </si>
  <si>
    <t>Assuré depuis au moins 2001 chez eurofil , je va tais a les amis cette assurance... En 2019  ma femme a un accrochage dont elle est responsable puis huit mois plus tard un sanglier se jette sous mes roues  une nuit . Service client impeccable. Mais dans la foulée résiliation pour "inadéquation du risque au regard de la politique d'acceptation ". Avec un bonus a 50% et de longues années sans soucis, je me demande qui a le droit d'être assuré chez eux !!!!</t>
  </si>
  <si>
    <t>29/01/2019</t>
  </si>
  <si>
    <t>thierry-68774</t>
  </si>
  <si>
    <t xml:space="preserve">La SMA dans le cadre d'une assurance dommage ouvrage (décennale) encaisse l'argent des entreprises du bâtiment, mais ne traite pas les sinistres, ne se déplace pas, ne répond pas au téléphone. </t>
  </si>
  <si>
    <t>25/11/2018</t>
  </si>
  <si>
    <t>cal-52637</t>
  </si>
  <si>
    <t xml:space="preserve">je suis en invalidité cat 2 depuis 3 ans .impossible pour moi de retravailler .
infarctus en 2011 avec pose de 3 stends puis apnée du sommeil sévère avec un risque de l'endormir au volant .
En plus diabétique depuis 5 mois..
Cardif m'à envoyé chez leur médecin expert .
réponse de cardif il me supprime le remboursement de la part pour le crédit maison .
je suis aller voir mon cardiologue,il trouve cela inadmissible. 
J'ai transmis mon dossier complet à mon avocat qui va entreprendre une action en justice avec demande de dommages et intérêts et préjudices moral. </t>
  </si>
  <si>
    <t>09/03/2017</t>
  </si>
  <si>
    <t>yan-marlyse-l-112608</t>
  </si>
  <si>
    <t>Je suis satisfaite du service Direct Assurance.
Je suis déçue des tarifs pour les véhicules de plus de 9cv.
Mais, je reste et recommande cette assurance pour le service et le rapport qualité / prix.</t>
  </si>
  <si>
    <t>04/05/2021</t>
  </si>
  <si>
    <t>gwenaelle-b-124821</t>
  </si>
  <si>
    <t>En comparant avec d'autres assurances, je trouve Direct Assurance trop chère ! 
Je compte changer très prochainement, les devis sont en cours. dommage</t>
  </si>
  <si>
    <t>ramy-78850</t>
  </si>
  <si>
    <t xml:space="preserve">Ma voiture est tombé en panne le 11 juillet 2018 impossible de les joindre du 11 au 22 juillet 2018
Jai du payé de ma poche le frais de remorquage 219 
Le 22 juillet je les ai eu enfin au téléphone
ils mont dit d'envoyer une mail avec la facture
 je lai fait le jour même nayant pas de nouvelles 1 semaine plus tard je rappelle
 je les ai eu deux jours plus tard 
on avant au moins dans lattente au téléphone 
ils sont reçus mail et la facture cest en cours de traitement
Jusquau jour où je vous écris jattends  encore 
 je les ai eu il y a deux jours au téléphone le monsieur m a dit 
on vous recontacte
jattends toujours 
 jespère au moins que avant de me mettre sous terre j'aurai mon remboursement  
Parceque là c'est devenu lattente de la fin de ma vie 
</t>
  </si>
  <si>
    <t>armen-55474</t>
  </si>
  <si>
    <t>après 30 ans de prime viré si nous n'acceptons pas leur dictac pour  4 sinistres sur 5 ans dont deux non imputables pour le même véhicule motif sinistralités élevé  (+de 2000 euro de prime par ans)</t>
  </si>
  <si>
    <t>19/06/2017</t>
  </si>
  <si>
    <t>albert-106409</t>
  </si>
  <si>
    <t xml:space="preserve">a la reception de mon avis d'echeance pour la periode 2021/2022 j'ai constate une augmentation de 15 pour cent de ma prime d' assurance.possedant une moto de 4 ans d'age,n'ayant eu aucun accident et 50 pour cent de bonus je voudrais bien savoir ce qui justifie une telle augmentation.
</t>
  </si>
  <si>
    <t>jeannot-101856</t>
  </si>
  <si>
    <t>J'ai toujours eu satisfaction avec mon assureur la MACIF de plus elle a contribuée pour ses sociétaires en les aidants financièrement...durant le COVID. De plus on a des délégués non salariés sur qui on peut s'appuyer...Franchement BRAVO à eux tous ...vu l'image qu'on a des assureurs, ils n'ont rien à envier à personne. En plus on vote pour les dirigeants qui composent une gouvernance qui donne les orientations stratégiques de l'entreprise. J'ai toujours lu Bonne Route et Tous Sociétaires qui nous informe globalement des informations de la Mutuelle...Que ça dure...</t>
  </si>
  <si>
    <t>25/12/2020</t>
  </si>
  <si>
    <t>buron-j-128822</t>
  </si>
  <si>
    <t>Bons conseillers.trés réactifs. Simplicité pour les démarches administratives à l'ouverture du contrat. Bonne remise sur un paiement annuel, ce qui est trés appréciable.</t>
  </si>
  <si>
    <t>knosmo-108645</t>
  </si>
  <si>
    <t xml:space="preserve">Après le décès de mon père, j'ai contacté le service clientèle qui a été l'écoute de ma demande. Kadija a été efficace et j'ai reçu tous les documents dont j'avais besoin directements par mail.
</t>
  </si>
  <si>
    <t>dono15-49681</t>
  </si>
  <si>
    <t xml:space="preserve">À fuir. Je suis chargé de sinistre dans une assurance et connais parfaitement mes droit. Non responsable dans un accident, cette assurance refuse de me fournir un véhicule de prêt. J'ai du hausser le ton et demander à parler à un responsable pour que direct assurance donne suite à ma demande. La gestionnaire m'a fait passer ca pour une geste commercial. Soyons clair il ne s'agit pas d'un geste commercial mais d'une obligation légale dans le cadre de la réparation intégrale du préjudice de la victime. </t>
  </si>
  <si>
    <t>29/11/2016</t>
  </si>
  <si>
    <t>01/11/2016</t>
  </si>
  <si>
    <t>jason-l-110956</t>
  </si>
  <si>
    <t>Je suis satisfait du service qui est rapide et les tarifs sont plutôt correct, cependant cela reste un petit peu plus cher que d’autres assurances en ligne.</t>
  </si>
  <si>
    <t>aucun-122007</t>
  </si>
  <si>
    <t>difficile ou impossible de se faire rembourser les prestations notamment dentaires. j'avais cru comprendre lors de mon adhésion que les couronnes étaient remboursées intégralement;
Ce n'est pas vrai alors que mon praticien pratique des prix les plus bas.</t>
  </si>
  <si>
    <t>benayon-l-122562</t>
  </si>
  <si>
    <t>Je suis satisfait par rapport à mes exigences. Le prix est correct, les couvertures sont à peu près correctes. Si le Service assistance est bon je ne vois aucun défauts à cette assurance.</t>
  </si>
  <si>
    <t>jojo-82202</t>
  </si>
  <si>
    <t>En faite que comprend l assurance habitation propriétaire ? Expert 3 différents jamais le même avis ils ne viennent jamais avec le dossier de l ancien expert pour le suivis. Qui doit on contacter</t>
  </si>
  <si>
    <t>23/12/2019</t>
  </si>
  <si>
    <t>rouze-61262</t>
  </si>
  <si>
    <t>Cahors, cela fait 10 ans que vous prélevez 2 fois mensuellement à ma mère agée de 83 ans let on n'arrive pas à vous faire résilier un des 2 contrats Pourquoi?</t>
  </si>
  <si>
    <t>08/02/2018</t>
  </si>
  <si>
    <t>marie15-90435</t>
  </si>
  <si>
    <t>Très mauvaise expérience suite à un sinistre ou je ne suis absolument pas en tort 
Pacifica ne veut pas me payer la valeur de ma voiture estimée à 1500e</t>
  </si>
  <si>
    <t>11/06/2020</t>
  </si>
  <si>
    <t>vancoppenolle-m-116798</t>
  </si>
  <si>
    <t>C'est la première fois que je fait une assurance auto en ligne, et franchement c'est d'une simplicité! Rapide, c'est clair et net, de plus je recommande L'olivier.</t>
  </si>
  <si>
    <t>11/06/2021</t>
  </si>
  <si>
    <t>maman-poule-117210</t>
  </si>
  <si>
    <t>En invalidité depuis décembre 2020, je n'ai toujours rien perçu à ce jour ! Évidemment, on me réclame des documents au compte goutte, mon dossier est soit disant complet depuis début avril, mais finalement on me réclame encore des documents, au bout de 6 mois... C'est scandaleux ! Complètement abusif ! Je me rapproche des associations de consommateurs. Organisme à fuir !!</t>
  </si>
  <si>
    <t>philippe-d-113815</t>
  </si>
  <si>
    <t xml:space="preserve">je suis satisfait de votre contrat prix correct bien explique rapide et bien expliquer je suis satisfait de votre site et le recomande a mon entourage </t>
  </si>
  <si>
    <t>15/05/2021</t>
  </si>
  <si>
    <t>f050501-75185</t>
  </si>
  <si>
    <t>Leurs inspecteurs (experts salariés matmut)  font intentionnellement de fausses déclarations en vue de ne pas rembourser les dégâts et de vous obliger à une contre expertise.</t>
  </si>
  <si>
    <t>18/04/2019</t>
  </si>
  <si>
    <t>stephane64-58367</t>
  </si>
  <si>
    <t>j' espère que l' Olivier se mettra a faire des assurances habitation, car pour l' assurance auto je n' ai rien a redire</t>
  </si>
  <si>
    <t>17/08/2018</t>
  </si>
  <si>
    <t>01/08/2018</t>
  </si>
  <si>
    <t>simeon-j-130906</t>
  </si>
  <si>
    <t xml:space="preserve">Simple pratique efficace
Rapport couverture prix parfait 
Clarté des documents à signer
Procédure facilitée par la signature automatique
Rien à redire </t>
  </si>
  <si>
    <t>jerome-56029</t>
  </si>
  <si>
    <t xml:space="preserve">Je viens de voir sur votre site un Client Soggessur qui a eu la même mésaventure que nous suite aux intempéries de Mai 2016 en Essonne.Malgré l'arrêté de catastrophe naturelle qui a été publié pour ce département l'assurance ne veut pas prendre en charge les réparations de notre toiture.Je précise qu'avant cet événement nous n'avions aucune infiltration d'eau.
Voici la dernière réponse de l'assureur:
Ce sinistre ne relève pas d’une catastrophe naturelle, même si un arrêté avait été enregistré au journal officiel, les dommages à la toiture ne peuvent mobiliser cette origine. Seul un évènement climatique conséquent (force du vent importante, dommages similaires relevés aux alentours) aurait pu permettre de mobiliser cette garantie, ce qui n’est pas le cas.
En l’état, il s’agit clairement d’un besoin d’entretien sur votre toiture, qui a généré des infiltrations d’eau endommageant des embellissements de votre habitation relevant de la garantie « dégât des eaux ».
</t>
  </si>
  <si>
    <t>14/07/2017</t>
  </si>
  <si>
    <t>bea11-88250</t>
  </si>
  <si>
    <t xml:space="preserve">Arrêt de travail du 6 décembre 2019 toujours pas de complément de salaire a ce jour même après un solde de tout compte pour licenciement le 18 février 2020 aucun moyen de contacter qui se soit personne ne répond l'employeur renvoie sur AG2R et eux a l'employeur assurance a déconseiller même en assurance personnelle </t>
  </si>
  <si>
    <t>12/03/2020</t>
  </si>
  <si>
    <t>abdeldahak-70950</t>
  </si>
  <si>
    <t>Pas d'agence pas de réponses par tél vous pouvez passer 30min au Tel sans avoir une réponse en plus l appelle est payante bref presque impossible de les contacter, ils ont mis mon dossier en radiation sans m'informer et en plein traitement chez le dentiste</t>
  </si>
  <si>
    <t>04/02/2019</t>
  </si>
  <si>
    <t>roger-o-124115</t>
  </si>
  <si>
    <t>franchise élevé pour le "tous risques", en espérant que la cotisation soit re-évaluée après envoi du relevé information Assurance professionnel;
temps de validation de dossier très long au téléphone, mais très agréable tous de même.</t>
  </si>
  <si>
    <t>jean-r-111909</t>
  </si>
  <si>
    <t>certes pas cher ….par contre il ne faut s attendre a rien de plus en terme de service . j assure 2 véhicules chez eux . le deuxième véhicule a du retard a la livraison . le garage me propose un prêt d un autre véhicule en attendant , direct assurance refuse de l assurer !!! ( motif ils n assurent pas les véhicules de prêt …) ca commence bien !!  en gros il n y a plus qu' a serrer les fesses pour qu' il n arrive rien ... même pas un bris de glace sinon c est malus après on pourrait me dire d aller voir ailleurs mais comme les assureurs sont tous les mêmes autant prendre le moins cher.</t>
  </si>
  <si>
    <t>28/04/2021</t>
  </si>
  <si>
    <t>patrice-74508</t>
  </si>
  <si>
    <t>Prix de l assurance élevé et qualité du service vraiment médiocre.. A eviter</t>
  </si>
  <si>
    <t>27/03/2019</t>
  </si>
  <si>
    <t>lafourcade-j-125108</t>
  </si>
  <si>
    <t xml:space="preserve">Satisfaite du prix, des services, des garanties, des franchises et du service en ligne rapide, efficace et sympathique. 
Merci de vous soucier des clients </t>
  </si>
  <si>
    <t>nicolas-l-108428</t>
  </si>
  <si>
    <t>J ai rentré l immatriculation de ma voiture pour le devis, une fois le contrat etablit le prix double? soit disant par ce que le type mine de ma voiture est different ? j ai pourtant saisie son immat pour le devis et c est vous qui avez attribué le type mine!?</t>
  </si>
  <si>
    <t>julie-f-111347</t>
  </si>
  <si>
    <t>plusieurs souscriptions, et toujours bien
j'y reviens après étude de la concurrence et j'espère être toujours autant satisfaite de mon contrat
A suivre!</t>
  </si>
  <si>
    <t>22/04/2021</t>
  </si>
  <si>
    <t>xavier-d-109429</t>
  </si>
  <si>
    <t>Changement d'assurance vers la gmf il y a 3 ans le pire relationnel client et le pire traitement des clients également. Plateforme téléphonique inutile guichets inutiles, personne ne peux gérer un dossier dans son intégralité.a quoi bon?</t>
  </si>
  <si>
    <t>07/04/2021</t>
  </si>
  <si>
    <t>renec2006-49846</t>
  </si>
  <si>
    <t>sociétaire depuis de nombreuses années , j'ai eus un dégât des eaux qui n'était pas de mon fait , pris en charge de la MAIF ,dérisoire et très long , j'ai donc envoyé un courrier en RAR , récépissé le 14 novembre , afin de résilier tous mes contrats (loi HAMON ) plus mails de réclamation pas de réponse , mais il ont eus le culot de m'envoyé l' avis d'échéance pour 2017 , malgré mes relances , je pense qu'ils doivent être en grande difficultés vu le mécontentement des sociétaires , et donc ne réponde pas au réclamation, alors que je suis dans mon bon droit !</t>
  </si>
  <si>
    <t>03/12/2016</t>
  </si>
  <si>
    <t>taxi-82038</t>
  </si>
  <si>
    <t>mon application pacifica me dit que je n'ai pas de contrat sur mon compte SCI,alors que j'ai 2 contrats d'assurance et 9 sur nom propre merci de me répondre cdt GC</t>
  </si>
  <si>
    <t>18/12/2019</t>
  </si>
  <si>
    <t>leonie-138829</t>
  </si>
  <si>
    <t>Refus d'assurer un deuxième véhicule et résiliation de notre 1er contrat avec comme raison :
3 pare brises changés entre 2018 et 2021 (pas 2 dans la même année)
2 accidents non responsables (donc remboursés par l'assurance adverse)
1 accident responsable (1 rayure sur un autre véhicule pour un coût d'une centaine d'euros)
Encaissez 100€/mois depuis plusieurs années (quasiment 10 ans) ils savent faire.
Par contre si vous leur coûtez à peine 1/10eme de ce que vous leur avez versé, ils ne vous assurent plus.
Se faire virer d'une assurance alors qu'on n'est pas responsable des dégâts faits sur notre véhicule c'est incompréhensible!
Cette entreprise se moque de ses clients et ne se préoccupe uniquement de ses bénéfices.</t>
  </si>
  <si>
    <t>max-109424</t>
  </si>
  <si>
    <t xml:space="preserve">En septembre 2018, Je suis à moto, s'arrêtant normalement à un feu passant à l'orange puis au rouge. Je me fais percuter par l'arrière par un automobiliste qui n'a pas vu le feu passer à l'orange et me projette 20 mètres plus loin au cœur du carrefour...
Bilan :
Des lésions qui aujourd'hui encore occasionnent des maux de dos et migraines invalidantes.Avec un traitement à vie d'anti-inflammatoires sur les articulations lésées.
Moto quasi neuve détruite
Ordinateur portable outil de travail détruit, (je suis chercheur en biologie, donc le PC n'est pas un portable banal !)
Casque, cuir, gants, chaussures détruites…
Indemnisation : 10 800 € en février 2019 soit plus de 4 mois après l'accident
Moto : achetée quasi neuve 14 000 € en mars 2018.
PC portable : acheté 3500 € un an plus tôt
Cuir, casque, gants et chaussures : rien, alors que c'est ce qui l'a protégé et limité les dégâts !
Corporel : rien… cela traine depuis 30 mois !
Je dois faire appel à un avocat pour que les choses avancent.
Pour rappel je suis une victime qui n'est en rien responsable !!!!
D'autres cas m'ont été relatés pour lesquels la stratégie d'AXA est de faire trainer et de rembourser le moins possible.
Vous comprendrez que je n'ai aucune envie d'engager quoi que ce soit avec cette compagnie et que je me charge par ailleurs activement d'en vanter les compétences… en non-indemnisation. </t>
  </si>
  <si>
    <t>cyrilpsy-67489</t>
  </si>
  <si>
    <t>je suis chez neoliane depuis 2016 et suis tres satisfait des prestations offerte. remboursement rapide.j'ai voulu faire le points avec eux afin de voir si ma situation etait toujours bonne j'ai recu une reponse tout de suite</t>
  </si>
  <si>
    <t>astein58-103295</t>
  </si>
  <si>
    <t xml:space="preserve">Les meilleurs prix qui me sont proposé.
Très bon service même après la perte total d'un véhicule.
Seul que j'ai observé aussi chez d'autres assureurs; ils montent les prix chaque année. Donc il faut les rappeler. 
Mais contrairement aux autres assurances qui ont la même pratique L'olivier prend en compte et corrige le tire et retrouve un prix très très compétitif. </t>
  </si>
  <si>
    <t>michelzpro-100109</t>
  </si>
  <si>
    <t xml:space="preserve">
Très fortement déçu de la MAAF, contrat assurance habitation pour locataire, Option loyer impayé.
Déjà au niveau prix (+- 500 €/an),  mais il n'y avait pas grand chose sur le marché en 2010.
Ensuite en cas de problème, (en Juin 2013)
L'agence ne s'occupe pas du dossier directement, la compagnie MAAF non plus,
Il soustraite le dossier a une autre compagnie, la DAS (???) 
Difficile à mettre en marche le remboursement des loyers suite au défaut du locataire (2 mois pour leur faire accepter de faire fonctionner le contrat, ensuite, hors délai !), avant d'avoir enfin satisfaction (ca commence bien !).
Règlement trimestriel des loyers de Juin 2013 a Mars 2015
Pas de renseignement sur le locataire de leur part, ou il vit, si il l'on retrouvé ? Malgré mes demandent.  
A la fin du contrat, (02/2015 le locataire a filé "a l'anglaise", sans adresse, sans rendre les clés ni bien sur, état des lieux)
 - Pas de remboursement des frais annexes, (cela est marqué dans le contrat !)
 - Pas de respect du jugement du tribunal (ne les concerne pas, pourtant l'option du contrat les prévoies)
 - Chantage de perte de subrogation si je ne rembourse pas le trop perçu, (règlement trimestriel, je leur dois en effet 1 mois de trop perçu, mais grosse erreur dans leur calcul du trop perçu) 
 - Pas d'entente pour la remise en état du logement qui a été détruit par le locataire avant son départ et tout cela malgré mes lettres de relances, mes photos, mes devis ... (cela aussi était notifié dans le contrat)
Affaire qui débute en 2013, et aujourd'hui en 2020, il me demande de leur fournir des documents qui ne les concerne pas (dossier de surendettement du locataire, car il me doit d'autres frais, donc j'ai lancé une procédure personnellement) et ils continuent encore le chantage de perte de subrogation alors qu'ils me doivent l'erreur du trop perçu, et la remise en état du logement !!!
Bien s'armer de patience, faire des relances auxquelles ils ne répondent pas (pas de news de 2015  a  2020).
Depuis 2015, la MAAF ne fait plus ce genre d'assurance, cela nous montre qu'ils sont loin d'être compétents, et surtout de mauvaises foi des qu'ils doivent régler financièrement un problème  !!
michelzpro@hotmail.com
</t>
  </si>
  <si>
    <t>15/11/2020</t>
  </si>
  <si>
    <t>william-86892</t>
  </si>
  <si>
    <t xml:space="preserve">Je ne recommande pas, certes pour démarrer une assurance en un coup de tel cest fait mais quand il y a un problème ce nest jamais réglé 
Pacifica doit 1400 euros à mon père depuis 10 ans mais tout le monde sen fou, moi ils me doivent 360 euros pour une assurance que jai payer alors que je n'avais plus le véhicule mais tout le monde sen fou tout prétexte est bon pour trouver une excuse et ne pas remboursé </t>
  </si>
  <si>
    <t>pieux-m-136752</t>
  </si>
  <si>
    <t>Je suis déçue qu'il y ai aussi peu de publicité de la part de L'Olivier. Mais je suis très heureuse d'avoir pu trouver cette assurance et je compte transférer tous mes contrats chez eux.</t>
  </si>
  <si>
    <t>09/10/2021</t>
  </si>
  <si>
    <t>ludo666-60754</t>
  </si>
  <si>
    <t xml:space="preserve">Une assurance à vomir ! Le service clients ne gère en rien les problèmes des clients. Dès que vous souhaitez quitter cette assurance, on fait tout pour vous en empêcher et on vous pousse à payer la cotisation annuelle, même si vous avez résilié. On vous fait comprendre que vous n'avez pas rempli les formalités dans les temps... On souhaite vous voler et rien de plus. Cela s'appelle de l'abus de pouvoir ! Et si vous vous obstinez à leur tenir tête, ils vous envoient une mise en demeure, puis leurs sbires qui sont avocats et huissiers de justice ! Bref, avec L'olivier assurance, vous avez des gens sans foi ni loi ! Et avec eux, l'hypocrisie va tellement loin qu'ils essayent ensuite de vous contacter malgré tout via ce site... Bref, on aurait sincèrement envie de souhaiter à cette compagnie à deux balles, de se tirer une balle quelque part ! Et après de tels propos, croyez-moi je n'ai rien à craindre, car en plus d'être totalement inhumain et méprisant,  cette compagnie est lâche ! </t>
  </si>
  <si>
    <t>23/01/2018</t>
  </si>
  <si>
    <t>vaity-c-127566</t>
  </si>
  <si>
    <t>Je suis satisfait du service que ce soit téléphonique ou de l'efficacité des procédures par mails, message et internet. Les prix sont un peu chers mais reste quand même abordables par rapport au marché.</t>
  </si>
  <si>
    <t>agathe-58932</t>
  </si>
  <si>
    <t>Jamais eu d'accident, 5 ans que j'ai le permis, 5 ans que je suis chez eux, 5 ans que je suis augmentée : changement de véhicule ? Ca fera 50 euros de plus madame (je précise que je ne suis pas passée d'une 206 à une ferrari). Souhait de mensualisation ? 9% de plus madame. Résultat des courses je me retrouve à payer 640 euros le tiers au ras des pâquerettes pour une voiture avec 1/2 cheval sous capot (à titre comparatif, avec exactement les mm données, plusieurs assurances me proposent en moyenne 400/450euros et en passage en tout risque en plus !)</t>
  </si>
  <si>
    <t>lestage-d-108877</t>
  </si>
  <si>
    <t>Je suis obliger de payer d'un coup c'est a dire 1499.89 euro par ans et je n'ai pas le chois de payer par mois !!                                      0</t>
  </si>
  <si>
    <t>david-c-117204</t>
  </si>
  <si>
    <t>très satisfait du service
coût des contrats assurances encore élevés
prise de rdv satisfaisant, accueil, conseils et informations de qualité de la part des assureurs GMF</t>
  </si>
  <si>
    <t>herve-t-129063</t>
  </si>
  <si>
    <t xml:space="preserve">simple et rapide à condition de conaitre toutes les réponses !!
tout le monde ne connais pas son coef de bonus/malus par exemple. Et quel est l'intérêt d'indiquer que je suis propriétatire ou locataire de mon logement pour assurer un véhicuel ?
</t>
  </si>
  <si>
    <t>jean-loup-c-124307</t>
  </si>
  <si>
    <t>Service très rapide, et à l'écoute.
Tarif imbattable pour une couverture superbe, mes deux motos sont assurées chez AMV je recommande fortement. Bonne route V</t>
  </si>
  <si>
    <t>22/07/2021</t>
  </si>
  <si>
    <t>pigeoncnp-99971</t>
  </si>
  <si>
    <t>Nous cotisons dans un contrat CNP Assurimo depuis plus de 30 ans. Aujourd'hui que ce produit est arrivé à terme, nous avons demandé le versement du capital (nous avions pris les devants en anticipant notre demande de quatre mois donc largement en avance. Pour éviter toute déconvenue, nous avons envoyé des courriers AR). Aujourd'hui alors que le contrat est arrivé à échéance, nous n'avons toujours pas récupéré notre capital : une véritable honte pour une telle enseigne. Ils font tout pour retarder le paiement (demande de pièces complémentaires non réclamées au départ, ... autant de prétextes et de stratagèmes pour retarder la liquidation) alors même que nous leur avons confié notre épargne depuis des années. Nous sommes vraiment écœurés d'où notre témoignage de ce jour. Nous ne pouvons conseiller un tel assureur et vous recommandons la plus grande prudence.
Nous mettons volontairement l'assureur en copie de la présente et vous tiendrons informés de la suite du dossier. En revanche, contrairement à la CNP, nous avions également un contrat GENERALI qui est très sérieux (pas d'attente pour le versement, ...) : à recommander sans la moindre hésitation.</t>
  </si>
  <si>
    <t>vterris0312-76018</t>
  </si>
  <si>
    <t>Nelly a su me conseiller et éclaircir la situation .
bon conseil. super assurance.</t>
  </si>
  <si>
    <t>17/05/2019</t>
  </si>
  <si>
    <t>sopharith-c-117020</t>
  </si>
  <si>
    <t>je ne suis pas du tout satisfait car les prix augmente d'année en année surtout je n'ai fait aucun accident  j'ai commencé 59e et la je suis a 75e donc c'est normal? qu'est ce qui augmente? des frais je ne sais pas bref je vais changer d assurance..</t>
  </si>
  <si>
    <t>younes--m-105509</t>
  </si>
  <si>
    <t>Je suis satisfait du service même si le prix de 1500e annuel est pour moi trop élevé. Les réductions appliqués au fur et à mesure des années est très faible de surcroit ( moins de 5% )</t>
  </si>
  <si>
    <t>04/03/2021</t>
  </si>
  <si>
    <t>cyrille--110037</t>
  </si>
  <si>
    <t>30 Euros d'assurance pour un appartement de 32m2, c'est énorme.  Je finis mon contrat chez eux, pour la même surface j'ai trouvé pour 12 Euros avec les mêmes garanties.</t>
  </si>
  <si>
    <t>chris-86988</t>
  </si>
  <si>
    <t>a fuir, incroyable mais vrai, nous n'avons jamais eu de sinistre depuis des années et jamais aucune demande .
Nous avons omis de régler dans les temps notre habitation que nous réglons aussitôt l'année et surprise nous sommes résiliés quand même et direct assurance nous dit clairement d'aller ailleurs .
Je recommande pas direct assurance car après cela on imagine la suite en cas de sinistre !!!</t>
  </si>
  <si>
    <t>11/02/2020</t>
  </si>
  <si>
    <t>vincent-l-123587</t>
  </si>
  <si>
    <t>Merci au conseiller qui m'a accompagné avec un grand professionnalisme et de bons conseils. Je n'ai pu utiliser l'enquête après l'appel (un bug sans doute). Bonne journée.</t>
  </si>
  <si>
    <t>lakhdar-50476</t>
  </si>
  <si>
    <t>depuis plus de deux anx assuré chez Directe assurance et en fevrier 2107 j ai eu un accident non responsable,mon dossier envoyé rapidement par leur site en plus d'un courrier le lendemain mon dossier etais deja traité et j avais la possibilité de le suivre etape par étape jusqu'à la répartition j'etais tres content</t>
  </si>
  <si>
    <t>paulo-l-105465</t>
  </si>
  <si>
    <t xml:space="preserve">je suis satisfait du service…
les prix me conviennent….
simple, rapide et efficace…
facilité d'accès a tous….
prix satisfaisant et accessible a tout le monde 
</t>
  </si>
  <si>
    <t>isabelle-62854</t>
  </si>
  <si>
    <t>Bientôt 2 mois que j'attends un remboursement, toujours pas de nouvelle si ce n'est qu'ils m'ont demandé de renvoyer les documents que j'avais déjà transmis il y a un mois.</t>
  </si>
  <si>
    <t>benoit-s-110795</t>
  </si>
  <si>
    <t>Opératrice au téléphone patiente et compétente qui a su gérer mon agacement secondaire à des conditions tarifaires finales non conforme à ce qui avez été annoncé lors du démarchage téléphonique</t>
  </si>
  <si>
    <t>17/04/2021</t>
  </si>
  <si>
    <t>belal-k-105585</t>
  </si>
  <si>
    <t>j’attends de bénéficier de mes droit pour porté un avis sur les prise en charge et l’écoute de vos salarier 
cordialement 
en vous remerciant de votre comprhention</t>
  </si>
  <si>
    <t>stephanie-l-112092</t>
  </si>
  <si>
    <t>service rapide
facile
manque de visbilite sur certaines informations à fournir
manque d'un service client type chat en ligne pour conseiller lors de la souscription</t>
  </si>
  <si>
    <t>alves-j-122574</t>
  </si>
  <si>
    <t>Très satisfait. Conseillers à l'écoute et sympathiques. 
Prix corrects. 
- Mon avis est fini. Je mets plein de caractères juste pour pouvoir envoyer..</t>
  </si>
  <si>
    <t>jul13n-96009</t>
  </si>
  <si>
    <t>Un impayé et on vous demande les mois suivant a payer jusqu'à la date d'engagement du contrat . Aucun arrangement ne m'a été proposé alors que l'erreur venait de ma conseillère qui n'avait pas transmis mes infos . J'ai donc été radié et je leur devait les mois restants à payer .
Même si toutes les assurances sont pareilles a quelque chose prêt , en font parti de celles qui n'aident pas les gens quand il faut .</t>
  </si>
  <si>
    <t>06/08/2020</t>
  </si>
  <si>
    <t>stecy91-115053</t>
  </si>
  <si>
    <t>Suite à un accident non responsable ou quelqu'un met rentré dedans je me retrouve augmenter scandaleux! alors que je n'ai aucun accident a tord et que cela va bientot faire 2 ans que je suis chez vous je suis sincèrement très très déçus.</t>
  </si>
  <si>
    <t>cammera-124872</t>
  </si>
  <si>
    <t>Je suis satisfait de la clientèle en espérant que ça continuera comme ça par contre c'est dommage le bris de glace ne soit pas indiqué sur une formule simple sur une formule simple</t>
  </si>
  <si>
    <t>sam-97267</t>
  </si>
  <si>
    <t xml:space="preserve">Avant d'être sinistré il n'y a rien à dire mais une fois que les problèmes surviennent, on se rend compte de la médiocrité de cette assurance : .
.personnelles incompétent dans la gestion des sinistres
.durée interminable pour se faire rembourser, 4 mois!
.trop d'interlocuteur qui reprennent le dossier a zéro à chaque fois. </t>
  </si>
  <si>
    <t>10/09/2020</t>
  </si>
  <si>
    <t>anttheo-67586</t>
  </si>
  <si>
    <t>Suite accident non responsable d un véhicule assuré au tiers chez eux  tout à été très bien géré par l assistance 
  l accueil la prise en charge les explications le suivi la gentillesse le remboursement</t>
  </si>
  <si>
    <t>11/10/2018</t>
  </si>
  <si>
    <t>sandrine-b-122911</t>
  </si>
  <si>
    <t>Un peu long a vous joindre a part cela ,on a pas trop de recul envers vos service on va découvrir. c'est le premier contrat
Cordialement Sandrine Bourgoin</t>
  </si>
  <si>
    <t>09/07/2021</t>
  </si>
  <si>
    <t>callem-62891</t>
  </si>
  <si>
    <t>A chaque fois que j'ai eu besoin d'un renseignement (changement de contrat, incident) j'ai été bien reçu et bien conseiller</t>
  </si>
  <si>
    <t>sylvaincouffin-52666</t>
  </si>
  <si>
    <t>J'aurais voulu mettre 0, mais malheureusement, ce n'est pas possible. J'ai été contacté par téléphone et je n'ai jamais signé aucun contrat, que ce soit par signature manuscrite ou électronique. Malgré ça des prélèvements ont été effectuées. Aucune réponse du service client malgré l'envoie de plusieurs lettres, par contre les factures de prélèvements, je les reçois bien.</t>
  </si>
  <si>
    <t>stephane-l-111041</t>
  </si>
  <si>
    <t>je viens juste de m'assurer et je trouve que cette opération en ligne  a été plutôt simple et rapide à effectuer.
j'attends maintenant la finalisation de mon contrat</t>
  </si>
  <si>
    <t>greg-101437</t>
  </si>
  <si>
    <t>Je suis extrêmement déçu de vos services.
J'ai essaye de vous joindre à de nombreuses reprises depuis le mois de mars.je n'ai pu vous joindre que la semaine dernière.vous deviez me rappeler mais je n'ai reçu aucun appel.
(Je souhaites passer au tiers pour ma 307)
Le seul courrier que j'ai reçu de votre part était pour me dire que je n'avais pas honorer mon dernier prélèvement et qu'en cas de récidive ,je ne serai plus assuré.c'etait une erreur de votre part mais vous avez pas jugé utile de m'appeler ou de me renvoyer un courriel.
Je n'ai eu aucun accident en 20 ans de permis et donc depuis que je suis assuré chez vous (2 contrats voiture et un contrat habitation) cependant mes mensualités vont augmenter en 2021.
C'est la première fois que je le fais depuis mon arrivée à Allianz,je regarde les tarifs des autres compagnies pour quitter la vôtre ,déçu par votre manque de considération</t>
  </si>
  <si>
    <t>14/12/2020</t>
  </si>
  <si>
    <t>djielhach-138140</t>
  </si>
  <si>
    <t>Pour l'instant, je suis satisfait de l'accueil, de la réactivité et attends la suite.
Client fidèle, j'ai été déçu par le comportement "TOUT VACCINAL" du Secteur Mutualiste
et l'infantilisation consécutive de leurs adhérents.
Vive la Liberté, le CHOIX, le Débat contradictoire et le respect de nos capacités de discernement!!!!</t>
  </si>
  <si>
    <t>thymic-103449</t>
  </si>
  <si>
    <t xml:space="preserve">Satisfait en général, mais je trouve que Direct Assurance a perdu en compétitivité /rapport qualité prix. Ce n'est plus le champion que c'était avant.
Au sujet de la gestion courante, la communication manque de clarté, réactivité et d'efficacité: j'ai dû me répéter à plusieurs reprises. Les temps de réponse sont assez longs. Il est plus difficile qu'avant sur le site d'obtenir des informations pour la gestion quotidienne, surtout quand on souhaite résilier son contrat... </t>
  </si>
  <si>
    <t>30/01/2021</t>
  </si>
  <si>
    <t>julien-99462</t>
  </si>
  <si>
    <t xml:space="preserve"> jusque-là j'étais plutôt satisfait jusqu'au jour où j'ai besoin de faire remplacer une des vitres du hard top de mon pick-up, je ne sais pas comment elle a été cassée mais il me demande plus de 470 € de franchise pour me faire remplacer une vitre qui en vaut 370 euro main d'oeuvre comprise, je suis en tout risque avec toutes les options et en plus ils me disent que cette franchise ne couvre même pas les objets volés... en sachant que j'utilise mon véhicule pour le privé et le professionnel, je suis artisan...</t>
  </si>
  <si>
    <t>31/10/2020</t>
  </si>
  <si>
    <t>heldel92-97688</t>
  </si>
  <si>
    <t>Mutuelle de mon employeur, j'ai pris l'option complémentaire et je ne regrette pas du tout, les dépassements d'honoraire sont bien pris en charges pour les spécialistes et les hospitalisations.
Accueil téléphonique toujours aimable et très serviable.</t>
  </si>
  <si>
    <t>22/09/2020</t>
  </si>
  <si>
    <t>lucie-89131</t>
  </si>
  <si>
    <t>impeccable suite à un sinistre. tout le côté gauche de ma voiture a été emboutie et l'olivier assurance m'a pris en charge rapidement.</t>
  </si>
  <si>
    <t>24/04/2020</t>
  </si>
  <si>
    <t>jean-francois-r-102857</t>
  </si>
  <si>
    <t xml:space="preserve">Très efficace et à l'coute pour toute information et les renseignements sont très clairs.
Plusieurs solutions sont proposées lorsque le client pose des questions </t>
  </si>
  <si>
    <t>17/03/2021</t>
  </si>
  <si>
    <t>lena-75414</t>
  </si>
  <si>
    <t>Dans un état de nerfs indescriptible face à tant d'incompétence, d'indifférence et d'arrogance. Malgré une gestionnaire sympathique et pragmatique hier, et certains les jours précédents mais en vain, toujours baladée depuis des mois sans suivi ni soutien. Perte de temps et d'énergie incommensurable, et je dois encore tout reprendre pour faire une réclamation avant le service médiation?! La clé de leur succès probablement : décourager les gens qui n'ont plus l'énergie de se battre.</t>
  </si>
  <si>
    <t>26/04/2019</t>
  </si>
  <si>
    <t>sa-li-110834</t>
  </si>
  <si>
    <t>j'ai souscrit a l'olivier assurance il y a un an pour son tarif attractif. Un an plus tard il m'augmente mes cotisations qui passent de 37 euros a 60 euros par mois!!!!!!! Sachant que je n'ai eu AUCUN sinistre! et que ma voiture est assurée au tiers avec option bris de glace .
Mefiez vous d'eux.</t>
  </si>
  <si>
    <t>yango-c-106592</t>
  </si>
  <si>
    <t xml:space="preserve">Devis simple rapide et clair. Prix compétitifs sauf pour les franchises mais je suis satisfait de l'offre proposée pour mon véhicule par direct assurances avanssur. </t>
  </si>
  <si>
    <t>15/03/2021</t>
  </si>
  <si>
    <t>anne-57909</t>
  </si>
  <si>
    <t>Virée après 13 ans d'assurance voiture et moto... cause 2 sinistres non responsables (alors que j'étais garée et pas dans le véhicule) en 2 ans!</t>
  </si>
  <si>
    <t>09/10/2017</t>
  </si>
  <si>
    <t>olympe-107168</t>
  </si>
  <si>
    <t>Appel ce jour pour une demande de prise en charge hospitalière, après une attente assez longue au téléphone j'ai eu en ligne Emeline, une personne  très efficace et très aimable, elle a bien répondu à mes attentes et même plus. La satisfaction du client est au rendez vous. Félicitation à Emeline ayant déjà travaillé comme  assistante commerciale et maintenant à la retraite j'apprécie son professionnalisme. J'espère qu'elle en sera récompensée.</t>
  </si>
  <si>
    <t>rene-b-105333</t>
  </si>
  <si>
    <t>Je suis satisfait du service, mais ayant 50% de bonus et n'ayant aucun sinistre depuis 2019, je trouve que l'augmentation pour l'année 2021 est excessive et n'est pas du tout justifiée.</t>
  </si>
  <si>
    <t>mari-59445</t>
  </si>
  <si>
    <t>ALLIANZ AVEC NOUS DE A à Z ?</t>
  </si>
  <si>
    <t>06/12/2017</t>
  </si>
  <si>
    <t>jessical-78825</t>
  </si>
  <si>
    <t>CAROLINE
J'ai été démarchée pour une offre et très vite, on m'a proposé de souscrire. Je me suis donc retrouvée avec une cotisation inutile (basée sur l'argument d'une carence dans mon dossier santé). Malgré cette erreur et le forcing, je salue le service client qui a été très réactive et agréable pour me permettre de résilier rapidement (le jour même).</t>
  </si>
  <si>
    <t>30/08/2019</t>
  </si>
  <si>
    <t>sara-m-136191</t>
  </si>
  <si>
    <t>Mon nouvel assureur a résilié mon contrat Allianz auto en mai 2021, mais la société n'a pas tenu compte de la résiliation et continue encore aujourd'hui de me prélever (octobre 2021 !!!). Mon nouvel assureur a relancé Allianz à plusieurs reprises, moi également, sans succès. EVITER ALLIANZ, leurs délais de traitement sont interminables !!</t>
  </si>
  <si>
    <t>06/10/2021</t>
  </si>
  <si>
    <t>antere-a-139421</t>
  </si>
  <si>
    <t>Prix raisonnable
Démarche Efficace mais avec des bugs sur le site.
Ça fonctionne les jours fériés c’est génialissime.
Que dire de plus que bravo à vous...</t>
  </si>
  <si>
    <t>11/11/2021</t>
  </si>
  <si>
    <t>guillaume-d-128352</t>
  </si>
  <si>
    <t xml:space="preserve">Je suis très content du suivi par l'équipe zen-up (support, réactivité, gentillesse...)
Les prix pratiqués sont competitifs
Site Web facile d'utilisation
</t>
  </si>
  <si>
    <t>jo-61478</t>
  </si>
  <si>
    <t>lamentable, ne répondeNT  pas, trainent  au maximum pour débloquer les assurances vie  en demandant des documents au fil de l'eau ; JAMAIS pour mes enfants, JAMAIS</t>
  </si>
  <si>
    <t>21/02/2018</t>
  </si>
  <si>
    <t>barbier-j-133834</t>
  </si>
  <si>
    <t xml:space="preserve">Je suis très satisfait de L'oiivier assurance
Très simple mise en place du contrat
Conseillé très sympathique 
Prix très raisonnable je ne changerai jamais </t>
  </si>
  <si>
    <t>mimi-85976</t>
  </si>
  <si>
    <t>En attente du versement de la succession de mes grands-parents, afer ne donne aucun signe de vie si ce n'est pour me demander inlassablement les mêmes documents. Cette situation dure depuis le 1er octobre. Devons-nous nous inquiéter de revoir notre argent un jour ? Sans parler des pénalités de retard...</t>
  </si>
  <si>
    <t>16/01/2020</t>
  </si>
  <si>
    <t>nul-63330</t>
  </si>
  <si>
    <t xml:space="preserve">Bonjour jai contacté plusieur fois mon assurance MAAF  paraport un accident non responsable date le 01/2018 la on et le 04/2018 , j'atten toujours la reponse de mon assurance maaf apres un accident non responsable de puis 01/2018 la ca fait 4 mois aucun reponse toujours la même chanson on a pas reçu le raport des deux expert , 
Je me suis déplacer pour voir les deux expert ca fait 4 mois que j'atten la réponse car mon assurance rien reçu de votre part 
La reponse des deux expert que votre assurance qui traine nous en a envoyé notre rapport si votre assurance qui vous rembourse les frais de réparation + les frais de la contre expertise car en a modifier le rapport 
Jai contacte mon assurance la réponse il faut attendre je trouve ca BIZAR CHEZ MAAF
de tout façon j' 4 contra chez eu je vai résilier plus ya 10 copain qui j'ramener chez eu je vai lui dire changé votre assurance maaf avec leur bup a la tél  pour retiré les clien hhhhhhh nul vous étes nul
</t>
  </si>
  <si>
    <t>17/04/2018</t>
  </si>
  <si>
    <t>boulgha-l-113433</t>
  </si>
  <si>
    <t xml:space="preserve">Je suis très satisfait, très rapidement pris en charge et le prix très intéressant défiant toute concurrence.
Le plus important c’est le contact humain et la disponibilité des conseillers.
Merci </t>
  </si>
  <si>
    <t>pierre42190-106445</t>
  </si>
  <si>
    <t xml:space="preserve">SANTIANE, leader des assurances en ligne et surement leadeur du non respect de ses clients. Reçu 3 cartes de tiers payant en 1 mois. Une demande de devis pour une prothèse envoyée le 5 sur le site et le 12 toujours pas étudiée. Vous téléphonez, délai d'attente très mais très long 25 minutes. Normal, quand j 'ai eu la personne, j'entendais des applaudissements et des cris de joie (en somme la fête) et cette personne ne répondait pas à ma question mais me lisait mon relevé de remboursements. La réponse par mail, identique.....
Société à fuir rapidement, vivement la fin de mon contrat afin d'aller voir ailleurs
</t>
  </si>
  <si>
    <t>bibi-113129</t>
  </si>
  <si>
    <t>Victime d'un sinistre dans mon véhicule ,  je me rends à la seule agence à  disposition pour une très grande ville . Personne pour me répondre en direct . On me passe une femme au ? basée où ?  En 3 minutes montre en main elle me répond que cela n'est pas pris en compte dans le contrat. Circulez y a  rien à  voir! 35 ans d’adhésion même pas un geste commercial.</t>
  </si>
  <si>
    <t>diveu-a-124222</t>
  </si>
  <si>
    <t>Service assez facile à utiliser.... même pour un retraité !!! 
Je le recommande d'office aux personnes allergiques (ou non !) aux contrats informatiques ...</t>
  </si>
  <si>
    <t>danyl-i-113862</t>
  </si>
  <si>
    <t xml:space="preserve">C'est énorme 712€ vraiment je suis choqué de ce prix mais malheureusement je suis obligé d'avoir une assurance voiture. pour pouvoir conduire librement  </t>
  </si>
  <si>
    <t>16/05/2021</t>
  </si>
  <si>
    <t>joelle-79119</t>
  </si>
  <si>
    <t xml:space="preserve">assurée en garantie habitation optimale avec les packs jardin et piscine : 120 euros par mois. Le 3 février 2 arbres tombent sur la propriété de ma voisine. Aucune prise en charge à ce jour7 mois sont passés. Un vrai foutage de guele. la compagnie et l'expert de la compagnie ont été convoqués en RAR avec délais légaux pour une expertise contradictoire. Personne ne s'est présenté. L'expert de mon avocat était seul. Je suis plus que correctement assurée. je vais porter plainte. il faut fuir... </t>
  </si>
  <si>
    <t>11/09/2019</t>
  </si>
  <si>
    <t>soso-114601</t>
  </si>
  <si>
    <t xml:space="preserve">Aucune considération pour l'adhérent, le fric avant tout quelque soit le moyen d'y arriver. Mutuelle santé à fuir.
On connaissait la mauvaise foi des assurances, vous allez connaitre la carotte à l'assuré et lorsque vous téléphonez, ces "conseillers téléphoniques" vous raccrochent à l'oreille.
J'ai tellement envie de donner un nom, allez on se lance, Madame M....avec son rire de façade.
Enfin bref que du négatif et j'en passe...
 </t>
  </si>
  <si>
    <t>koubilaikhan-126732</t>
  </si>
  <si>
    <t>Je suis pleinement satisfaite des
Services offerts par la mutuelle génération. Mon fils s’est rompu un ligament croisé et j’ai joint un conseiller pour être informée des modalités de remboursement de certains frais. J’ai eu en ligne un conseiller, Jeremy, empathique qui m’a parfaitement renseignée sur mes droits et les
Démarches à suivre. Suite à notre appel nous avons correspondu par mail pour le suivi administratif de mon fils. Ce même conseiller , pour me faciliter la tâche m’a proposé de lui envoyer directement les documents demandés et s’est chargé de les adresser directement au service concerné. Très efficace, a l’écoute et réactif, il m’a permis d’être remboursée soit huit jours. 
Bcp d’écoute, de disponibilité et d’aide m’ont été apportées. Je ne saurais que trop conseiller cette mutuelle!</t>
  </si>
  <si>
    <t>05/08/2021</t>
  </si>
  <si>
    <t>ben-63309</t>
  </si>
  <si>
    <t>Lors du changement de votre bonus, le tarif de votre assurance devrait être moins cher. Mais ces malins, augmente la prime de risque concernant votre habitation ce qui vous fais rester au même tarif ! Mon exemple : 0.90 soit 10%  je payais 91.55€ tout risque et la après la modification de mon bonus je suis à 0.85 soit 15% et je paie 91.52€ ! En contre partie ils ont augmenté le "risque d'habitation". Pour info toujours la même adresse !  JE VOUS DÉCONSEILLE DIRECT ASSURANCE</t>
  </si>
  <si>
    <t>16/04/2018</t>
  </si>
  <si>
    <t>marie-99248</t>
  </si>
  <si>
    <t xml:space="preserve">Que des problèmes du début a la fin. Prix n'ont rien a voir avec le devis. Delais de traitement long, en payant plus de 50 euro par mois pour une personne seule de moins de 30 ans malgré cela toujours du reste en charge même dans le réseau mgen.
Bref il vaste fumesterie cette mutuelle je préfère retourner chez ma banque pour le mutuelle. </t>
  </si>
  <si>
    <t>antoine-z-114429</t>
  </si>
  <si>
    <t>JE SUIS SATISFAIT DU SERVICE interlocuteur agréable et professionnel au bout du fil, très réactif très bon rapport qualité prix, lia drive box très pratique pour les jeunes conducteurs</t>
  </si>
  <si>
    <t>21/05/2021</t>
  </si>
  <si>
    <t>giovan42-50804</t>
  </si>
  <si>
    <t>Injoignable au téléphone. M'ont escroqué 59€, sur un remboursement de 870€. J'étais chez eux depuis 2001, sans accident, j'ai eu 3 accidents : 01/2015,  07/2015 et 10/2016 tous non responsable. J'étais chauffeur d'autobus à Melle, pendant 30 ans sans accident ils m'ont résilié, avec un bonus actuel de 50%. La publicité de 259€  est mensongère, je payait chez eux par an 648€. J'ai trouvé a beaucoup d'assureurs entre 109 à 640€.</t>
  </si>
  <si>
    <t>maximeg-80643</t>
  </si>
  <si>
    <t>Assuré depuis plus de 5 ans, je déménage dans quelques jours. J'ai donc demandé un devis pour un contrat habitation que je souhaite souscrire le 19/10. J'essaie de le faire via le site à compter du 28/10 : je suis confronté à un bug "Oups.. Page Indisponible". J'essaie de contacter du 28/10 au 1/11 la hotline, toujours saturée. J'envoie un message sur leur site le 31/10, pas de réponse. Le 2/11, les appels sonnent dans le vide... Je dois donc décaler ma signature d'acte d'achat programmée depuis des jours. Et je vais prendre une autre assurance. Incroyable que cette société ne fasse rien pour conserver ses clients.</t>
  </si>
  <si>
    <t>02/11/2019</t>
  </si>
  <si>
    <t>lenaif-66020</t>
  </si>
  <si>
    <t>L'assurance vie : aucun suivi client et si celui-ci donne son avis, on ne répond pas, on ne répond pas, on ne répond toujours pas...</t>
  </si>
  <si>
    <t>06/08/2018</t>
  </si>
  <si>
    <t>laurent-d-115551</t>
  </si>
  <si>
    <t>Aucun suivi des sinistres. On me dit qu'on me rappelle et puis rien.
Mon sinistre a tout bonnement disparu de l'interface web et au téléphone on dit que c'est en cours et ceux depuis 1 an.</t>
  </si>
  <si>
    <t>david59-50151</t>
  </si>
  <si>
    <t>augmentation de + de 10% sans explication pour un véhicule qui veillit et pour lequel il n'y a jamais eu de frais de la part de l'assureur</t>
  </si>
  <si>
    <t>11/12/2016</t>
  </si>
  <si>
    <t>abdelouahab-l-126976</t>
  </si>
  <si>
    <t xml:space="preserve">Très satisfaite , simple et rapide et les prix très intéressant je recommande l’assurance l’olivier le conseiller très à l’écoute et propose des solutions très intéressantes et adaptées à ma situation merci </t>
  </si>
  <si>
    <t>07/08/2021</t>
  </si>
  <si>
    <t>hugo76-103187</t>
  </si>
  <si>
    <t xml:space="preserve">Satisfait suite à un petit dégât des eaux où mon parquet neuf a été à changer. Ils m'ont fait confiance, et j'ai été remboursé du démontage du parquet gondolé et pose d'un parquet neuf, sans déplacement d'expert. Que par photos. Réactivité immédiate car j'ai eu sur mon compte une avance de frais puis le solde à présentation de facture ! Je suis donc très satisfait, mais je reproche le coût de cette assurance très chère ! </t>
  </si>
  <si>
    <t>anthony-78213</t>
  </si>
  <si>
    <t xml:space="preserve">A EVITER ET A DENONCER; pratiques deloyales voir illegales </t>
  </si>
  <si>
    <t>06/08/2019</t>
  </si>
  <si>
    <t>amador-i-123940</t>
  </si>
  <si>
    <t>dans un premier temps les tarifs proposés me conviendraient, j'ai reçu les propositions que je vais les examiner trés trés scrupuleusement, car je n'ai pas toujours entendu des louanges sur les organismes en ligne</t>
  </si>
  <si>
    <t>sandy14-49327</t>
  </si>
  <si>
    <t>Service clientèle médiocre. Quand il y a pb, très difficile de le traiter</t>
  </si>
  <si>
    <t>04/12/2016</t>
  </si>
  <si>
    <t>jerome-l-134421</t>
  </si>
  <si>
    <t>Très satisfait de cette assurance je la recommande à toutes les personnes que je côtoie ainsi que mes amis ma famille collègue de travail ainsi qu'à mon entourage</t>
  </si>
  <si>
    <t>25/09/2021</t>
  </si>
  <si>
    <t>elodie-g-128686</t>
  </si>
  <si>
    <t>je suis satisfaite du site pour le service on verra en temps voulu :)
Direct Assurance m'a été conseillé par de la famille qui est assuré chez eux également.</t>
  </si>
  <si>
    <t>david-s-109848</t>
  </si>
  <si>
    <t xml:space="preserve">Je suis satisfait du prix et des service pour mon assurance moto de ma suzuki750 de 1991 .service rapide et pas compliqué à remplir via internet merci bonne journée </t>
  </si>
  <si>
    <t>caballero-a-136029</t>
  </si>
  <si>
    <t>Qualité de service optimal. Tarif attactif!
Bons conseils au téléphone et forte sympathique! 
Connait bien son travail et sait guider le client efficacement!</t>
  </si>
  <si>
    <t>05/10/2021</t>
  </si>
  <si>
    <t>ledzep-56542</t>
  </si>
  <si>
    <t xml:space="preserve">je suis chez direct assurance depuis 2011, le prix des cotisations annuel sont en constante augmentation malgré un bonus qui évolue positivement; les prix appliqué au nouveaux clients est répercuté sur le prix des  anciens client.
j'ai eu la mauvaise idée de faire un devis qui était de 65 euros moins cher avec une meilleur garantie tierce max au lieu d'une garantie tierce 
suite à ce devis sur le site de directe assurance, j'appelle le service client pour demander un geste commercial, à ma surprise la réponse était négative impossible de basculer sur l'offre devis 
le service m’a conseillé de résilier mon ancienne assurance et souscris a la nouvelle assurance pour bénéficier du tarif nouveau client
 je finalise le devis et je souscrit à la nouvelle offre et j'envoie un courrier RAR de résiliation de l'ancien contrat. 
je reçois mon nouveau contrat validé par   le mémé service client. 
Quelques jours  plus tard je reçois un appel de direct assurance m'annonçant l'annulation de du nouveau contrat et du maintien de l'ancien sous prétexte qu'on peut pas souscrire a deux assurances pour le mémé véhicule  alors que le site internet permet de valider X contrats qu'on ^peut créer pour le même  véhicule c'est comme même pas normal que l’on puisse pas faire évoluer son contrat avec le bon  prix 
</t>
  </si>
  <si>
    <t>08/08/2017</t>
  </si>
  <si>
    <t>estelle-b-121429</t>
  </si>
  <si>
    <t>Il est dommage de ne pas pouvoir avoir d'interlocuteur au téléphone.
Je demande à faire rajouter mes enfants sur mon contrat, j'en suis au 5ème mail !!
Ce serait plus simple par téléphone</t>
  </si>
  <si>
    <t>28/06/2021</t>
  </si>
  <si>
    <t>florence-g-117703</t>
  </si>
  <si>
    <t xml:space="preserve">Cela fait 4 x que je pose 1 question sur votre tchat sans aucun retour, personne n'étant disponible. 
Très mauvaise Xp client du coup, autant ne pas proposer la fonctionnalité (je précise que c'était un lundi 11h30...) 
</t>
  </si>
  <si>
    <t>calinsb-82075</t>
  </si>
  <si>
    <t>Plus de 30 ans d'assurance chez matmut.sans accidents.
La tout va bien...!</t>
  </si>
  <si>
    <t>corteggiani-l-125242</t>
  </si>
  <si>
    <t>Je suis satisfaite du service, conseiller efficace et pédagogue. A accompagné ma démarche efficacement. Aucun problème rencontré et tout est en ordre.</t>
  </si>
  <si>
    <t>28/07/2021</t>
  </si>
  <si>
    <t>noumane-m-109418</t>
  </si>
  <si>
    <t>Les tarifs et le service commercial a été très satisfaisant. J'espère que je le resterai sur le long terme. L'usage de la plateforme internet et de l'espace client sont aussi érgonomiques et satisfaisants</t>
  </si>
  <si>
    <t>estelle60-51535</t>
  </si>
  <si>
    <t xml:space="preserve">Quand je pense que pendant 5 ans j'ai du passé une trentaine d'expertises médicales et que les médecins ont tous statué par une incapacité de travail totale et définitive et que le médecin expert de cardif,lui, non....j'hallucine !!! refus de prise en charge !!!! Je suis reconnue mdph avec carte de stationnement, de priorité,etc... 3 ALD de la sécurité sociale etc.... mais non ce médecin va outre les décisions de tous ces confrères !!! </t>
  </si>
  <si>
    <t>21/01/2017</t>
  </si>
  <si>
    <t>jerome-e-139636</t>
  </si>
  <si>
    <t>Satisfait de la clarté des explications, de la rapidité de mise en oeuvre et de l'amabilité de l'interlocutrice. Tarifs attractifs. Pour l'instant tout est ok.</t>
  </si>
  <si>
    <t>15/11/2021</t>
  </si>
  <si>
    <t>tdenimal-107853</t>
  </si>
  <si>
    <t>Je suis ravi de la réactivité de L'olivier Assurance sur mon dernier sinistre - non responsable - Mon véhicule est réparé correctement ( 1ère réparation non satisfaisante de la part du carrossier et réglé à l'aide de L'olivier Assurance) - Rien à dire, super tarifs et une assurance qui joue parfaitement son rôle d'assistance sur les incidents de la vie , merci encore !</t>
  </si>
  <si>
    <t>maxime-a-130190</t>
  </si>
  <si>
    <t>Je suis entièrement satisfait du tarif annuel proposé pour mon assurance auto que je viens de souscrire par rapport au prix de mon assurance actuelle, à voir sur la durée.</t>
  </si>
  <si>
    <t>johury-80590</t>
  </si>
  <si>
    <t>Accueil irréprochable de Sara M. Grande professionnelle . Amabilité... conseil.... résolution de mon problème avec une efficacité redoutable.  Franchement   j'espère que toutes vos équipes soient aussi efficaces que Sara M.</t>
  </si>
  <si>
    <t>31/10/2019</t>
  </si>
  <si>
    <t>01/10/2019</t>
  </si>
  <si>
    <t>ait-95-55647</t>
  </si>
  <si>
    <t xml:space="preserve">Bonjour, victime d'un choc sur mon véhicule en stationnement donc pas responsable et ayant souscris au pack tranquillité l'assurance devait me mettre à disposition un véhicule de prêt pendant le temps des réparations. Etant donné que le garage, portant partenaire, n'avait pas de véhicule à me prêter l'assurance n'était en mesure de m'offrir une prestation similaire. Résultat, engagements de direct assurance NON HONORÉS. Je vous conseille, donc, d'aller voir la ou vous êtes sûr d'être considéré. </t>
  </si>
  <si>
    <t>mirmir-105730</t>
  </si>
  <si>
    <t>550€ la première année
863€ l'année qui suit pour la même assurance avec bonus amélioré tout de même... Justificatif de l'assurance suite au sinistre non responsable pris en charge par l'assurance du tiers augmentation du risque de vandalisme sur le véhicule. On parle de peinture aspergée accidentellement par une entreprise de travaux routier... Pour voir je fais une demande de devis sur leur site qui m'annonce 627€ avec le sinistre déclaré en vandalisme et 587€ sans. Lorsque je l'annonce au service client il me répond que je n'ai pas bien saisi mes renseignements... Alors que le commercial qui m'a rappelé me dit OK tout est complet.</t>
  </si>
  <si>
    <t>geronimo-79364</t>
  </si>
  <si>
    <t>Bonjour à tous, je constate, qu'il y a au moins une constante chez le gan Prévoyance, c'est le temps qu'ils prennent pour étudier les dossiers, je suis en arret de travail depuis le 13 février, et nous sommes le 21 septembre et mon dossier est toujours à l'étude, et mieux, j'ai appris que le Gan avait fait une mise en demeure à ma société, pour soit-disant des cotisations impayé, alors qu'elles l'ont bien été ! 
Enfin bref, si vous avez le choix, vous seriez bien inspirez de trouver un organisme honnête et sérieux, ce qui n'est pas le cas ici !</t>
  </si>
  <si>
    <t>21/09/2019</t>
  </si>
  <si>
    <t>camille78-87729</t>
  </si>
  <si>
    <t>Sinistre catastrophe naturelle non pris en charge depuis 9 mois</t>
  </si>
  <si>
    <t>27/02/2020</t>
  </si>
  <si>
    <t>jacques-c-117177</t>
  </si>
  <si>
    <t>nouvel adhérent, pour l'instant je ne peux guère donner mon avis. mais il me semble que vos prix sont raisonnables. J'envisage d'ailleurs dans un avenir proche de regrouper toutes mes assurances chez vous.</t>
  </si>
  <si>
    <t>philippe27-75466</t>
  </si>
  <si>
    <t>satisfais de la prestation proposé par santiane , l'exécution du changement a été très rapide et facile</t>
  </si>
  <si>
    <t>29/04/2019</t>
  </si>
  <si>
    <t>ode-102411</t>
  </si>
  <si>
    <t xml:space="preserve">Aucune réponse à mes questions soit par mail soit par téléphone. Ils ne répondent jamais au téléphone et encore moins au e-mail.Je déconseille Cegema très fortement </t>
  </si>
  <si>
    <t>10/01/2021</t>
  </si>
  <si>
    <t>jeremy-s-125987</t>
  </si>
  <si>
    <t>Souscription en ligne simple et rapide. Tout se fait en ligne sans opérateur. Les prix sont très complétif comparés à d'autres assurances. Je recommande sans problème.</t>
  </si>
  <si>
    <t>02/08/2021</t>
  </si>
  <si>
    <t>philippe-w-124669</t>
  </si>
  <si>
    <t>je suis content de mon assureur parfait de ses services ses tarifs ses compétences a recommander simple efficace a l'écoute du client à répondre a toutes questions</t>
  </si>
  <si>
    <t>25/07/2021</t>
  </si>
  <si>
    <t>adi-89122</t>
  </si>
  <si>
    <t xml:space="preserve">Une vrai assurance de bouineur. Une véritable mascarade en bande organisée. J'ai signé un contrat d'assurance moto en tout risque à 76€ j'ai signé parce que le tarif me semblait correct bien évidemment. 3 semaines plus tard je rappel pour savoir si mon dossier est complet. Le conseiller (qui parle à peine Français) me répond que tout est OK et que j'allais bien être prélevé 120€ par mois. Je ne comprend pas et il m'explique qu'ils ont fait une erreur sur mon contrat et après rectification celui ci passe à 120€. Sans prévenir. J'avais signé pour 76€ et pas pour 120. Pour palier au prix ce rigolo me propose un contrat au tiers. Après avoir insisté pour avoir gain de cause j'ai abandonné car ils sont difficiles à joindre et ne veulent rien entendre. J'ai donc résilié mais les 120€ ont quand même été prélevés avant un remboursement de 86€. Bref n'allez pas dans des assurances douteuses comme ça. Ils sont injoignables, n'ont pas d'agences et parlent à peine le Français. J'ai retrouvé une assurance chez AXA avec des meilleures garanties pour 69€ par mois. Alors qu'il y ai 5 ou 10€ d'écart entre les assureurs c'est normal mais qu'il y ai 50€ d'écart c'est qu'il y a un problème dans l'histoire. </t>
  </si>
  <si>
    <t>Euro-Assurance</t>
  </si>
  <si>
    <t>laurie-n-106179</t>
  </si>
  <si>
    <t xml:space="preserve">super tarif , bien expliquer sur le site, super prix , site facile d'accés comprehensible et bien fait 
moins cher sur le marcher , je le recommande  </t>
  </si>
  <si>
    <t>tege-99677</t>
  </si>
  <si>
    <t>Service a la tête du client et gestion téléphonique pour ne pas avoir de traces écrites par des stagiaires ou personnel en formation derrières lesquels se défaussent les responsables. L'assureur qui met en pratique des pares feux humains, scandaleux!!! Basiquement une stagiaire t'appelle alors que son responsable est à l'écoute (sans indiquer que la conversation est écoutée comme la loi l'exige) puis comme la stagiaire n'arrive pas a répondre il reprend la conversation et incite téléphoniquement a antidater  un sinistre puis met fin a l'appel lorsqu'on lui explique que c'est illicite, honteux et a dénoncer</t>
  </si>
  <si>
    <t>dede-60343</t>
  </si>
  <si>
    <t>on ne veut pas me rembourser,après 1jour de réflexion,par lettre avec accusé de réception,on me dit que je n'ai aucun délai de retractation pourtant prevu par la loi pour 89,60e ref contrat 282624 dans l'attente d'une réponse positive (avant procédure ACPR)</t>
  </si>
  <si>
    <t>10/01/2018</t>
  </si>
  <si>
    <t>mrfaska-79105</t>
  </si>
  <si>
    <t xml:space="preserve">Voilà évitez cette assurance si vous ne voulez pas finir en dépressions une horreur je suis crible de dette papa de 3 enfants  cela fais 15 mois qu'on me donne plus mes indemnités dossier perdu dossier pas complet  tempt pour traiter les dossier a chaque fois minimun 2 mois  ou plus j'ai comptacter plusieurs asso dernier recours tribunal de plus les service client  sont de agréables arrogant vous raccroche au nez merci a vous  pour votre professionnalisme </t>
  </si>
  <si>
    <t>13/10/2019</t>
  </si>
  <si>
    <t>samir-m-115411</t>
  </si>
  <si>
    <t xml:space="preserve">aucun avantage d'être déjà client chez vous, aucun bonus fidélité, les nouveaux clients sont plus avantager que les anciens, aucune logique dans vos prix </t>
  </si>
  <si>
    <t>isabelle-d-105175</t>
  </si>
  <si>
    <t>SERVICE SIMPLE ET LES TARIFS SONT VRAIMENT CORRECT
DEMARCHES RAPIDE ET SUIVIS
LE SERVICE DEVIS EN LIGNE EST TRES INTERRESSANT 
DOMMAGE QUE D'AUTRE DEVIS OU CONTRAT COMME ASSURANCE VIE NE SONT ACCESSIBLE</t>
  </si>
  <si>
    <t>tarik-f-109466</t>
  </si>
  <si>
    <t>très satisfait de l'assurance, réactivité, toujours à l'écoute.
Pour une offre d'entrée de gamme, force est de constater qu'elle est tout de même assez complète : c'est une bonne prise en charge avec une assistance et diverses garanties protectrices. Mon avis sur l'assurance auto Direct Assurance est a priori positif.</t>
  </si>
  <si>
    <t>didi11-59979</t>
  </si>
  <si>
    <t>Si vous chercher une assurance durablement, fuyez .... au premier sinistre, ils vous font cadeau de la franchise d'environ 150 € mais .... un cadeau très empoisonné car à la fin de l'année, même si le sinistre n'a pas été important (de l'ordre de 800 €) et que vous n'êtes pas responsable, ils vous augmentent de manière abusive .... +11.05 % d'augmentation !!!!!! Bref si vous cherchez un contrat pérenne, il vaut mieux envisager autre chose ...</t>
  </si>
  <si>
    <t>27/12/2017</t>
  </si>
  <si>
    <t>adel-t-113757</t>
  </si>
  <si>
    <t xml:space="preserve">Je suis vraiment satisfait pour la rapidité pour m’assurer je trouve sa très pratique et je le conseille , le prix est très bon et le moyen de payer 2 mensualités au lieu de payer des frais de dossier je trouve sa sympa </t>
  </si>
  <si>
    <t>gege-114162</t>
  </si>
  <si>
    <t xml:space="preserve">assuré depuis de nombreuses années j'ai été jeté comme un malpropre par cette assurance qui m'a signifié la rupture de contrat par recommandé le 30/11/2020 puis a stoppée tous mes contrat le 1/10/2020 par mail sans m'avoir prévenu auparavant; à ce jour je n'avais plus d'assurance habitation voiture ceux ci se sont excusés ;soit disant  les courriers se sont croisés sauf que si par malheur j'avais eu un problème ou que je ne regarde pas ma boite mail  ce matin la je n'avais plus aucune assurance ce qui me semble très grave je vais donc en référer à la médiation des assurances </t>
  </si>
  <si>
    <t>kstor-50461</t>
  </si>
  <si>
    <t>Neoliane continue à faire des prélèvements automatiques plusieurs mois après la résiliation donc obligation de bloquer les prélèvements. Pas de réponse aux mails. J'attends la réaction à la dernière lettre RAR. A fuir</t>
  </si>
  <si>
    <t>19/12/2016</t>
  </si>
  <si>
    <t>eddy-105965</t>
  </si>
  <si>
    <t xml:space="preserve">Bonjour,
Je suis client à la MAAF en assurance auto depuis 2012.
J'ai eu un sinistre responsable en 2019 et un bris de glace en 2020 non responsable.
Le mois dernier j'ai vendu une de mes voitures et j'ai demandé à la la MAAF un devis pour ma nouvelle voiture.
Ils m'ont répondu qu'ils ne pouvaient plus m'assurer, j'avais eu trop d'accidents.
J'ai été scandalisé par cette attitude mesquine et mercantile.
Je ne peux que déconseiller cet assureur qui ne pense qu'à son profit.
</t>
  </si>
  <si>
    <t>09/03/2021</t>
  </si>
  <si>
    <t>stephane-b-123790</t>
  </si>
  <si>
    <t>Le service a été efficace et compréhensif car les prix sont en dessous de ce que me proposait ma banque.
Bonne journée à tous.
Cordialement
Stéphane Bonello</t>
  </si>
  <si>
    <t>19/07/2021</t>
  </si>
  <si>
    <t>cherchell--92483</t>
  </si>
  <si>
    <t xml:space="preserve">Je n ai pas encore pris de décision  je souhaite recevoir le devis avec les différentes prestations avec les garanties et options. Je demanderai à être rappelé. Cordialement </t>
  </si>
  <si>
    <t>27/06/2020</t>
  </si>
  <si>
    <t>eparfai2--115492</t>
  </si>
  <si>
    <t xml:space="preserve">Je ne conseille pas mais vraiment pas du tout !!! Avoir quelqu’un au téléphone pour toute question c’est impossible, pour toute demande aucune réponse et pleins d’autres choses ... 
 </t>
  </si>
  <si>
    <t>patoliv-87821</t>
  </si>
  <si>
    <t>A eviter de tout urgence completement incompétent 4 mois d attente pour ke règlement d un sinistre</t>
  </si>
  <si>
    <t>benjamin21-86306</t>
  </si>
  <si>
    <t>Difficile de faire plus incompétents.
Je souscris chez eux un contrat prévoyance en mai 2019, qui devait entrer en vigueur le 1 janvier 2020.
M'inquiétant de ne pas voir de prélèvement ni de contrat dans mon espace client, je les contacte.
Mon conseiller me dit qu'il va se renseigner.
N'ayant pas de nouvelle, je contacte directement le service client qui, après 10 secondes de recherche, me dit que le contrat n'est pas en vigueur (alors que cela faisait 4 jours que j'attendais des nouvelles de mon conseiller).
Or, mon conseiller a pourtant résilier mon contrat prévoyance chez mon ancien assureur.
Du coup, je me retrouve sans assurance. Si je veux souscrire ailleurs, je vais avoir un délai de carence.
Le conseiller fait le mort, me promet de me rappeler et cela depuis une semaine... J'ai appelé le service client qui ne peut rien faire et qui me renvoie vers le conseiller.
Bref, à éviter absolument si vous voulez avoir l'esprit tranquille...
Comme beaucoup d'assureur, le conseiller est très présent avant de signer le contrat, mais une fois signé, il n'y a plus personne (il s'en fiche du client, il a touché sa commission).</t>
  </si>
  <si>
    <t>philusa-71615</t>
  </si>
  <si>
    <t>Suite à une  hausse abusive de  ma cotisation, j'ai  envoyé un e-mail , pour que  Direct Assurance revoit  leur  proposition de tarifaire avec un tarif plus  cohérent et  honnête.
suite à  cela j'été contacté pat téléphone alors que j'étais déjà en communication.
J'ai  donc rappelé 5 mn après .
Surprise presonne ne répond  ou décroche sans répondre après 12 appels .
j'ai recommencé ce jour 30 appels!!!!! photos d écran pour preuve.
j'ose pas imaginer si j appelle pour un sinistre!!!</t>
  </si>
  <si>
    <t>30/11/2019</t>
  </si>
  <si>
    <t>mila-67452</t>
  </si>
  <si>
    <t>Zut le 1er commentaire n est pas passer. En bref. Des que vous etes en invalidite c l enfer je suis malade doublement a cause de leur desinteret total de vous laisser sur la paille. Apres 2 expertises medicales je n arrive a avoir personne qui sache qq chose. On vous fait tourner en bourique et je n ai aucune confiance au fait que ce soit uniquement interiale qui ai acces au rapport d expertise c pas normal. Le 1er rapport etait clair pourtant interiale en a conclu autrement. Que vont ils me dire aujourdhui ? C est allarmant et ecoeurant.
A fuir</t>
  </si>
  <si>
    <t>Intériale</t>
  </si>
  <si>
    <t>wahiba-c-106802</t>
  </si>
  <si>
    <t>je suis satisfaite des prix, les services me conviennent tout est simple et rapide.
je conseille direct assurance à tout le monde qui veut une bonne assurance</t>
  </si>
  <si>
    <t>jimmy--p-114163</t>
  </si>
  <si>
    <t xml:space="preserve">Je suis satisfait du service et du prix 
Servie rapide et pratique 
Qualité prix satisfait 
Simple et rapide en utilisation 
Recommandé pour les jeunes permis </t>
  </si>
  <si>
    <t>resistant-58565</t>
  </si>
  <si>
    <t xml:space="preserve">A Proscrire impérativement!! 
Ces gens aux méthodes douteuses profitent de votre création d'entreprise pour de devenir un interlocuteur de plus intervenant dans les méandres administratifs et ce faisant vous faire adhérer à leurs contrats: discours rodé à la perfection, méthode efficace pour vous faire signer en 5 minutes via une signature électronique à distance! </t>
  </si>
  <si>
    <t>03/11/2017</t>
  </si>
  <si>
    <t>angelique-g-136672</t>
  </si>
  <si>
    <t>Je suis satisfait de la rapidité pour avoir un tarif et de la facilité de souscrire une assurance 
Vos tarifs sont dans l'ensemble competitif  a voir a l'avenir maintenant si lors d'un sinistre tout se déroule correctement</t>
  </si>
  <si>
    <t>08/10/2021</t>
  </si>
  <si>
    <t>deschamps-j-139644</t>
  </si>
  <si>
    <t>je suis satisfait du service.
Les prix sont très satisfaisant face à la concurrence
Le devis et le contrat ont était rapide et efficace.
Je vous remercie</t>
  </si>
  <si>
    <t>julien-b-116569</t>
  </si>
  <si>
    <t>je suis satisfait du service Beaucoup de réactivité les tarifs restent tout à fait abordables. Je recommande Direct assurance , on peut compter sur eux !</t>
  </si>
  <si>
    <t>bidou1er-110189</t>
  </si>
  <si>
    <t>Service assistance déplorable. Laissant l'assuré sur les lieux de sinistre et ne rapatriant que son épouse. Véhicule non pris en charge car déjà déposé dans un garage proche incompétent. Service trop administratif. A éviter!!!!!</t>
  </si>
  <si>
    <t>13/04/2021</t>
  </si>
  <si>
    <t>je-139423</t>
  </si>
  <si>
    <t>Je devais recevoir un remboursement de 25€ avec la drivebox. Elle a été défectueuse en novembre 2021 et direct assurance m'a supprimé le remboursement d'octobre 2021, ce qui n'est pas normal. Le défaut technique n'est pas du à moi, le problème vient de la drivebox. J'ai fait une réclamation et je n'ai pas eu de réponse. Je suis très déçu et je ne vous recommderai pas!!!</t>
  </si>
  <si>
    <t>val60190-64586</t>
  </si>
  <si>
    <t>Suite au décès de ma mère en mars 2018 qui avait souscrit une assurance vie, dont je suis la principale bénéficiaire, le conseiller BNP BANQUE PRIVEE a fait le nécessaire dans la semaine qui a suivi. Je devais avoir un courrier de CARDIFF dans les 15 jours qui suivaient. 1mois 1/2 plus tard, n'ayant aucune nouvelle, en ma présence le conseiller les a relancés par téléphone. Un courrier devait m'être adressé dans les 15 jours. Aujourd'hui, soit presque un moins plus tard, je n'ai reçu aucun courrier ! J'ai entre deux pourtant adressé des pièces en courrier recommandé avec accusé réception, pour anticiper sur le dossier à constituer, mais aucune réponse !!!
En consultant les avis sur le site, je crains que la suite s'annonce difficile à demander des documents qu'ils ont déjà ou qu'ils n'auraient pas reçus.
Je commence à avoir des doutes sur le sérieux de ce groupe, plus préoccupé à conserver les fonds pour les faire fructifier, que de les verser aux bénéficiaires dans les délais qu'ils annoncent, lors de la souscription du contrat ou lors de la déclaration de décès. 
Ayant moi même mes comptes à la BNP, dès que possible je pense que je vais tout clôturer, de même que placer à la concurrence tous les fonds à percevoir de la BNP ou CARDIFF.</t>
  </si>
  <si>
    <t>07/06/2018</t>
  </si>
  <si>
    <t>tructruc-58422</t>
  </si>
  <si>
    <t>les prix sont attractifs, et la souscription facile et rapide.
Mais après ca se complique : 2 mois que j'essaie de changer de coordonnées bancaires, toujours pas prise en compte ..
Les réponses aux mails parviennent dans un délai extrêmement long ( 10 jours pour au final ne pas changer le rib correctement!)
Même les avenants sont compliqués : j'ai changé de domicile, et dans un premier temps je reçois l'avenant à la mauvaise date d'effet, puis la date est correcte mais il y a une erreur dans mon nom ..!
Bref, je pense que dès que mon contrat aura 1 an révolu, je change d'assureur!</t>
  </si>
  <si>
    <t>27/10/2017</t>
  </si>
  <si>
    <t>da-silva-coutinho-h-111193</t>
  </si>
  <si>
    <t xml:space="preserve">Je trouve le prix trop imposant par apport au tarif des concurrents ,vu qu'on fait tout sur internet, aussi le prix des frais de souscription. Rien  d'autre </t>
  </si>
  <si>
    <t>21/04/2021</t>
  </si>
  <si>
    <t>karldu101-3540</t>
  </si>
  <si>
    <t>Tres bonne conseillere par telephone. Bon prix par rapport aux autres assurances. Facilité d avoir un conseiller  et bonne ecoute.
Simplicite et ergonomie du site internet pour rechercher les informations</t>
  </si>
  <si>
    <t>guillaume-b-108344</t>
  </si>
  <si>
    <t>J'ai initié mon contrat par téléphone en quelques minutes grâce à l'aide de l'opératrice. J'ai ainsi pu assurer mon véhicule à un prix assez abordable</t>
  </si>
  <si>
    <t>mickabarca--109608</t>
  </si>
  <si>
    <t xml:space="preserve">Des heures passées au téléphone à essayer de les joindre. Un service client auto incompétent en mettant presque 1 mois à traiter UN seul document de session de véhicule.
Des tarifs quasiment équivalent pour un véhicule 5cv ou 12cv, un scandale ! Une sur prime pour un accident non responsable... Bref... 
Hormis le service juridique et habitation je vous conseille de fuir allianz !!! </t>
  </si>
  <si>
    <t>stevan-p-138338</t>
  </si>
  <si>
    <t>je suis satisfait rapport qualité prix et services 
bon accueil et rapidité les explications sont claires
merci beaucoup continuer comme çà bonne journée</t>
  </si>
  <si>
    <t>cristal-72139</t>
  </si>
  <si>
    <t>Bonjour, A tout les clients lisez bien les petites lignes de vos contrats! En effet suite à catastrophe naturelle mon fils a contacter direct assurance car son véhicule emporter avec inondation, et la douche froide direct assurance ne couvre pas a l' étranger dans son cas la belgique! Jamais de ma vie je n' ai entendu une telle bêtise! Alors si vous ne le savez pas vous n'êtes pas assurer pour l'étranger! Allez ailleurs pour une parfaite couverture! Voilà.
Cordialement.</t>
  </si>
  <si>
    <t>24/08/2021</t>
  </si>
  <si>
    <t>ep-74850</t>
  </si>
  <si>
    <t>très satisfait de l'Agence castraise et surtout des agents</t>
  </si>
  <si>
    <t>08/04/2019</t>
  </si>
  <si>
    <t>athena50-62090</t>
  </si>
  <si>
    <t xml:space="preserve">assurance très bien conçu bien adapter pour tous budget et les interlocutrices sont très explicite sur chaque demande </t>
  </si>
  <si>
    <t>07/03/2018</t>
  </si>
  <si>
    <t>momo59725-86936</t>
  </si>
  <si>
    <t xml:space="preserve">Sinistré pour ma toiture ainsi que ma salle de bain et 3 chambre.
6200e d'indemnisation (toiture seule coute 9000e)
L'intérieur avec les devis de leur partenaire 3600e
Fuyez
Je résilie et prend les travaux à ma charge </t>
  </si>
  <si>
    <t>10/02/2020</t>
  </si>
  <si>
    <t>jorge-miguel-a-130148</t>
  </si>
  <si>
    <t>Je suis satisfait de service...
Les prix me conviennent...
Simple et pratique...
Et la tres bonne simpatie de personel de service telefonique.
Merci...</t>
  </si>
  <si>
    <t>elshobokshy-85723</t>
  </si>
  <si>
    <t>Au début ils nous vendent du rêve et ils nous appellent chaque minute quasiment et nous font croire qu'ils seront toujours là pour nous, mais dès l'inscription ils répondent à 1 mail sur 5. Je suis déçu, et ça ne fait que quelques mois que je suis client chez eux. Je pense qu'une assurance animal étais une mauvaise idée pour moi.</t>
  </si>
  <si>
    <t>10/01/2020</t>
  </si>
  <si>
    <t>guedin54-76706</t>
  </si>
  <si>
    <t>4 ans que je suis client chez eux avec minimum 2 contrats et sérieusement tout se déroule toujours parfaitement, service client Messenger ou téléphonique,dépannage,sinistre,changement de véhicule et tarifs très intéressants merci l'olivier  ;)</t>
  </si>
  <si>
    <t>12/06/2019</t>
  </si>
  <si>
    <t>jean-yves-p-103404</t>
  </si>
  <si>
    <t xml:space="preserve">efficacité et rapidité. super !!! le conseiller est à l'écoute et réactif. les tarifs sont attractifs à garanties équivalentes. Si vous voulez faire des économies, il n' y a pas à hésitez. </t>
  </si>
  <si>
    <t>29/01/2021</t>
  </si>
  <si>
    <t>joaquim-m-117979</t>
  </si>
  <si>
    <t>J'ai besoin de ma voiture a cause de votre garage agréé bidon je me trouve sans voiture a cause d'une mauvaise  manipulation lors du démontage avant peinture j'aimerais savoir quand je peux récupérer ma voiture comme elle était avant ,ça fait commeme un mois que je l'attends ....</t>
  </si>
  <si>
    <t>23/06/2021</t>
  </si>
  <si>
    <t>diane-61047</t>
  </si>
  <si>
    <t>Assurée à la GMF avec garantie conducteur lorsque un accident grave m'est arrivé.
Victime de cet accident et mes séquelles sont importantes et définitives.
Six ans sont passé sans être indemniser.</t>
  </si>
  <si>
    <t>pierre-m-112245</t>
  </si>
  <si>
    <t>Très satisfaite de mon interlocutrice que j ai eu au téléphone Elle m'a bien expliquer et a répondu à mes questions je conseillerais votre entreprise à mes amis</t>
  </si>
  <si>
    <t>30/04/2021</t>
  </si>
  <si>
    <t>cheng-l-134867</t>
  </si>
  <si>
    <t>Je suis satisfaire de la service qui est très rapide et détaillé, la procédure de signature en ligne est un point plus. Par contre, frais de dossier pour par emprunter est un peu cher.</t>
  </si>
  <si>
    <t>valere-113086</t>
  </si>
  <si>
    <t>Incroyablement inefficace
Litteralement des mois... des mois pour avoir des reponses
pour a la fin pretendre qu'ils n'ont pas eu de nouvelles de moi et perdre le dossier apres plus d'une dizaine de relances.
lamentable.</t>
  </si>
  <si>
    <t>legendre-p-108493</t>
  </si>
  <si>
    <t>plus que satisfait du service qui a été mis en place par votre groupe pour signer mon contrat d'assurance l'Olivier en ce jeudi trente mars deux mille vingt et un</t>
  </si>
  <si>
    <t>rene-b-116348</t>
  </si>
  <si>
    <t>Satisfait des prix et du service.
Suivi excellent.
Site facile d'utilisation, car il est clair et permet de choisir en toute facilité.
Primo adhérent,  j'attends de voir dans le temps.</t>
  </si>
  <si>
    <t>08/06/2021</t>
  </si>
  <si>
    <t>ahmed-96777</t>
  </si>
  <si>
    <t>L’interlocuteur Khalid a très bien su répondre  à mes questions et me donnez des conseils adaptés à ma demande. J’en suis satisfait.
Cordialement.
Ahmed AYED</t>
  </si>
  <si>
    <t>28/08/2020</t>
  </si>
  <si>
    <t>megghane-b-107413</t>
  </si>
  <si>
    <t>moyen à chaque fois. j'ai sélectionné certaines garanties dans le devis qui ne se retrouvent pas dans le contrat..les contrats ne sont jamais clairs avec très peu de détails concernant vos garanties.</t>
  </si>
  <si>
    <t>doggycook-102350</t>
  </si>
  <si>
    <t>Je viens de souscrire rapidement, tout s'est bien passé; rapidité, amabilité et conscience professionnelle.
Je ne comprends pas ces avis négatifs.
Brigitte</t>
  </si>
  <si>
    <t>08/01/2021</t>
  </si>
  <si>
    <t>christian-b-115653</t>
  </si>
  <si>
    <t>je suis très satisfait des prix. Simple et pratique. Rien à dire c'est parfait. je recommande votre compagnie sans problème. je me sert beaucoup d'internet et ca me convient parfaitement</t>
  </si>
  <si>
    <t>azzzaro-59513</t>
  </si>
  <si>
    <t>200 euros plus chére annuellement comparé à plusieurs autres</t>
  </si>
  <si>
    <t>09/12/2017</t>
  </si>
  <si>
    <t>gybr-138639</t>
  </si>
  <si>
    <t>Certainement une bonne assurance. Je conserve l'assurance habitat avec GMF.
Je suis allé chez MAAF pour l'auto, parceque MAAF pour leur anniversaire des 70 ans
offrait 70€.... Voilà.</t>
  </si>
  <si>
    <t>donxosa-124250</t>
  </si>
  <si>
    <t>Maaf : "Le client est un jambon", "Prendre tout sans rien donner"
Cumulez plusieurs déclarations de sinistres (une par an ou tous les deux ans, même si vous n'êtes pas responsable et avec une assurance tous risques) et ils vous radient simplement.
Les seuls clients qu'ils veulent : ceux qui paient plein pot et surtout qui jamais ne font de déclaration !
Maaf ? À fuir.</t>
  </si>
  <si>
    <t>cetin-h-121173</t>
  </si>
  <si>
    <t xml:space="preserve">Je suis très satisfait de votre service et vous en remercie.
Merci d'être toujours à l'écoute de mes demandes. 
Avec toute mes salutations 
Cordiamement </t>
  </si>
  <si>
    <t>ansselin-e-127097</t>
  </si>
  <si>
    <t>Je suis entièrement satisfaite des services de l’Olivier assurance. Simple et rapide en formalités. Je recommande cette compagnie à tous. Les tarifs défient toute concurrence!</t>
  </si>
  <si>
    <t>dodogoy-104619</t>
  </si>
  <si>
    <t>Mutuelle un peu chère et ne rembourse pas correctement les lunettes... ni les actes tels que ostéopathie, psy etc...
Changer à mon âge est cependant compliqué...</t>
  </si>
  <si>
    <t>jeremy-m-129272</t>
  </si>
  <si>
    <t>Je suis satisfait des prix. Le site est un peu complexe d'utilisation à mon goût, le conseiller ne m'a appelé qu'une fois et je n'ai donc pas pu lui poser les questions que je souhaitais poser.</t>
  </si>
  <si>
    <t>pl210250-98420</t>
  </si>
  <si>
    <t>Lent, procédurier et complexe. Vraiment pas accessible pour un retraité non rodé aux dédales administratifs. Une situation qui s'est dégradée avec le temps.</t>
  </si>
  <si>
    <t>06/10/2020</t>
  </si>
  <si>
    <t>flo-86173</t>
  </si>
  <si>
    <t>Attention ils mentent pour ne pas rembourser les soins. En effet ils m' ont refusé des remboursements dentaires qui j' ai eu la confirmation doivent être remboursés. Je ne parle pas non plus d' autres frais dont j' attends tjrs 1 mois après la couleur, si ça va être possible! En tout cas, pour moi j' irai en justice pour avoir mon dû!!</t>
  </si>
  <si>
    <t>21/01/2020</t>
  </si>
  <si>
    <t>tom-99413</t>
  </si>
  <si>
    <t>Assurance efficace, à la tarification très correcte. Réponses du service client (contact téléphonique) claires et précises, je recommande vivement !!!</t>
  </si>
  <si>
    <t>michel-74989</t>
  </si>
  <si>
    <t>Bonjour 
Attention, il refuse actuellement le remboursement de médocs non remboursés par la CPAM alors que mon contrat stipule une somme maxi de 75euros...
je change de crémier</t>
  </si>
  <si>
    <t>11/04/2019</t>
  </si>
  <si>
    <t>damien--c-126097</t>
  </si>
  <si>
    <t xml:space="preserve">Bonjour,
très facile de souscrire une assurance a des tarifs intéressant.dommage que le parrainage pour des motos ne fonctionne pas.l'inscription est très facile et claire </t>
  </si>
  <si>
    <t>debure-s-108061</t>
  </si>
  <si>
    <t>tres satisfait des prix variants du simple au double avec mon ancien contrat en agence meme avec des jeunes permis ;; une simplicite de procedure en ligne  et ou un accompagnement tres a l ecoute par un operateur au telephone</t>
  </si>
  <si>
    <t>melanie-r-128043</t>
  </si>
  <si>
    <t>je suis satisfaite, facile de s'assurer via le site, très fonctionnel et rapide. Prix raisonnable et couverture satisfaisante. 
je parlerai en bien d'AMV</t>
  </si>
  <si>
    <t>pierre-l-123113</t>
  </si>
  <si>
    <t>Cela fait deux année concecutive que je ne reçoit pas automatiquement mon certificat d'assurance. L'année prochaine je change de compagnie si cela se reproduit.</t>
  </si>
  <si>
    <t>11/07/2021</t>
  </si>
  <si>
    <t>melanie-l-131833</t>
  </si>
  <si>
    <t>Très satisfaite de la GMF. Ils sont efficaces, à l'écoute et réactifs. Les prix sont un peu élevés mais les remboursements et garanties le valent. J'ai essayé d'autres assurances moins chères et je suis revenue en courant à la GMF!</t>
  </si>
  <si>
    <t>08/09/2021</t>
  </si>
  <si>
    <t>mel-89479</t>
  </si>
  <si>
    <t>Suite à un cambriolage, j'ai dû attendre 1 mois pour avoir rdv avec un « expert ». Dès la première facture, j'ai eu le droit à des réflexions qui n'avaient pas lieu d'être. Ayant subis un préjudice, il fallait en plus qu'il mette ma parole en doute HONTEUX.
En plus de sa, monsieur a pris du retard sur mon dossier et a mis 3 mois à le traiter. Bien sûr j'ai du le relancer entre temps. Sans aucune nouvelle de l'avancement de mon dossier, je décide de relancer la Macif qui me confirme qu'ils ont bien reçu le rapport et me communique la somme que j'ai voulu contester d'ailleurs. J'ai chercher a avoir des détails de mon rapport pour pouvoir comprendre le remboursement que je n'ai jamais eu. Je n'ai jamais eu aucune lettre ni mail pour me tenir informer de l'avancement du dossier, obliger de les relancer sans cesse sinon rien n'avançait. En plus de sa la Macif me demande de refournir tous les documents que j'avais déjà fournis à l'expert ainsi que des photos de mes objets dérobés alors que j'avais déjà fournis toutes les factures originales à mon nom, je ne vois pas ce que je pourrais faire de plus ! Comme si je n'ai pas attendu assez longtemps. à quoi sert l'expert dans l'histoire ? Et la cerise sur le gâteau je reçois un sms qui me confirme qu'ils ont effectuer un virement sur mon compte !!(50% de la somme qui aurait dû m'être rembourser). Sans même me laisser le choix de contester. Je trouve leur méthodes plus que douteuses et je ne compte pas en rester là !!! Assurance à FUIR prix attractif mais aucune assurance derrière quand vous avez un problème il n'y a plus personne. Je préfère payer plus cher ailleurs que de continuer à me faire voler. Dans l'histoire j'ai eu l'impression de me faire voler une deuxième fois. INADMISSIBLE</t>
  </si>
  <si>
    <t>08/05/2020</t>
  </si>
  <si>
    <t>viti-m-115211</t>
  </si>
  <si>
    <t>Je suis satisfaite du retour rapide de l'assurance ainsi que des conseils qui m'ont été donnés.
Je recommande cette assurance qui défie toute concurrence sur le prix</t>
  </si>
  <si>
    <t>jules-i-126828</t>
  </si>
  <si>
    <t>Je suis satisfait le service est bon j'aime bien le bonjour à tous les deux autres sont en cours de la meilleure solution pour le moment je suis en trt</t>
  </si>
  <si>
    <t>psd-99114</t>
  </si>
  <si>
    <t xml:space="preserve"> assurance non professionnelle , avec un dossier complet et a jour, ils vous demande un plus juste avant la remise de la carte verte définitive. j'ai envoyé mon dossier au contrôle des assurance et j'espère bien que cette assurance  va être éradiquer.
ils vous font un prix d'appât,et avant  la remise de la carte verte ,vous êtes obliger de payer le surplus qui n'est pas justifié. cette façon de faire a un nom!! </t>
  </si>
  <si>
    <t>23/10/2020</t>
  </si>
  <si>
    <t>thaia59-104235</t>
  </si>
  <si>
    <t xml:space="preserve">Cliente depuis plus de 30 ans je n'ai jamais eu à me plaindre de la MGP. Pour moi c'est le top de la mutuelle toujours à notre écoute, réactifs, pas de soucis.
 </t>
  </si>
  <si>
    <t>toto13nrv-70061</t>
  </si>
  <si>
    <t>Je viens de lancer ma micro entreprise, quelque jours apres cet a dire 7 jours après j'ai reçu a un appel de neoliane comme quoi je n'avais aucune protection juridique ni santé etc et qu'il fallait l'activer.bêtement j'ai donner mes coordonnés bancaire par téléphone pour activer sauf que le problème c'est que le jour même je me suis renseigner sur la société et pas mal de cas comme moi j'ai donc décider 2h après d'annuler j'ai eu une personne au téléphone m'a clairement dit que cetait annulé que j'allais pas avoir de prélèvement  sauf que ce je viens de regarder mon compte bancaire et ce soir a 00h00 un prélèvement de neoliane passe sur le compte donc la personne en plus m'a menti au téléphone.... demain jvais essayer de les avoir au tel pour regler car deja j'ai signer aucun contrat j'ai rien envoyé en plus la personne ma dit cetait bon que j'allais avoir aucun prélèvement breff jespère juste que j'aurai pas besoin de porter plainte et appeler mon avocat....</t>
  </si>
  <si>
    <t>09/01/2019</t>
  </si>
  <si>
    <t>she-98513</t>
  </si>
  <si>
    <t xml:space="preserve">Victime d'un accident de la circulation la conductrice qui a emboutie mon véhicule à l'arrière et ma projeter sur des voiture stationner à falsifier le constat et ma agresser physiquement g porter plainte contre la conductrice pour agression et pour là falsification du constat mes direct Assurance n'a pas voulu prendre acte des fait et mon rendu responsable il n'ont pas pris acte de ma plainte et des fait réelle ni des temoin je déconseillé cette assurance et conte partir de chez eux </t>
  </si>
  <si>
    <t>08/10/2020</t>
  </si>
  <si>
    <t>satine-71390</t>
  </si>
  <si>
    <t xml:space="preserve">Grange effondrée. Et on nous dit ne rien prendre en charge parce que pas entretenu. Pour cette grange, l'assurance était de 300euros par an, réglée pour rien pendant 20 ans. Nous savions que la grange etait condamné. Mais a 65 ans, ma maman ne pouvait plus contracter de prêt (900 euros par mois de revenu, c'est normal). Papa était décédé... Alors que peut-elle bien faire? Rien
Un expert est passé pour nous dire qu'il ne faut pas trop rever, rien de sera pris en charge. Nous ce que nous demandons c'est une prise en charge de la démolition et du déblaiement 
Voila l'une des garanties du contrat :
" sont également pris en charge par le contrat Corail 3000 
les frais de démolition et déblais consécutifs a un sinistre"
Le pire aujourd'hui c'est le troisieme mail de contestation de décision ... et toujours rien! Ah si, j'oubliais la réponse automatique comme quoi ma demande allait être traitée. Un gros mensonge
Moi, sa fille devrait prendre un pret pour permmetre a ma maman de vivre dans un endroit sécurisé! Ce n'est pas normal. Et bien sur je suis aussi au credit mutuel! Donc le pret je devrais le faire chez eux! Hallucinant non?
</t>
  </si>
  <si>
    <t>18/02/2019</t>
  </si>
  <si>
    <t>nathalie-n-107439</t>
  </si>
  <si>
    <t>Pas satisfaite du servir pour la panne de ma voiture polo, le service client n'est pas a l'ecoute et n'a pas essayé de trouver une solution a mon probleme je ne recommande pas cette assurance</t>
  </si>
  <si>
    <t>andreea-m-117331</t>
  </si>
  <si>
    <t>C'est env 25€ plus chèr qu'une autre assurance alors que je suis chez Direct depuis des années; la fidélité ça ne compte pas; si pas de changement, je vais chercher une autre assurance bientôt!</t>
  </si>
  <si>
    <t>barbotin-r-109070</t>
  </si>
  <si>
    <t>Prix défiants toute concurrences! Conseillé par une amie dans les assurances elle n'a pas hésité à m'orienter vers l'Olivier pour m'y assurer! Mercii!!</t>
  </si>
  <si>
    <t>mika-75993</t>
  </si>
  <si>
    <t xml:space="preserve">Bonjour je suis en arrêté maladie depuis debut juillet 2018 .
Au bout 91eme jour j ai déclarer ma maladie afin que la sogecap prenne la relève sur mon prêt comme indiqué dans notre contrat qui nous li.
 Au mois novembre la sogecap me confirme que mon dossier est complet mais qui manque des éléments de la banque qui ce trouve une filiale société général comme la sogecap . Depuis janvier plus nouvelle de sogecap et 4 mois plus tard la sogecap me redemande des.nouvelle pièces cela fait 10 mois suis en arrêt et toujours rien de la Sogecap
Demain je dépose plainte contre la sogecap et je mettrais en ligne une petition contre la sogecap </t>
  </si>
  <si>
    <t>16/05/2019</t>
  </si>
  <si>
    <t>berlingo-139372</t>
  </si>
  <si>
    <t>Très mauvaise mutuelle. Répond n’importe quoi lors de l’appel. Ne sont pas cohérent dans les dates et lors de leurs réponses. Ils faut éviter à tout prix cette mutuelle. Ne rembourse pas ou très mal même si cela est justifié. Fait traîner les demandes.... on a affaire à des robots.....</t>
  </si>
  <si>
    <t>10/11/2021</t>
  </si>
  <si>
    <t>mtb-64989</t>
  </si>
  <si>
    <t>Cotisation à 70€ le chef d'agence m'impose une garantie conducteur élevé qui double la cotisation annuelle, invite le client à aller voir ailleurs, et croit être le moins cher du marché alors qu'AXA pour moins cher offre plus de garantie en couverture et la panne 0 kilomêtre !</t>
  </si>
  <si>
    <t>22/06/2018</t>
  </si>
  <si>
    <t>joff-71766</t>
  </si>
  <si>
    <t xml:space="preserve">A éviter sérieusement. Ils prélèvent en avance pour la souscription. Jusque là tout va bien...Lol.. le pire et à venir cela fait 2 mois que j'ai souscris et toujours aucuns remboursements de leurs part alors que tous les documents sont en ordres. De plus pas de numéros de téléphones pour régler les problèmes.... J'ai rarement vu une mutuelle aussi pourrie et je pèse mes mots.... JE DÉCONSEILLE FORTEMENT. Juste créer pour ramasser de l'argent sans retour </t>
  </si>
  <si>
    <t>28/02/2019</t>
  </si>
  <si>
    <t>thomas-h-112069</t>
  </si>
  <si>
    <t>Je suis satisfait du service, de la réactivité.
La personne que j'ai eu en ligne était très agréable et de bon conseil.
Lors de mes différentes demandes cette personne m'a toujours répondu dans un délai très acceptable</t>
  </si>
  <si>
    <t>valerie-e-117066</t>
  </si>
  <si>
    <t xml:space="preserve">Je suis très satisfaite du service, les Prix sont attractifs 
Le Site est  facile à trouver et clair. La souscription est rapide. Les packs sont interessants.
</t>
  </si>
  <si>
    <t>rosette-g-132150</t>
  </si>
  <si>
    <t xml:space="preserve">Très satisfait du service cela et rapide et efficace facile à répondre à vos questions
Je suis très content de la rapidité  et du prix que vous me proposez </t>
  </si>
  <si>
    <t>diakite-d-108548</t>
  </si>
  <si>
    <t>Prix les plus bas du marché d'après les différents devis que j'ai effectué.
Conseillère très professionnelle au téléphone pour la souscription du contrat.</t>
  </si>
  <si>
    <t>dragonmrg113-58940</t>
  </si>
  <si>
    <t>Intervention supprimée à la demande de l'internaute.</t>
  </si>
  <si>
    <t>30/12/2017</t>
  </si>
  <si>
    <t>walid001-50034</t>
  </si>
  <si>
    <t>Leur conseillers au service client sont agressif, mal poli et manque de professionalisme. C'est arrivé à plusieurs reprises. J'ai donc résilié mon contrat avec eux pour cette raison. Je n'ai que faire d'un assureur qui me manque de respect à travers ses employés.</t>
  </si>
  <si>
    <t>coutaz-c-125554</t>
  </si>
  <si>
    <t xml:space="preserve">Les prix sont très attractif mais je trouve obscure l'explication des 2 mois à payer d'avance alors que sur l'échéancier je payerai à nouveau 1 mois après </t>
  </si>
  <si>
    <t>30/07/2021</t>
  </si>
  <si>
    <t>papounet-111771</t>
  </si>
  <si>
    <t>Je partage les avis que je viens de lire, je parcours les mêmes difficultés avec cette Mutuelle, pas sérieuse du tout, ne réponds pas ou rarement aux interrogations et surtout rembourse très mal ou pas du tout pour une cotisation très chère. Effectivement consultez ailleurs, c'est certainement en tous cas ça ne peut être pire.</t>
  </si>
  <si>
    <t>tigo-97918</t>
  </si>
  <si>
    <t>la mutuelle générale de la police prélève des cotisations pour une allocation obsèques qu'elle refuse de verser après 90 ans 
Aucune information n'est porté à ce sujet à l'ouverture des contrats
Soyez vigilent
De nombreux mécontents le font savoir
Il faut s'unir et engager des actions
Venez nous rejoindre</t>
  </si>
  <si>
    <t>28/09/2020</t>
  </si>
  <si>
    <t>sylviane-z-134552</t>
  </si>
  <si>
    <t>Je suis satisfaite des prestation proposées par l'assurance direct assurance, le prix est correct pour le niveau d'assurance choisis. L'inscription est assez rapide j’espère continuer à être satisfaite par vos services à l'avenir.</t>
  </si>
  <si>
    <t>26/09/2021</t>
  </si>
  <si>
    <t>ivanov-s-121982</t>
  </si>
  <si>
    <t>Je suis satisfait du service, interlocuteur très gentille. Meilleur prix. Manque l'application mobile pour être parfait. J'espère qu'il va avoir une application formidable</t>
  </si>
  <si>
    <t>sinistrematmut-51638</t>
  </si>
  <si>
    <t xml:space="preserve">5 ans après un incendie PACIFICA a fait maintes manoeuvres pour ne pas payer - nous imputer le sinistre- puis pour payer une somme minimale insuffisante pour récupérer notre logement. </t>
  </si>
  <si>
    <t>24/01/2017</t>
  </si>
  <si>
    <t>ngoc-n-126738</t>
  </si>
  <si>
    <t>J'ai déjà un autre contrat (pour ma Ford Fiesta) avec DirectAssurance et je étais très content avec le tarif, c'est pourquoi cette fois je fais un devis pour une autre voiture avec laquelle ma femme est le conducteur principal, avec DirectAssurance également. Cette voiture (C4 Picasso) est juste 1 cv fiscal en plus (en comparaison avec la Ford Fiesta) mais le tarif est déjà trop élevé (77% plus cher si je choisis l'option Tier Maxi) !</t>
  </si>
  <si>
    <t>fabien-t-130950</t>
  </si>
  <si>
    <t>simple et efficace mais prix peu compétitif, et qui augmente vite - bien plus vite que mon salaire. J'ai 3 assurances chez vous et aucun avantage, pour le prochain véhicule en projet, la concurrence se montre plus avantageuse par exemple...</t>
  </si>
  <si>
    <t>nadia--105579</t>
  </si>
  <si>
    <t>Dans l’ensemble mon assureur et très compétent et  très professionnel il réagisse vite quand il y a un problème d’assuranceJe le recommande à des personnes qu’ils ont envie de s’assurer chez euxCordialement Madame Kaddour</t>
  </si>
  <si>
    <t>nona-34137</t>
  </si>
  <si>
    <t>Je suis déçue de cette assurance. Les prix augmentent sans cesse. 1ère année: prix concurrentiel +1 mois gratuit. 2ème année la porte est rayée ( accident dans le parking souterrain sans dégâts aux autres autos), je fais joué mon assurance tous risques. J'ai eu malus et ai payé une franchise. Le prix est augmenté suite au malus.Soit. 
Et après les emmerdes commencent!. 3ème année: plus de mois gratuit, augmentation de prix en plus..de 3%. !!! Malgré malus qui est réduit de 0,3.
Je téléphone au service client: ma question "pourquoi il n'y a plus de "mois gratuit"? Et pourquoi j'ai encore une agmentation de 3% en plus?. La réponse: beaucoup de sinistres naturels , il faut être solidaire.
Désagréable, mais je reste avec Allianz encore pour un an.
Je viens de recevoir l'échéancier 2018-2019..j'ai gagné le bonus..je suis à 0,56, pas d'accidents, MAIS le prix est encore augmenté!!! 
Je récupère  le bonus, mais je paie déplus en plus.
Dans 3 ans, j'ai passé de 36 euros par mois à 65 euros par mois!
Le service clientèle vous dit" on vous rappellera." Et JAMAIS ils vous rappellent. Jamais.</t>
  </si>
  <si>
    <t>04/06/2018</t>
  </si>
  <si>
    <t>marie-s-124021</t>
  </si>
  <si>
    <t xml:space="preserve">Je suis satisfaite du service depuis des années.
Les tarifs proposés sont attractifs.
j'ai toujours eu une réponse rapidement pour diverses demandes. </t>
  </si>
  <si>
    <t>fb-98468</t>
  </si>
  <si>
    <t>Mutuelle à fuir, ne reçoit jamais les documents envoyés , ne fait pas la jonction entre la sécu et la mutuelle,il faut relancer plusieurs fois.
site internet très mal fait , il n y a pas de trace desdocuments envoyés 
Même  un envoi fait en recommandé avec accusé de réception , ils ne sont pas capables de le retrouver.
Cerise sur le gâteau, les tarifs augmentent en cours d année alors que mon statut n a pas changé .
Bref passez votre chemin, mutuelle chère et beaucoup moins bien que d autres mutuelles.
Accueil téléphonique en dessous de tout.</t>
  </si>
  <si>
    <t>07/10/2020</t>
  </si>
  <si>
    <t>youyou-70476</t>
  </si>
  <si>
    <t xml:space="preserve">Cheres clients je vous déconseille cet assureur qui est pas sérieux du tout les conseillers pas aimables pas sérieux depuis le 14 01 19 que j ai signaler un sinistre dans mon logement et à ce jour on est le 22 janvier aucune nouvelle de leurs part on a le temps de mourir chez soit avant leur intervention merci la pacifica donc je vais résilier tout mes contrats chez eux comme ça je vais dormir tranquille je paye plus de 100 euros d assurance par mois qu est ce que je suis bête </t>
  </si>
  <si>
    <t>22/01/2019</t>
  </si>
  <si>
    <t>je-n'ai-pas-de-psedo-128187</t>
  </si>
  <si>
    <t xml:space="preserve">Prime assurance GMF 772.13 €
2020 je casse un rétroviseur sur mon véhicule
Facture garage 537.12 €
Remboursement GMF 343.12 €
Augmentation de ma prime d'assurance GMF 126.44 € pendant 3ans
Au total 898.57 €
Augmentation x 3 ans 126.44 x 3 = 379.32 €
Donc 37.20 € de plus de ce que cela leur a couté
A quoi cela sert il d'être assuré tout risque à la GMF ???
</t>
  </si>
  <si>
    <t>jbadyka-50544</t>
  </si>
  <si>
    <t xml:space="preserve">je suis decu de ce courtier qui  n est pas honnete quand il s agit d arreter un contrat dans les dates normale de resiliations et qui m a bien balade avec tout mes appels et mails envoyer non lu et la mauvaise pub qu ils font pour generalie mutuel, me disant de m adresse a cette mutelle pour resilier mon contrat et a celle si de s excuser et me dire que s est avec satiane de voir cela </t>
  </si>
  <si>
    <t>21/12/2016</t>
  </si>
  <si>
    <t>dydy25-72359</t>
  </si>
  <si>
    <t xml:space="preserve">Furieuse! Voilà plus d'un an que je paye pour une assurance d'un véhicule que je n'ai plus! Ce véhicule était un prêt pour que mon mari puisse aller travailler (mon mari a depuis changé de travail et est parti en froid de son ancien travail). Nous avions fait un transfert d'assurance de ce véhicule sur le véhicule actuel de mon mari (que j'ai par la suite assuré ailleurs pour raison de prix). La conseillère (mauvaise comme un pou) a alors repris l'assurance du véhicule que l'ancien patron de mon mari lui avait prêté (sans nous le dire bien sur) et nous nous en sommes rendus compte en recevant l'appel de cotisation. En appelant elle nous dit oui apportez moi une attestation sur l'honneur et ça fera l'affaire, chose que j'ai faite et depuis elle ne veut rien entendre et refuse d'arrêter l'assurance pour ce fameux véhicule! Je ne sais plus quoi faire. Elle veut une attestation de l'ancien patron de mon mari qui lui refuse de me la faire... </t>
  </si>
  <si>
    <t>21/03/2019</t>
  </si>
  <si>
    <t>missdrako-100351</t>
  </si>
  <si>
    <t xml:space="preserve">Il mon contacter par téléphone me disant qu'ils avaient essayaient de me joindre à plusieurs reprise par tel et par courrier car je devais avoir droit à la complémentaire santé à partir de septembre.
Je lui est donc répondu que je n'avait jamais était contacter, il soutenait pourtant qu'il l'avait fait.
une fois son explication terminer il me demanda mon iban et c'est lui qui devait me donner les 2 derniers chiffres.
Je n'est pas voulu lui disant que je n'avait pas les moyen de lui fournir, il me demanda alors comme faire car il me rappellerons pas et que j'avais jusque décembre pour y souscrire, me faisant croire qu'il aurait pu m'arriver quelque chose après le 1er décembre et qu'il me fallait donc y souscrire au plus vite.
Je lui est donc dit de ne pas envoyer de contrat et ma répondu sèchement, je voulais lui poser une question et j'ai a peine dit 1 mot qu'il à raccrocher.
Il ma rappeler quelque minutes après car il à compris que je voulais lui parler.
Je lui est demander plus de renseignement, il a bien voulu me les fournir.
Après en avoir parler j'y est donc souscrit, il ma envoyer un code par message que j'ai du lui renvoyer.
Il ma dit que j'avais un délais de rétractation de 14 jours, je ne vais pas attendre 14 jours pour arrêter tout sa car j'ai le même type de contrat la ou j'ai assuré mon véhicule.
Me mettant une pression pour que je souscrit a cette mutuelle je n'est pas eu le temps de vérifier dans mes papier.
</t>
  </si>
  <si>
    <t>20/11/2020</t>
  </si>
  <si>
    <t>bruno-p-108318</t>
  </si>
  <si>
    <t>les prix de le cotisation augmentent chaques annees de 40 euros,faudrait peut etre arreter ces augmentations un moment donné..
ci ça continue comme ça l annee prochaine je change d assurance.</t>
  </si>
  <si>
    <t>28/03/2021</t>
  </si>
  <si>
    <t>isa1504-78780</t>
  </si>
  <si>
    <t xml:space="preserve">Je suis très mécontente, assurée depuis plusieurs années pour ma voiture, j'ai fait souscrire à ma fille tous ses contrats à la MAIF et parrainer plusieurs personnes. Ma fille a été victime d'un cambriolage. Elle a bien entendu respecté les règles et devoirs dans ce cas et depuis le 15 MAI 2019, aucune indemnisation. Elle a fourni toutes les factures, Il y a eu 2 experts ??? 1 de LYON puis 1 du Nord ou elle habite. Elle a du régler la franchise de suite à l'artisan nommé par la MAIF pour sécuriser la maison  et se fait balader toutes les semaines au téléphone, un mail avec l'indemnisation doit toujours arriver quelques jours après..... Je réfléchis à faire intervenir un législateur et je trouve que c'est inadmissible, surtout qu'elle ne possédait pas d'oeuvres d'art..... </t>
  </si>
  <si>
    <t>29/08/2019</t>
  </si>
  <si>
    <t>mathieu-g-128333</t>
  </si>
  <si>
    <t xml:space="preserve">Je viens de souscrire et pour le moment je suis satisfait.
Rapidité et efficacité au rendez-vous avec des conseillers à disposition.
Il me manque plus qu’à joindre les documents justificatif. </t>
  </si>
  <si>
    <t>charles-n-127770</t>
  </si>
  <si>
    <t xml:space="preserve">Je suis content de m'assurer chez direct assurance avec un très bon prix. 
Et puis on a des choix parfait et il y'a des paiements mensuel donc je suis très satisfait </t>
  </si>
  <si>
    <t>joel-l-134160</t>
  </si>
  <si>
    <t>Le prix me convient pour ces périodes.
simple et rapide.
je le recommande à tous.
dommage qu'il n'existe pas encore de système de parrainages...........</t>
  </si>
  <si>
    <t>moumoune-58244</t>
  </si>
  <si>
    <t>Assuré tous risques.Un accident declare 0% responsible par D.A. j'ai du avancer la franchise  non conforme au contrat ! et j'attends toujours le remboursement .Impossible d'avoir un interlocuteur et encore moins le gestionnaire de mon compte</t>
  </si>
  <si>
    <t>20/10/2017</t>
  </si>
  <si>
    <t>omega-75678</t>
  </si>
  <si>
    <t>bonjour à tous je rejoins la communauté des mécontents je suis dans la même situation que vous 2 prises en charge refusée je viens d envoyer ma 2ème réclamation car bien sure erreur dans la compréhension de ma demande et donc j'ai du renvoyer un autre courrier ça n'en fini pas et j'en ai ras le bol car je continue de payer le prêt  nous devrions peut être nous grouper pour défendre nos droits qu'en pensez-vous j envisage aussi de mon côté une procédure judiciaire mais je pense qu'un collectif ferait mieux avancer nos dossiers  bien à vous omega</t>
  </si>
  <si>
    <t>09/05/2019</t>
  </si>
  <si>
    <t>diam7h-56359</t>
  </si>
  <si>
    <t xml:space="preserve">J'ai voulu souscrire une d'assurance auto Macif, mais l'interlocutrice que j'ai eu au téléphone a été si odieuse, que cela donne à réfléchir à deux fois quant à l'avenir en cas de problème ! 
Et en lisant les commentaires, ça me conforte dans mon hésitation. 
Je fuis donc cette assurance. </t>
  </si>
  <si>
    <t>29/07/2017</t>
  </si>
  <si>
    <t>domdom-71467</t>
  </si>
  <si>
    <t>Litige habitation qui se transforme en cauchemar. A chaque action de la MAAF une erreur, un expert qui revient sur sa parole, des prestataires incompétents, des erreurs en cascades.</t>
  </si>
  <si>
    <t>19/02/2019</t>
  </si>
  <si>
    <t>dede-115452</t>
  </si>
  <si>
    <t>Ma correspondante a répondu très favorablement à mon attente car celle-ci se trouvait dans l'urgence.
je suis satisfait du document provisoire reçu, car j'attends la carte faisant valoir mes droits réels, compte-tenu que j'ai souscrit à l'option "Néoliane EQ6.
Cordialement à ma correspondant " EMELINE .</t>
  </si>
  <si>
    <t>azaoun-m-109787</t>
  </si>
  <si>
    <t>Je suis très satisfaite de vos services et le tarif très attractif et l' entretien que j 'ai eu avec le commercial était très clair et bien explicatif.</t>
  </si>
  <si>
    <t>boukela-l-127467</t>
  </si>
  <si>
    <t xml:space="preserve">Je suis satisfaite de vos services et disponibilité. Le rapport qualité/prix est sans doute le meilleur, je vous recommande volventier à mes connaissances </t>
  </si>
  <si>
    <t>10/08/2021</t>
  </si>
  <si>
    <t>guy-o-134125</t>
  </si>
  <si>
    <t xml:space="preserve">RAS SERVICE TRES BIEN
 BON ACCEIL TRES COMPETENT 
LES REPONSES SONT CLAIRES ET NET
JE RECOMMANDERAI VOTRE ASSURANCES AUTOUR DE MOI  
BONNE JOURNEE MERCI
</t>
  </si>
  <si>
    <t>sousa-teixeira-c-133485</t>
  </si>
  <si>
    <t>Je suis satisfait du service, et du prix.
Contact téléphonique cordiale et démarches simples, rapides.
Mon véhicule à été assuré en quelques minutes, le jour de l'achat der celui-ci.</t>
  </si>
  <si>
    <t>19/09/2021</t>
  </si>
  <si>
    <t>malher-c-116674</t>
  </si>
  <si>
    <t>Très satisfait de la rapidité et du professionnalisme des interlocuteurs. Bonnes explications sur les différents types de contrats, les franchises et les délais.</t>
  </si>
  <si>
    <t>gregory-v-128332</t>
  </si>
  <si>
    <t xml:space="preserve">Le prix est trait intéressant il restera a savoir comment il gère quand il y a un accident car c'est a ce moment qu'on vois vraiment la valeur de l'assurance </t>
  </si>
  <si>
    <t>rivassoux-n-116613</t>
  </si>
  <si>
    <t>Le prix proposé par l'olivier assurance est très intéressant. Le contrat est clair. Le site web est très facile d'utilisation, on se repère bien et on trouver les infos que l'on cherche.</t>
  </si>
  <si>
    <t>an-toan-p-127787</t>
  </si>
  <si>
    <t>Un peu cher malgré le fait de ne pas prendre de pack, et dommage de ne pas avoir une plus grande couverture d’indemnisation sans avoir de véhicule de prêt. Car en effet dans mon cas je bénéficie déjà d’une assistance 24/24 7/7 de la part du concessionnaire pour 2 ans… sinon très bonne réactivité de votre assurance.</t>
  </si>
  <si>
    <t>sylvie35-89547</t>
  </si>
  <si>
    <t xml:space="preserve">La pire mutuelle qui existe. j'ai souscrit chez eux et je m'en mords les doigts. Auparavant quand je changeais mes lunettes j'avais de ma poche environ 50 €. Sur les conseils de la commerciale MGEN qui m'a assuré que je n'aurais absolument rien à payer pour mes prochaines lunettes avec la MGEN ( Je l'ai fais répéter 3 fois car cela me sembler étrange) ... Moralité plus de 200 € de ma poche sur ma paire de lunettes tres basique . Je suis en train de voir les modalités pour quitter cette mutuelle </t>
  </si>
  <si>
    <t>12/05/2020</t>
  </si>
  <si>
    <t>liudmila81-87949</t>
  </si>
  <si>
    <t>Bonjour,
Cette assurance est vraiment mauvaise et très chère (200€ par mois!!!) Je déconseille fortement. Le service client est catastrophique et peu aimable, les gens qui traitent les dossiers sont incompétents. Impossible de les joindre, uniquement le standard, qui ne sait rien. C’est la deuxième fois que cela m’arrive. La première a été réglée uniquement suite à l’intervention de ma DRH et du commercial, qui venait pour le renouvellement du contrat. On avait déjà bcp de plaintes des employés, donc je suis pas la seule.
Le 15 septembre je me fais extraire 2 dents (au préalable j’ai envoyé mon devis). La sécu a tout transmis à la mutuelle. 2 semaines plus tard je reçois une lettre de la mutuelle, qu’il leur faut une facture. Je le fais le jour même. 1 semaine plus tard je les appelle et il me confirme que la facture est reçue et elle est correcte. Ensuite on me rembourse 30% au lieu de 350%. Je les appelle et ils me disent, qu’ils ne peuvent rien pour moi, mais je serai recontactée. Toujours personne. Mais le pire est qu’aujourd’hui je reçois la lettre, qu’il leur faut ma facture. Absolument la même lettre. Donc il faut tout recommencer. Et cette, soit disant conseillère, ne sait même pas qu’on m’a déjà remboursé 30%. Bref! Ce n’est pas sérieux, mais surtout ce n’est pas la première fois. Il faut leur envoyer 30 fois les documents mais il y a 20 interlocuteurs en face, donc personne ne sait rien. Et surtout leurs responsables n’agissent pas.
Maintenant il faut que je contacte ma DRH qui elle, a son tour, doit contacter le commercial pour pouvoir régler cette situation pénible !!!
Donc non, à éviter!</t>
  </si>
  <si>
    <t>16/10/2021</t>
  </si>
  <si>
    <t>kimlanbu-78545</t>
  </si>
  <si>
    <t>Mise en demeure pour un soit disant compte bancaire clos. La banque me signale que le compte est bel et bien ouvert. Problème qui arrive 1 mois sur 2 qui m'oblige à payer des frais de 11 euros</t>
  </si>
  <si>
    <t>19/08/2019</t>
  </si>
  <si>
    <t>mamievanille-108993</t>
  </si>
  <si>
    <t xml:space="preserve">J'ai été très bien conseillée dès le premier appel, à la suite d'un malentendu avec mon ancienne mutuelle, j'ai rappelé aujourd'hui pour avoir des conseils sur les prélèvements déjà effectués, et j'ai été très bien reçue et orientée par Rita ! </t>
  </si>
  <si>
    <t>virginie-b-109470</t>
  </si>
  <si>
    <t>je suis satisfaite du rapport qualité , jamais de soucis , si retard de paiement ils sont compréhensif . je recommande vivement . Assez réactive quand on a besoin</t>
  </si>
  <si>
    <t>pierrot27-96898</t>
  </si>
  <si>
    <t xml:space="preserve">bonjour  societaire depuis 40 ans suite a un sinitre  avec delit de fuite constate par plainte de Police. prise de rendez vous car les 2 precedents ne m'ont auqcune satisfation lors de ce rendez vous etes pris pour un mechant, on appele la police pour m'oblger a quitter leur bureau  avant d'obtenir une reponse a mon dossier  QUELLE HONTE!!! et maintenant ils veulent me radier </t>
  </si>
  <si>
    <t>majani-e-114965</t>
  </si>
  <si>
    <t>je suis très satisfait merci beaucoup l'équipes L'OLIVIER une tré bonne accueille toujours a l'écoute on ma toujours bien accueille chez vous et je suis trop contant d'ètre client chez vous encore merci.</t>
  </si>
  <si>
    <t>26/05/2021</t>
  </si>
  <si>
    <t>cn-71272</t>
  </si>
  <si>
    <t>Je suis assuré depuis 1993 pour mon véhicule.
Malchance 2016 1 accident responsable 2017 et 2018 deux non responsable parking, et 2018 1 responsable. 2016 50% plus 10% donc pas si mauvais conducteur. 2018 50% donc c'est pas trop mal non plus. Et là viré comme un mal propre par courrier recommandé  sans appel de mon conseillé que je côtoie depuis 1993...
TRÈS MOYEN même je dirais zéro. Voici ma réponse à la charmante personne qui m'a confirmé par mail que je devais aller voir ailleurs 
Re: Votre demande REFS 330604000174R02 UG36
CN
Claude Nouvel
Bonjour Madame 
Et c'est bien dommage. Et surtout c'est que nos cotisations servent à financer des stades de football au lieu de nous indemniser. 
Bien sûr vous pensez que 15 ans de fidélité et cotisations n'ont aucune valeur. Et peut être suis je un mauvais client. 
Nous vivons dans un drôle de monde. 
Mais ce que je reproche c'est vos agissements envoyer un recommandé sans que mon agent que je côtoie et avec qui nous avons toujours entretenu d'excellents rapports ne me contacte pas pour l'annoncer. 
Nous sommes très mal considéré et assurés pour des droits que nous n'avons pas. Puisque vous nous assurez pour ne pas avoir d'accident ou incident. 
Je conseillais la Matmut à mon entourage ce ne sera pas le cas. 
Je suis révolté de voir que mes cotisations aient participé à des financements de stades de football. 
Bonne journée 
Claude Nouvel</t>
  </si>
  <si>
    <t>13/02/2019</t>
  </si>
  <si>
    <t>jerome--b-125605</t>
  </si>
  <si>
    <t xml:space="preserve">Prix un peu élever par apport aux concurrents et je suis surpris de ne pas pouvoir avoir un interlocuteur mais que tous se face en ligne il serais plus agréable d avoir un conseiller </t>
  </si>
  <si>
    <t>lina-81916</t>
  </si>
  <si>
    <t>bonjour,
j'aimerais faire une mise au point avec assuropoil, mais il est très difficile de les avoir au téléphone,  et je trouve les tarifs un peu excessifs.. quelle est la meilleur formule pour mon animal de 4ans et 5 mois?</t>
  </si>
  <si>
    <t>tone-76580</t>
  </si>
  <si>
    <t>après 30 ans de fidélité  . J'ai voulu assurer un nouveau véhicule . Refus pour cause de sinistres.
un sinistre en 2016 tort partagé
un bris de glace en 2018 . coeff bonus malus 0,5
Merci la maaf .</t>
  </si>
  <si>
    <t>07/06/2019</t>
  </si>
  <si>
    <t>bruneau-t-137255</t>
  </si>
  <si>
    <t>Satisfait du service, prix correct et accueil téléphonique et prise en charge très agréable!! Je recommanderais cette assurance à mes proches. Prix très abordable!</t>
  </si>
  <si>
    <t>verol38-64846</t>
  </si>
  <si>
    <t>avec santiane depuis 2014 satisfaite des remboursements et des services tres bon suivi clientele</t>
  </si>
  <si>
    <t>18/06/2018</t>
  </si>
  <si>
    <t>samsie-124898</t>
  </si>
  <si>
    <t>L'assureur qui va bien, quand tout va bien
Dans le cas contraire, ça se complique ÉTRANGEMENT
J'ai du faire appel à la Maif après un sinistre causé par un tiers: au téléphone, beaucoup de _fausses_ promesses et paroles _sans suite_;
finalement ni assistance ni défense ni dédommagement;
Que de temps et d’énergie perdue, quelle déception!
Et je n'ose pas imaginer si j'avais été responsable du sinistre
En revanche les prélèvements passent sans souci</t>
  </si>
  <si>
    <t>soulat-j-109218</t>
  </si>
  <si>
    <t>Très satisfait du service et je recommande vivement cette assurance.
Merci pour leur réactivité et compétences qui m'ont permis d'être à temps en règle administrativement.</t>
  </si>
  <si>
    <t>05/04/2021</t>
  </si>
  <si>
    <t>arnaud-74-76789</t>
  </si>
  <si>
    <t>injoignable, ne repondent pas aux mails. temps d'attente au téléphone payant et extrèmement long. Comment une telle entreprise peut encore exister. Pourquoi les entreprises (leader dans le service client) choisissent ce type de mutuelle???</t>
  </si>
  <si>
    <t>14/06/2019</t>
  </si>
  <si>
    <t>gaby34670-106375</t>
  </si>
  <si>
    <t xml:space="preserve">Simple efficace mais attention aux tarif.
Ce qu’il y a de bien avec eux c’est la rapidité au téléphone,la gentillesse et le professionnalisme des opérateurs ne cherche pas à vous vendre des options ou autres.je recommande fortement </t>
  </si>
  <si>
    <t>gilde-69940</t>
  </si>
  <si>
    <t>Aucune flexibilité la concurrence est moins chère sur le même produit.</t>
  </si>
  <si>
    <t>05/01/2019</t>
  </si>
  <si>
    <t>william-d-125126</t>
  </si>
  <si>
    <t xml:space="preserve">je suis satisfait pour les tarifs proposer par direct assurances en espérant que votre réputation de bien s'occuper des ses clients en cas de problèmes.( et j'espère ne jamais le tester)  </t>
  </si>
  <si>
    <t>chat-80530</t>
  </si>
  <si>
    <t>Je suis assurée à travers une carte bancaire (noire) ça fait 5 mois que je tente d'obtenir le remboursement d'un voyage annulé suite à un accident. Le comble de la bêtise, hier l'assureur m'informe par mail que le médecin conseil estime que pouvais voyager et je ne pouvais prétendre à un remboursement (je devais faire une rando à Maurice.) Comment faire une rando avec une jambe dans le plâtre? 
Pour information mon compagnon qui avait sa propre assurance avec sa carte bancaire a eu le remboursement dans les 3 semaines qui ont suivi l'annulation</t>
  </si>
  <si>
    <t>30/10/2019</t>
  </si>
  <si>
    <t>nicolas-j-104319</t>
  </si>
  <si>
    <t>je suis satisfait de mon expérience jusqu'à présent. Difficile d'en dire plus à ce stade. L'interface est bonne, la relation client au téléphone aussi.</t>
  </si>
  <si>
    <t>mojo-79732</t>
  </si>
  <si>
    <t xml:space="preserve">J'ai moi-même perdu de l'argent en frais de dossier %, Performances négatives et pour finir des frais de sortie injustifiés. Moi et ma femme avons perdu plus de 2 500 € sur 1 an avec 40 000 € placés en assurance vie Excellium
L'absence de conditions générales est réellement préjudiciable et vous empêche de prendre connaissance de l'ensemble des spécificités du contrat. Dans la mesure où il s'agit d’une assurance bien difficile à comprendre pour la grande majorité des particuliers
</t>
  </si>
  <si>
    <t>04/10/2019</t>
  </si>
  <si>
    <t>pat53-52204</t>
  </si>
  <si>
    <t xml:space="preserve">j ai eu besoin de ma protection juridique pour la garantie decennale de ma terrasse et j' ai ete tres bien defendu car  remboursé correctement </t>
  </si>
  <si>
    <t>yannick-105650</t>
  </si>
  <si>
    <t xml:space="preserve">Globalement très satisfait de la couverture-santé. Cependant, un effort pourra être apporté dans le traitement de la mise à jour des données personnelles en cas de modification de ces dernières. </t>
  </si>
  <si>
    <t>cyrcyr-60362</t>
  </si>
  <si>
    <t>Assuré à la Maif depuis quasi 20ans sans aucun accident responsable, le service "mutualiste " s'est effondré d'année en année, à l'inverse des franchises et montants des contrats qui eux se sont envolés......même l'accueil est devenu quasi nul......A une époque ou changer d'assureur ( même si ce sont tous les mêmes....) est facile, je ne comprends absolument pas cette politique qui est la volonté de ne pas conserver, fidéliser sa clientèle de longue date et en plus " bonussée " au maximum.....Aucun geste commercial, avis divergents entres les "conseillers", enfin bref du flan comme (pire car plus cher ) les autres.....je vais allé voir ailleurs....</t>
  </si>
  <si>
    <t>11/01/2018</t>
  </si>
  <si>
    <t>jc-57166</t>
  </si>
  <si>
    <t>Bonjour client de l'agence AXA depuis + de 40 ans. Changement de gérant au début de l'été.
Depuis plusieurs années je subis des augmentations importantes qui sont réduites après discutions avec l'agence (en 2015 de 411.73 a 382.72, en 2016 de 403.5 à 382.03, en 2017 431.03) et cette année pas moyen de ristourne ou l'on me dit 2.50% d'augmentation qui me semble normal et puis le reste à cause des attentats, et les autres années c'était quoi? donc après plusieurs messages et appel a l'agence ou je leur dit que à la concurrence j'ai de meilleures offres on me dit que eux aussi le font pour les nouveaux clients donc les anciens paient pour les nouveaux donc je m'en vais et je regrettent bien tout l'argent que j'ai donné à AXA quand j'avais des assurances professionnelles. Sur internet les augmentations des assurances parlent toutes de 2.50%. J'ai envoyé une réclamation a AXA siège début août et toujours pas de réponse, Donc adieu AXA. Et j'ai le même soucis avec mon assurance auto</t>
  </si>
  <si>
    <t>12/09/2017</t>
  </si>
  <si>
    <t>01/09/2017</t>
  </si>
  <si>
    <t>paloma-59273</t>
  </si>
  <si>
    <t xml:space="preserve">Idem - résiliée après 18 ans de bon et loyaux services, bref nous sommes les vaches à lait qui alimentent leur porte monnaie mais gare à nous quand on déroge du bel agneau qu'ils voudraient que l'on soit. Donc je vais leur faire de la pub... des tarifs loin d'être compétitifs, des  franchises exhorbitantes alors que d'autres assureurs proposent des franchises dégressives pour bon et loyaux services. La MAAF Rien... juste un merci et au-revoir quand vous déclarez deux sinistres. Quelle classe !....
Honte à vous.... et bien vous allez en perdre des clients... mais sachez que vous les récupèrerez pas et sachez aussi que nos descendants ne seront pas non plus vos futurs clients... finalement arrivera un jour où vous montrerez pâtes blanches pour redorer votre porte-feuille. ET oui la roue tourne... 
</t>
  </si>
  <si>
    <t>30/11/2017</t>
  </si>
  <si>
    <t>vanilla-54379</t>
  </si>
  <si>
    <t>Le prix proposé pour un premier contrat varie d'un jour à l'autre dans une fourchette de 80 € d'écart ce qui est fort peu honnête</t>
  </si>
  <si>
    <t>29/04/2017</t>
  </si>
  <si>
    <t>repier-61965</t>
  </si>
  <si>
    <t>Bonjour je voulais vous faire part de ma situation qui perdure depuis plus d'un an suite à un dégât des eaux dans ma salle de bain venant d'un siphon de douche. À la suite de cela on m'a demandé de faire passer deux artisans  pour faire des devis. J'ai transmis ces devis à la MAAF  qui étaient supérieure à 3000 €. L'expert a refusé les deux devis d'artisans que je lui ai proposé. Ils m'ont demandé de faire passer leur entreprise partenaire pour estimer les dégâts cette entreprise partenaire à chiffré les travaux 3 fois plus cher que le devis que je lui avais présenté. Effectivement pour refaire les travaux de la fuite d'eau il faut enlever le bac à douche ainsi que les carreaux de carrelage autour de ce bac. Ma salle de bain possède un carrelage uni en tous points sur tous les murs. L'expert envoyé par la MAAF a pris le devis de cette société et à barré les montants qu'elle ne voulait pas prendre en charge et m'ont fait un virement d'une somme dont je ne suis pas du tout d'accord. Je me suis formellement opposé à ce virement qui à quand même été effectué. Suite à cela j'ai envoyé un courrier avec accusé de réception au service réclamation qui lui me fait tourner en bourrique avec l'expert. Cette fuite d'eau a provoqué dans ma cage d'escalier de la moisissure en dessous du papier peint je leur ai précisé que j'ai un enfant en bas âge et cela ne semble pas les inquiéter plus que ça! Je commence à en avoir marre de faire des relances téléphoniques. je pense que je vais devoir passer à la vitesse supérieure.
Malgrés mes plus de 15 ans de fidélité à la MAAF je songe vraiment aller voir la concurrence</t>
  </si>
  <si>
    <t>03/03/2018</t>
  </si>
  <si>
    <t>charlotte-c-117423</t>
  </si>
  <si>
    <t>Satisfait tant qu'il ne se passe rien. Accident 100% non responsable, notre voiture est évalué à une bouchée de pain. Bien sur nous n'avons pas les moyen de faire une contre expertise....</t>
  </si>
  <si>
    <t>vovone-100515</t>
  </si>
  <si>
    <t xml:space="preserve">Aucun problème avec notre mutuelle, 
Mon mari 88 ans n'a jamais changé pourquoi faire , pour  avoir des problèmes.
Non pas possible pour avoir des ennuies .Le jour que nous avons un problème la M G P 
est là pour nous aider que demander de plus.      Yvonne
</t>
  </si>
  <si>
    <t>23/11/2020</t>
  </si>
  <si>
    <t>loulou-99296</t>
  </si>
  <si>
    <t>Je n'ai pas le moyen de mettre 0 donc je suis contraint de mettre 1 étoile / FUYEZ CETTE ASSURANCE !!!! j'ai déclaré un sinistre depuis le mois de juin 2020 on ne peut à ce jour me répondre et on me demande d'attendre encore jusque mi-décembre 2020!!!!
Je me suis fait arraché mon rétro sur l'autoroute par un poids lourd qui biensur ne s'est pas arrêté. J'ai porté plainte au commissariat avec l'immatriculation du véhicule. L'assurance du chauffeur n'a donc à ce jour pas répondu à mon assurance. On me dit d'attendre encore jusque mi-décembre et pour le moment je suis déclaré responsable de cet accident à 100 %. Cherchez l'erreur..... Cette assurance n'est pas compétente et appartient au crédit agricole</t>
  </si>
  <si>
    <t>27/10/2020</t>
  </si>
  <si>
    <t>mika-99344</t>
  </si>
  <si>
    <t>Très bonne assurance , les conseillers sont très professionnels et courtois , ils cherchent une solution à chaque problème et rapidement , je conseille cette assurance si elle continue a traiter ses clients comme ça une fois les contrats signés et si problème il y a .</t>
  </si>
  <si>
    <t>gabynamee-56069</t>
  </si>
  <si>
    <t>L'assurance me fait payer pour mon toit mais refuse d'intervenir dans le sinistre sous prétexte de vétusté de celui ci
Retards dans les remboursements
Attitude méprisante des gestionnaires de litige</t>
  </si>
  <si>
    <t>jjbetiolles91-89248</t>
  </si>
  <si>
    <t>Service client accessible rapidement. Renseignements précis. Personnel compétent et à l'écoute.</t>
  </si>
  <si>
    <t>29/04/2020</t>
  </si>
  <si>
    <t>vivien-m-106667</t>
  </si>
  <si>
    <t>Je ne suis pas satisfait. Je suis votre client depuis longtemps. vous m'avez résilié pour un delai de paiement et m'a mis dans une situation difficile</t>
  </si>
  <si>
    <t>stef55-71136</t>
  </si>
  <si>
    <t>Alors refus de cautionnement de prêt immo.. je l'ai eu de travers !
Maintenant refus de me garantir PRIMO...
C'est quoi cet esprit mutuelle ? Il y a plus de 20 ans on m'avait vendu cette mutuelle avec le slogan : la mutuelle par les policiers pour les policiers ! Non c'est la mutuelle des financiers pour enfumer les policiers !
Bref fuyez.... je pense que je vais aller chez celle d'en face, quitte â me voir refuser un produit.</t>
  </si>
  <si>
    <t>09/02/2019</t>
  </si>
  <si>
    <t>nabil-t-113008</t>
  </si>
  <si>
    <t xml:space="preserve">prix corrects 
rapide et clair le devis est bien détaillé et les instructions sont claires
les documents sont reçus de suite et la signature électronique est pratique </t>
  </si>
  <si>
    <t>robin-116425</t>
  </si>
  <si>
    <t xml:space="preserve">
J'ai été assuré MATMUT pour mes véhicules et mon habitation pendant 49 ans en faisant confiance à cet assureur. Quand j'ai demandé un devis pour assurer un 3ème véhicule, je me suis aperçu que ce groupe ne faisait pas de cadeau à ses clients fidèles car je payais "rubis sur l'ongle" pour une sensation de tranquillité 30% plus cher que chez la concurrence. Aujourd'hui je suis passé à la concurrence et je suis aussi satisfait. J'ai toutefois gardé une assurance habitation pour le studio de mon fils. il est aussi assuré pour une protection juridique dont il ne peut profiter car l'assistance juridique soutient qu'il n'est pas assuré, et je navigue de la MATMUT à l'assistance juridique. hier en date du 8 juin, un employé de la MATMUT Tinqueux à fait patienter mon fils 40 mn au téléphone pour enfin lui dire qu'il n'était pas assuré ce qui est faux. Aujourd'hui je tente un ultime appel pour tenter de savoir ce qui se passe. vraisemblablement il y a un manque de suivi des dossiers chez cet assureur.
</t>
  </si>
  <si>
    <t>khalil-125066</t>
  </si>
  <si>
    <t xml:space="preserve">Depuis trois jours j'essaie de faire une déclaration sinistre avec direct assurance les conseillers sont jamais joignable
Je vous déconseille de vous engager avec cette assurance ! </t>
  </si>
  <si>
    <t>nathalie-l-128125</t>
  </si>
  <si>
    <t>satisfait du service avec en primo la  rapidité de l'étude du problmème
et système de rappel téléphonique au top !! a l' heure exacte on est rappelleés!!</t>
  </si>
  <si>
    <t>mto9-108202</t>
  </si>
  <si>
    <t>Je suis chez L'olivier assurance depuis trois ans que ce soit par Internet ou téléphone ils sont rapide agréable et mon toujours trouvé des solutions. Le tarif est très compétitif. Pour le reste je ne peux en parler car n ayant pas d accident je ne connais pas leur performance sinistre remboursement.</t>
  </si>
  <si>
    <t>shadows45-77511</t>
  </si>
  <si>
    <t>Merci à Virginie pour sa disponibilité et ses explications claires et précises et sa rapidité à répondre à ma demande même si un sourire ne se voie pas au téléphone il peut malgré tout s'entendre !
Merci à Virginie pour don accueille et sa gentillesse !</t>
  </si>
  <si>
    <t>10/07/2019</t>
  </si>
  <si>
    <t>yahaya-a-133983</t>
  </si>
  <si>
    <t xml:space="preserve">je suis satisfait les prix aussi merci je recommande,  merci, par contre j'ai une deuxième voiture et je n'ai pas de réduction, ni de geste commercial </t>
  </si>
  <si>
    <t>jjl-101690</t>
  </si>
  <si>
    <t xml:space="preserve">Non respect de l'application de la loi pacte : 
Après de nombreuses réclamations, depuis plus de trois mois suite à une demande auprès de l'assureur Swisslife pour la transformation de mon PERP vers un plan de retraite (PER) individuel, celle-ci n'a toujours pas été faite, et ce malgré la confirmation officielle et écrite de cette transformation par l'association CERENA qui a souscrit ce PERP n° 1006 auprès de l'assureur SwissLife. A ce jour je n'ai toujours pas eu de réponses ni d'explications.
</t>
  </si>
  <si>
    <t>22/12/2020</t>
  </si>
  <si>
    <t>hageli-m-129317</t>
  </si>
  <si>
    <t xml:space="preserve">Je suis satisfaite du service. Rapide et efficace. Toutes les personnes que j'ai eu au téléphone sont très agréables et nous aident dans nos démarches. </t>
  </si>
  <si>
    <t>lakme--108199</t>
  </si>
  <si>
    <t>Merci la MGEN ....
Payer une cotisation et attendre comme Pénélope.. j’ai accouché en décembre et je n’ai pas reçu la prime de naissance de ma fille. Plus 300 euros de dépassement d’honoraires que je n’ai toujours pas eu.. 
j’ai encore d’autres factures de soins en attente  à me faire rembourser pour ma fille mais je n’envoie rien car personne n’est capable de me dire quand j’aurai le dû réclamé depuis janvier .. on paye on paye et personne ne se soucie de savoir si on est à découvert..j’en pleure de nerfs..  on a pas tous des bons salaires surtout au smic.. j’en peux plus</t>
  </si>
  <si>
    <t>damien89-64664</t>
  </si>
  <si>
    <t>Suite à un cambriolage debut janvier nous sommes fin juin et toujours rien malgré nos relance et 3 fois lexpert à repondu à leur demande</t>
  </si>
  <si>
    <t>11/06/2018</t>
  </si>
  <si>
    <t>indicium-78083</t>
  </si>
  <si>
    <t>Assuré depuis près de 10 ans pour notre appartement sans aucun sinistre, nous venons d'avoir un gros dégât des eaux. Nous déclarons le sinistre le jour même et recevons immédiatement un accusé de réception. Dès le lendemain nous communiquons tous les documents nécessaires au traitement du dossier. Et... plus rien. 2 relances par la messagerie de leur plateforme en ligne et au moins 5 appels au service sinistre où on me met en attente 20 minutes avant de me raccrocher au nez. La pire compagnie d'assurance avec laquelle j'ai eu affaire. J'ai eu d'autres sinistres pour la voiture et mon entreprise gérées avec une autre compagnie et le résultat est incomparable.</t>
  </si>
  <si>
    <t>31/07/2019</t>
  </si>
  <si>
    <t>amine-b-109536</t>
  </si>
  <si>
    <t>Client fidèle depuis maintenant 5 ans, je ne comprends absolument pas le tarif que vous me proposez qui a augmenté de 23% en 5 ans!!!!
D'autant qu'en souscrivant à un nouveau contrat, un tarif plus bas est proposé, ce n'est vraiment pas normal que l'on augmente les tarifs pour arriver à +23% au bout de 5 ans alors qu'aucun sinistre n'a été déclaré de ma part sur ces 5 années.</t>
  </si>
  <si>
    <t>sam-103068</t>
  </si>
  <si>
    <t xml:space="preserve">Je suis satisfait de ma mutuelle,  notamment l'accueil téléphonique qui est rapide et opérationnel. 
Cependant le tarif des mutuelles par rapport aux remboursement reste un peu élevé. 
Heureusement il existe le secours frais de santé. </t>
  </si>
  <si>
    <t>22/01/2021</t>
  </si>
  <si>
    <t>marie-jo-83-100630</t>
  </si>
  <si>
    <t xml:space="preserve">Je ne comprends pas les avis négatifs sur Santévet. Je suis assurée chez eux depuis 14 ans, pour mon chien et l'un des mes chats. Tout a été clair depuis le 1er jour de la souscription, prise en charge immédiate pour certains soins, et franchise de 6 mois pour d'autres. Identification obligatoire de l'animal, et plusieurs formules proposées, avec possibilité de modification à tout moment. J'ai choisi un contrat qui rembourse les frais à 85%, avec un forfait de 1800€ /an pour les soins vétérinaires, et un détartrage annuel remboursé. Je transmets les documents par le biais de mon espace personnel, et le virement intervient dans les 48 heures. C'est vrai qu'au départ les cotisations ne sont pas très élevées, mais comme toutes les assurances, elles augmentent chaque année. Je paie aujourd'hui 70€ pour mon cocker qui a 14 ans, mais je me félicite chaque fois qu'il va chez le véto d'avoir Santevet qui me couvre. J'ai toujours été très bien reçue au téléphone, et les conseillers sont très à l'écoute. J'ai parrainé quelques personnes qui sont enchantées de leur choix, et la seule fois où j'ai eu un souci avec Santevet, un geste commercial a été fait, ce que j'ai bien apprécié.
</t>
  </si>
  <si>
    <t>yanis-n-138124</t>
  </si>
  <si>
    <t xml:space="preserve">Super bien satisfait bonne assurance merci pour tout en plus mon 2 roues a était assure très rapidement et en terme de prix super top vraiment je m’attendais pas à ça </t>
  </si>
  <si>
    <t>zouzoute-52167</t>
  </si>
  <si>
    <t>Assurance absolument a fuir. J'avais fait une infidélité à mon ex assureur, attirée par les soit disant meilleurs prix !! mais quel mauvais service !!! Il vaut mieux payer un peu plus cher ailleurs et être mieux considéré qu'un porte monnaie et être mieux pris en charge.
Fais tout pour ne pas indemniser ses assurés et ne les défends vraiment pas en cas de sinistre.
La cotisation augmente fortement tous les ans. Ca beau être moins cher a l'inscription finalement on paie presque aussi cher au fil du temps
Finalement le prix n'est pas moins cher que les autres assurances car ils vous attirent avec un prix de base forcément moins cher mais avec toutes les options qu'il faut payer en plus pour avoir plus de confort, le prix attractif n'est plus le même du tout....
A changé le montant des franchises en fil des années sans nous en informer par rapport au contrat de base, c'est pas honnête
Service client lamentable et incompétent.
Et du fait qu'il n'y a pas de bureau de proximité pour résoudre un litige, et donner un bon coup de poing sur le bureau pour rouspéter un peu et se faire entendre, on passe son temps à téléphoner au bout du monde et il y a des heures d'attente à chaque fois, à rédiger des courrier pour expliquer son problème et pour finalement s'entendre dire qu'ils ne changeront pas leur position et on reste avec notre injustice..... En plus aucune possibilité d'avoir en ligne un "vrai" responsable pour exposer son mécontentement. La seule solution ? prendre un avocat contre une compagnie d'assurance !!! ca va me couter plus cher que mon sinistre.....donc comme beaucoup de gens j'ai laissé tombé et je repars m'assurer ailleurs ou je serai mieux considérée et protégée.</t>
  </si>
  <si>
    <t>07/02/2017</t>
  </si>
  <si>
    <t>antoine-a-138609</t>
  </si>
  <si>
    <t>Je suis satisfait de la souscription sur internet simple et rapide
Le tarif est correct et de nombreuses options sont proposées
 A voir en cas de sinistre.....</t>
  </si>
  <si>
    <t>matthieu-f-117024</t>
  </si>
  <si>
    <t>Pour une 1er assurance, le prix est plus que correcte
Je ne peut pas juger de la qualité du servie, je n'y ai pas encore fait face
J'espère ne jamais avoir à utiliser les services proposer.</t>
  </si>
  <si>
    <t>grk-52927</t>
  </si>
  <si>
    <t>Nul, assiste ceux qui provoquent des accidents. Usent de diffamation et de calomnie. Bref avec la MAAF, leur conseil, c'est de provoquer des accidents et ils vous assureront et vous protègeront. Si vous êtes un mauvais conducteur, de mauvaise fois qui plus est, ils vous conseilleront des payer des faux témoins pour sous-tirer légalement de l'argent des polices d'assurances les autres usagers de la route</t>
  </si>
  <si>
    <t>02/03/2017</t>
  </si>
  <si>
    <t>othello01-51907</t>
  </si>
  <si>
    <t xml:space="preserve">Très mécontent de cette assurance Axa.
J'ai subi un sinistre copropriété immeuble le 05/12/2016. Mon assurance copropriété multirisques immeuble est chargée de quantifié les dommages subis par l'immeuble en copropriété et de m'indemniser.
J'ai montré les éléments probants, des photos des dégâts occasionnés. Les preuves de la responsabilité de la copropriété immeuble. 
Le responsable de mon dommage est l'assurance de la copropriété de cet immeuble.
Mon conseillé Axa m'a dit s'est pas la peine de revenir dans mon agence, je ne ferai rien concernant votre sinistre. 
J'ai dû obtenir des renseignements auprès d'une autre compagnie d'assurance et d'un avocat pour savoir ce que devais faire mon conseillé Axa.
Mon conseillé Axa est incompétent pour gérer un dossier.
Il trouve toutes les excuses pour ne pas nous indemniser.
J'ai fait une réclamation le 12/12/2016 auprès de la direction clientèle d'Axa assurance dont j'ai eu aucune réponse de leur part.
Je devez avoir un expert sur les lieux du sinistre pour chiffrer le montant des dommages à indemniser. 
Merci de traiter ma demande et de faire venir un expert sur les lieux du sinistre.  
</t>
  </si>
  <si>
    <t>galy80-105091</t>
  </si>
  <si>
    <t xml:space="preserve">Accueil agréable et très sympathique.
À l'écoute, prend le soin de faire les recherches demandées. 
Interlocutrice compétente, et professionnelle. 
Merci beaucoup encore à vous </t>
  </si>
  <si>
    <t>nat-98767</t>
  </si>
  <si>
    <t>le prix reste élevé après 2 sinistres responsables mais cependant moins cher qu' en agence. Difficile de trouver moins cher ailleurs. Les conseillers sont très courtois et d une patience exemplaire. Dossier réalisé et corrigé rapidement selon les informations données.</t>
  </si>
  <si>
    <t>14/10/2020</t>
  </si>
  <si>
    <t>alice-b-128873</t>
  </si>
  <si>
    <t>je suis satisfaite du service proposé par direct assurance. Je trouve ceci bien pour les jeunes conducteurs. simple et efficace.
je recommande cette assurance.</t>
  </si>
  <si>
    <t>mouligneaux-a-108503</t>
  </si>
  <si>
    <t>je suis satisfait du service ainsi que de la rapiditer du traitement de dossier, merci a lequipe l'olivier assurance pour vos competences, bon courage.</t>
  </si>
  <si>
    <t>fatima-lazim-92106</t>
  </si>
  <si>
    <t>Ok, bon tarif, service clientèle par téléphone laisse a désirer 
Je suis déjà cliente depuis plus de 3 ans et j'ai été très mal renseigné par votre téléconseiller</t>
  </si>
  <si>
    <t>24/06/2020</t>
  </si>
  <si>
    <t>weishaupt-m-139721</t>
  </si>
  <si>
    <t>Bonjour je suis déçu de payer 70€ de plus entre mon devis en ligne et votre conseillère juste en ayant changé la ville pour mon lieu de travail  
cordialement</t>
  </si>
  <si>
    <t>16/11/2021</t>
  </si>
  <si>
    <t>jm30-87723</t>
  </si>
  <si>
    <t xml:space="preserve">Malgré plusieurs sollicitations et une réclamation, je n'ai aucune nouvelle de la gestion de mon dossier en protection juridique : silence de l'avocat choisi et missionné par la responsable de mon dossier et aucune réaction de sa part malgré plusieurs messages envoyés et restés sans réponse. 
Où sont passées les valeurs mutualistes d'antan (le respect du sociétaire et la défense de ses intérêts) ? La qualité du service client s'est dégradée depuis la disparition du rôle des délégations locales qui préservaient le contact humain. Aujourd'hui tout se passe par téléphone avec un interlocuteur anonyme et pas toujours respectueux du sociétaire. Pour améliorer les choses, j'ai proposé d'évaluer les gestionnaires de dossier. Ce qui se fait aujourd'hui pour toutes les activités de service. Mais aucune réponse à ce jour.
</t>
  </si>
  <si>
    <t>28/02/2020</t>
  </si>
  <si>
    <t>celine-101311</t>
  </si>
  <si>
    <t xml:space="preserve">Cliente fidèle depuis plus de 17 ans et me voilà bien déçue.
Aucun sinistres responsables hormis des bris de glaces (comme tout le monde) toutes mes assurances chez eux, famille, deux voitures, maison et une moto.
Je tape un lièvre donc niveau responsabilité bof... Et voilà on a besoin d'eux et on se retrouve face à un mur ! Résultats= ma franchise plus élevée que les réparations. Évidemment je demande un geste de leur part et réponse négative. Bref merci de ma fidélité. </t>
  </si>
  <si>
    <t>11/12/2020</t>
  </si>
  <si>
    <t>nico-61764</t>
  </si>
  <si>
    <t xml:space="preserve">vous payer, vous complétez votre dossier auquel il manquera toujours un document,au bout d'un mois il s vous résilient pour un montant de 80 euros plus votre mois en cours plus les demi heure passées au tel 1 euros la minute avec des interlocuteurs outre mer et aucunes compétences en matières d'assurance. bonne chance à tous </t>
  </si>
  <si>
    <t>26/02/2018</t>
  </si>
  <si>
    <t>hong-56327</t>
  </si>
  <si>
    <t>Bonne mutuelle, remboursement rapide sous 4 jours en moyenne, service client rapide avec des conseillers aimables et réponse au devis en 2 jours. Site internet à redesigner peut-être mais complet pour effectuer la plupart des démarches et vérifier l'état de ses remboursements. Dans l'ensemble, bien satisfait de ma mutuelle.</t>
  </si>
  <si>
    <t>27/07/2017</t>
  </si>
  <si>
    <t>sophie84600-101734</t>
  </si>
  <si>
    <t xml:space="preserve">Lors de la suscription de mon contrat, la franchise n'était pas celle indiquée sur le devis. Pour la changer, j'aurai du payé un supplément, ce que j'ai refusé. 
Pour le renouvellement cette année, j'ai une augmentation de mon Tarif annuel de 50€ ... malgré cette année où les voitures sont restées dans les garages... dû à "la fréquence des sinistrés autour de chez vous, les vols concernants votre modèle de véhicule ou encore l'évolution du coût des réparations"... À bon entendeur, salut! </t>
  </si>
  <si>
    <t>21/12/2020</t>
  </si>
  <si>
    <t>lili-136855</t>
  </si>
  <si>
    <t>Aucune réactivité  !!! Incrite depuis le 1 octobre et toujours pas de carte tiers payant a telecharger ni reçu de mails ! C est honteux  ne réponds pas aux mails après mainte demande sur l envoi de ma carte l application ne fonctionne pas et enorme bug pour s identifier vraiment déçue de dette mutuelle 10 jours que j attends afin de me rendre chez mon médecin  aucune réponse de leur part inadmissible  !!!</t>
  </si>
  <si>
    <t>10/10/2021</t>
  </si>
  <si>
    <t>jean-noel-b-125483</t>
  </si>
  <si>
    <t>je suis très satisfaite de l'interlocuteur lors de notre entretien téléphonique, il a fait preuve de beaucoup de patiente, empathie de professionnalisme . Nous avons semble t'il conclu un bon rapport qualité prix . espérons que la suite sera au RV de nos espérances. BRAVO et Merci FARID</t>
  </si>
  <si>
    <t>lolotte3981-137960</t>
  </si>
  <si>
    <t>Mon père est décédé au mois de mai. J'ai envoyé le certificat de décès, délégation de porte fort, attestation d'hérédité etc. J'ai payé ses dernières factures et envoyé le tout à Néoliane le 15 juillet. Depuis, ils ont fait 3 fois le virement sur son compte (clôturé forcément) en sachant qu'ils ont mon RIB, vu qu'ils me l'ont demandé deux fois. Je les relance une fois par mois, pour leur laisser le temps de traiter le dossier mais c'est lamentable! Aux dernières nouvelles, ils ont envoyé un chèque le 7septembre...à son nom!!! Ce qui est totalement faut, vu que je n'ai rien reçu et que j'ai fait l'ordre de réexpedition pour le courrier.
Bref, aucun suivi et font tout ce qu'il est possible pour ne pas rembourser!</t>
  </si>
  <si>
    <t>samuel--g-126302</t>
  </si>
  <si>
    <t xml:space="preserve">Prix très attractif je recommanderais a des amis qui cherche un assureur 
Je vous contacterai ultérieurement pour ma moto qui est actuellement assuré à ma banque cordialement </t>
  </si>
  <si>
    <t>ezzat-e-130992</t>
  </si>
  <si>
    <t>Assurance au top qualité et prix reasonable service net simple  je recommande vivement direct assurance voilà merci pour toute cet simplicité et encore bravo</t>
  </si>
  <si>
    <t>rakatonjanahary-d-138839</t>
  </si>
  <si>
    <t>Je suis très déçue du suivi de dossier pour l'assurance d'un 2eme véhicule chez vous. J'ai eu 3 interlocuteurs sans finalisation du devis. J'ai du rappeler et perdre du temps à redonner toutes les informations.</t>
  </si>
  <si>
    <t>coeur-y-126485</t>
  </si>
  <si>
    <t>correct au niveau de l'inscription et des prix .
j'ai bien été pris en charge par le conseiller.j'ai bien été pris en charge par le conseiller.
a voir pour la suite</t>
  </si>
  <si>
    <t>ded47-54001</t>
  </si>
  <si>
    <t>tout va bien tant que vous n'avez pas de problème après cela se complique sérieusement et la MAIF devient vite une usine a gaz.. j'ai eu affaire a l'un de vos expert qui in finé m'a simplement affirmé que je n'avait pas eu d'accident. après 1 opération, une seconde de prévue et 8 mois d’arrêt dont 6 dans des douleurs terribles. c'est délirant.</t>
  </si>
  <si>
    <t>11/04/2017</t>
  </si>
  <si>
    <t>sebastien-t-114573</t>
  </si>
  <si>
    <t>je suis satisfait des contacts et renseignements fournis et de la qualité de la réponse.
pour le prix il me semble qu'il y a moyen de faire un geste pour les particuliers aya nt plusieurs véhicules et sans accidents depuis de nombreuses années</t>
  </si>
  <si>
    <t>julien-87339</t>
  </si>
  <si>
    <t>A fuir , 2 mois que j'attends le virement de mon assurance vie et rien....
Pour prendre tous vas bien mais pour rendre c'est le parcours du combatant...</t>
  </si>
  <si>
    <t>19/02/2020</t>
  </si>
  <si>
    <t>lina-b-133242</t>
  </si>
  <si>
    <t>je suis satisfaite du service… les prix me conviennent, les conseillers sont à l’écoute et  conseillent très bien en fonction de ce qu’on recherche…..</t>
  </si>
  <si>
    <t>17/09/2021</t>
  </si>
  <si>
    <t>bernadette-60488</t>
  </si>
  <si>
    <t xml:space="preserve">pour moi les services ne font pas leurs travail cela fait plusieurs fois que je les contactent ainsi que ma mutuelle actuelle es c'es toujours au même point je n'es pas plus envie que sa de donner mon opinion qui es déjà pas bonne du tout vis a vis de AG2R la mutuelle </t>
  </si>
  <si>
    <t>dams54-58358</t>
  </si>
  <si>
    <t xml:space="preserve">Actuellement client (326414), je n'ai pas reçu ma carter verte, après 4 appels, on me répond toujours que l'on va me la renvoyer, je reçois un mail confirmant ma demande en me disant qu'il faut attendre 3 ou 4 jours. Mais toujours rien, ils ne trouvent pas l'adresse postale mais ils arrivent bien à trouver l'adresse bancaire pour le prélèvement par contre. Maintenant je veux mon relevé d'information, en combien de temps ils vont réussir à me le procurer  </t>
  </si>
  <si>
    <t>christopher-h-105247</t>
  </si>
  <si>
    <t>très cher! plusieurs assurance sont beaucoup moins cher, nous envisageons partir ailleurs pour les même garanti avec des mensualités moindres et les même garanti voir plus selon certaines!</t>
  </si>
  <si>
    <t>pampu-50178</t>
  </si>
  <si>
    <t>la pire des banques ,pardons, des assurances.Toutes les réponses pour se deresponsabiliser.fuyer.............................................................................................................................................................</t>
  </si>
  <si>
    <t>22/04/2020</t>
  </si>
  <si>
    <t>axel-m-126708</t>
  </si>
  <si>
    <t>Je suis satisfait du service, clair et bien fait. Les prix sont abordable et la fonction de you drive me permet de bénéficier de réductions alors que je n'ai pas encore de bonus.</t>
  </si>
  <si>
    <t>bibi14-51127</t>
  </si>
  <si>
    <t xml:space="preserve">Victime d'un dégât des eaux le 19 août 2016, à ce jour je n'ai toujours pas eu de proposition d'indemnisation. Bien que relancé à plusieurs reprises, c'est le silence radio du côté de l'agent. Par contre pour vous faire souscrire des contrats, là pas de problème ! Si je n'ai pas de proposition rapidement, je porterais mes contrats à la concurrence. L'assuré est juste bon à payer les primes - </t>
  </si>
  <si>
    <t>10/01/2017</t>
  </si>
  <si>
    <t>hampau-c-134653</t>
  </si>
  <si>
    <t>2 fois devis sur internet peut pas etre finalize (+15 min)
+10 minutes avec consultant #1
+25 minutes avec consultant #2
Des questions pas claires etc ...
Processus TROP longue quand on est deja clients ...
Finalement tarrif plus haute a cause de .... ?!</t>
  </si>
  <si>
    <t>27/09/2021</t>
  </si>
  <si>
    <t>jp-114572</t>
  </si>
  <si>
    <t>Scandalisé par la gestion de sinistre. 
On vous donne un lien avec un conseiller qui est censé tout gérer. C'est le seul contact qui est donné. Or, pour le suivi du sinistre, il ne répond pas au téléphone ou est injoignable, et lorsqu'on laisse un message, il ne rappelle pas. 
Lors de la déclaration du sinistre, on vous donne également un lien vers un site de réparation qui est censé vous informer de l'avancement des travaux. Or, il y a des dates qui sont affichées de rendez-vous qui ne sont pas tenues, puis, elles changement de statut sans que je sache pourquoi !!. Ce suivi est fantaisiste car rien de ce qui est écrit n'est réalisé. 
Aucun moyen de contacter un service support ou autre, tous les appels à d'autres numéros  présentés par Pacifica vous demandent de rappeler le conseiller en charge qui lui ne répond pas ou bien, il y a 15 jours, il s'engage à vous répondre sous 48 heures et il ne se passe rien.
Pour un sinistre signalé en Janvier, je n'ai toujours aucun retour sur l'avancement du dossier, sa date prévisible de résolution.
Y a t'il un suivi chez Pacifica, un système d'escalade, une alerte sur des délais de non traitement ou d'avancement dans la gestion des sinistres ? 
C'est tout simplement incroyable et surréaliste !!</t>
  </si>
  <si>
    <t>taramis-l’eduen-135115</t>
  </si>
  <si>
    <t>Je suis venu à L’Olivier Assurance à la suite d’une expérience ubuesque avec mon ancienne assurance “Direct Assurance”. Leur incompétence et leur totale idiotie pour un banal traitement de changement d’adresse pendant le COVID, m’ont fait reconsidérer mes années en tant que client chez eux. Et je peux dire que l’Olivier, dès le début a mis la qualité de ses collaborateurs en Front Line. Disponibles, courtois et efficaces, ils ont réglés mes soucis avec DA et ils ont des tarifs imbattables.</t>
  </si>
  <si>
    <t>29/09/2021</t>
  </si>
  <si>
    <t>encolere-72498</t>
  </si>
  <si>
    <t>Tant que vous êtes en bonne santé tout va bien mais le jour où swisslife doit payer c'est une vraie catastrophe . Depuis janvier 2018, on m'a coupé ma pension d'invalidité en invoquant des excuses farfelues . Depuis , je suis en procès !</t>
  </si>
  <si>
    <t>16/04/2019</t>
  </si>
  <si>
    <t>samsy-66968</t>
  </si>
  <si>
    <t xml:space="preserve">Bonjour,Suite à un sinistre il mon d'indemniser sans devis au telephone vite fait bien fais  dans faire de devis et sans me dire à ce que j'avais droit c'est plus facile pour eux 921 euros. Ensuite 2 mois plus tard sinistre plus grave donc un expert passe ne monte pas sur le toit (polyexpert) rapport final je n'est pas fais de travaux au premier sinistres en degats des eaux.il m'a rien demander le jours même.  Donc il on mis 1mois 19 jours pour me dire ca ok pas de souci j'essaye avoir quelqu'un personne entre temps ca passe catastrophe naturel j'envoie la déclaration et la toujours rien .nous somme le 20/09/2018 le sinistre c'est passer le 13/06/2018 je vie avec des champignon sur ma tête avec 3 enfants je vais être obligée de faire les travaux seul merci Allianz avec la publicité mensongère 9 ans chez eux avec plusieurs contrats </t>
  </si>
  <si>
    <t>20/09/2018</t>
  </si>
  <si>
    <t>karr-104385</t>
  </si>
  <si>
    <t>Je ne recommande pas cette mutuelle,il faut appeler cinq fois de suite afin d'obtenir un conseiller,aucune réponse internet.On me promet une réponse à un devis de soins dentaires de semaine en semaine sans résultat,il devrait être autorisé de rompre un contrat à tout instant avec une telle compagnie!</t>
  </si>
  <si>
    <t>17/02/2021</t>
  </si>
  <si>
    <t>colombine6930-131198</t>
  </si>
  <si>
    <t>Facilité d'utilisation du site, et des personnes très efficaces et réactives.
Pour ce qui est de la mutuelle des très bon remboursements, des tarifs très raisonnables et des services au top.
très heureuse de ma mutuelle depuis 20 ans</t>
  </si>
  <si>
    <t>pipo-101088</t>
  </si>
  <si>
    <t xml:space="preserve">J'ai été  très mal reçue avec une jeune fille très insolente .Aucun sinistre pris en charge sur deux dégâts des eaux malgré une assurance avec toutes options.Par contre il vous disent que vous avez eu plusieurs sinistres alors qu'ils ne sont pas intervenus. </t>
  </si>
  <si>
    <t>11/02/2021</t>
  </si>
  <si>
    <t>ray-85841</t>
  </si>
  <si>
    <t xml:space="preserve">en décembre une commerciale me fait une proposition que je signe et en janvier une autre qui ne comprend rien à ma date d aquisition du véhicule veut me proposer un autre contrat plus cher sous le prétexte que la date de mise en circulation du véhicule est antérieure à ma date d achat de celui ci n importe quoi alors que j ai reçu de leur part en décembre ma carte verte pour un an    inouï  </t>
  </si>
  <si>
    <t>14/01/2020</t>
  </si>
  <si>
    <t>pascaline-j-122868</t>
  </si>
  <si>
    <t>Très bien assurée ,la qualité du service client est très satisfaisante, les prix sont très biens ,je recommande cette assurance à tout le monde. Je suis contente d'être assurée ici.</t>
  </si>
  <si>
    <t>denden-10588</t>
  </si>
  <si>
    <t>auto endommagé parking sans tiers assure tt risques bonus maxi</t>
  </si>
  <si>
    <t>26/11/2018</t>
  </si>
  <si>
    <t>famille-d-107190</t>
  </si>
  <si>
    <t xml:space="preserve">Les prix sont à hauteur du service rendu. Un abonnement pas cher pour une couverture très très minimaliste. En cas de besoin, la prise en charge ne permet pas d'être satisfait. </t>
  </si>
  <si>
    <t>amandine--112868</t>
  </si>
  <si>
    <t xml:space="preserve">Une belle brochette d’incapables, et d’incompétents ! A FUIR !!! 
Incapable de se coordonner pour renseigner le client, pour résilier une assurance chez eux faut se lever tôt le matin ! Parce que vous en avez pour des lustres ! Un coup faut faire un mail de résiliation, un coup faut envoyer un papier manuscrit par mail en pièce jointe, un coup faut leur envoyer en recommandé! Une assurance super quand on en a pas besoin ! Pour le reste ils sont NULLES !!! </t>
  </si>
  <si>
    <t>06/05/2021</t>
  </si>
  <si>
    <t>paul-91086</t>
  </si>
  <si>
    <t>très mauvais service client</t>
  </si>
  <si>
    <t>isabelle-s-125400</t>
  </si>
  <si>
    <t xml:space="preserve">Bonjour j'ai validé un code promo AUTO80 qu'en est il car je ne vois pas de remise sur les cotisations.EEn attendant une réponse je ne peux vous donner un avis de satisfaction </t>
  </si>
  <si>
    <t>franck-b-121941</t>
  </si>
  <si>
    <t>Très satisfait du service et des tarifs, très bon contact avec la conseillère.
Je ferais partager a mon entourage.
Encore merci pour toutes les informations.
Bonne journée</t>
  </si>
  <si>
    <t>ram-128978</t>
  </si>
  <si>
    <t xml:space="preserve">Je suis assuré a tous risques plus pâque sérénité pendant plus de 4 ans et le jour où j'ai tombé en panne dans endroit nul par avec ma famille j'ai appelé mon assurance il mon dit on peut pas vous prendre en charge car vous êtes sur une route nationale et la panne elle est assimilé 
Je suis très déçu </t>
  </si>
  <si>
    <t>21/08/2021</t>
  </si>
  <si>
    <t>chris63-76443</t>
  </si>
  <si>
    <t>Bonne assurance tant que l'on a pas besoin de ses services... Les prix sont bas, il est vrai, mais chaque intervention de leur part est assortie de franchises exorbitantes. A quoi bon payer légèrement moins cher à la souscription, si c'est pour payer + cher à l'usage?!</t>
  </si>
  <si>
    <t>03/06/2019</t>
  </si>
  <si>
    <t>jose-93773</t>
  </si>
  <si>
    <t>Un petit peu long tout de même comme questionnaire avec beaucoup d’informations personnelles de demandées dans un but incertain. Les tarifs finaux sont par contre très compétitifs</t>
  </si>
  <si>
    <t>11/07/2020</t>
  </si>
  <si>
    <t>atipa-r-124972</t>
  </si>
  <si>
    <t>je suis satissefait des services de l olivier assurance et je recomande rai l assurance oliviers a mes proche, conseillé tres respectueux explication claire</t>
  </si>
  <si>
    <t>chris-97239</t>
  </si>
  <si>
    <t>Je suis satisfaite de la mutuelle sante de la Mgp. Les conseillers telephoniques sont aimables et repondent tres vite à la demande. Rien a redire sur la Mgp</t>
  </si>
  <si>
    <t>beatrice-49848</t>
  </si>
  <si>
    <t>Je suis très très satisfaite des prix et de l accueil téléphonique je fais une économie en regroupant  mes contrats de plus de 50 pour cent de mon budget</t>
  </si>
  <si>
    <t>24/06/2021</t>
  </si>
  <si>
    <t>ali-59303</t>
  </si>
  <si>
    <t>A FUIR !!!! apres la vente du vehicule le montant d'assurance na jamais ete rambourse.suite a une sinistre non responsable apres les reparation ça fait 4 mois et je toujours pas de reglement de la facture ... Soit disent "je il faut attendre "</t>
  </si>
  <si>
    <t>timothee-i-102662</t>
  </si>
  <si>
    <t>Bonjour, a mon avis on bascule trop vite en catégorie 2, un épuisement du au travail, n'est en rien un risque similaire au policier qui travaille en zone sensible. Le questionnaire est trop long et fastidieux. et il reste des cas de figure non pris en compte par le site (ce qui est d'autant plus étrange sue Zen 'up fonctionne uniquement en ligne) c'est que les organismes bancaires uniquement web ne sont pas répertoriés, lors du questionnaires signature...</t>
  </si>
  <si>
    <t>mamie-cocoon--98721</t>
  </si>
  <si>
    <t xml:space="preserve">La macif n a pas voulu prendre en charge la casse de lunettes de ma mère âgée de 89 ans. 
LORSQUE VOUS AVEZ 75 ANS AUCUN DOMMAGE NE PEUT ÊTRE PRISE EN CHARGE PAR LA MACIF. HONTEUX !!!! ET POURTANT ELLE PAIE SON ASSURANCE SANS DIMINUTION </t>
  </si>
  <si>
    <t>13/10/2020</t>
  </si>
  <si>
    <t>francis58-87517</t>
  </si>
  <si>
    <t>INCROYABLE!!!... Impossible d'avoir le moindre renseignement fiable sur le suivi de mon dossier de sinistre qui perdure depuis plusieurs mois sans que la macif ne m'informe de quoi que ce soit!!!
Esprit mutualiste inexistant, que du pipo marketing!!!!
Surtout n'adhérez pas à la macif car ils ne sont vraiment pas ou plus compétents du tout!!! Ils se foutent royalement de leurs sociétaires qu'ils abandonnent sans honte!!!!!
Si j'avais pu noter avec zéro étoile, je l'aurais fait!!!!.. Une étoile, c'est déjà beaucoup trop!!!</t>
  </si>
  <si>
    <t>24/02/2020</t>
  </si>
  <si>
    <t>bubuu-93540</t>
  </si>
  <si>
    <t>Augmentation des cotisations annuelles sans aucun sinistre..  presque 10€/mois de plus soit une augmentation de 100€ par an sans avoir eu aucun problème ..</t>
  </si>
  <si>
    <t>08/07/2020</t>
  </si>
  <si>
    <t>gaetan--c-133113</t>
  </si>
  <si>
    <t xml:space="preserve">Rapide, simple, efficace, le site très intuitif !
Tarif les plus correct que j'ai pu trouvé comparé à d'autres assurances ...
Du coup, ici, tarif et couverture à très bon tarif !
Je recommande !
</t>
  </si>
  <si>
    <t>16/09/2021</t>
  </si>
  <si>
    <t>has-48673</t>
  </si>
  <si>
    <t>Bonjour, 
assurances Assez rapide pour la souscription.
les garanties sont bonne par contre le service client est souvent injoinable par email ou par téléphone.
En effet cela fait une semaine que je demande une relevé d'information me concernant. 
malheureusement aucune réponse de leur part. 
Mon numéro client est le suivant 230393.
Cela me chagrine car j'avais une bonne opinion de cette assurance jusqu'à aujourd hui , j,étais meme pret à la recommandé à mon entourage mais....</t>
  </si>
  <si>
    <t>06/11/2017</t>
  </si>
  <si>
    <t>jacquesson-p-113613</t>
  </si>
  <si>
    <t>Je suis satisfait du service.
Inscription facile et budget abordable en comparaison des autres assureurs dit "classiques" et "historiques".
Je recommande en particulier pour les jeunes conducteurs et premières assurances.</t>
  </si>
  <si>
    <t>13/05/2021</t>
  </si>
  <si>
    <t>pericoloso-68125</t>
  </si>
  <si>
    <t xml:space="preserve">Compagnie de très mauvaise foi. Suite à un décès très difficile pour les ayant droit d'obtenir le paiement du capital. Ils demande des documents tout un tas de documents inutiles pour faire trainer les choses
</t>
  </si>
  <si>
    <t>gbenben-87730</t>
  </si>
  <si>
    <t>Un dégât des eaux à 1 mois de l'accouchement de ma femme : le plafond goutte dans le salon après avoir fissué pendant 2 semaines. On a tout de suite appelé la MAIF mais cela n'avance pas et sans raison valable... Ils ont mandaté une société (sans nous laisser le choix) pour venir diagnostiquer la fuite depuis plus de 2 semaines. Le plombier de cette société est venu assez vite mais depuis tout est bloqué car la MAIF dit ne pas avoir reçu le compte rendu. Je comprends donc qu'ils ne communiquent pas entre eux et surtout que la MAIF n'est pas du tout pro-active vis a vis de cette société qu'ils ont eux-mêmes (la MAIF) choisie! Et ce malgré nos relances quasi quotidiennes en répétant à chaque fois que nous avons de l'eau qui coule du plafond et que nous allons avoir un nouveau né chez nous dans 4 semaines...
Aberrant pour une société qui se revendique meilleur service client de France!</t>
  </si>
  <si>
    <t>gael-t-114784</t>
  </si>
  <si>
    <t>Content que ma fidélité me donne des prix avantages, j'en attendais pas moins ! Je salue ces méthodes dans un climat où les assurances cherchent plus à obtenir de nouveaux client au lieu d'essayer de les garder. Bravo !</t>
  </si>
  <si>
    <t>25/05/2021</t>
  </si>
  <si>
    <t>aliou-n-132108</t>
  </si>
  <si>
    <t xml:space="preserve">Je suis satisfait, car c'est rapide, moins cher, et tout va bien quoi. Quand ma femme aura son permis , elle assurera sa voiture chez vous. 
Cordialement </t>
  </si>
  <si>
    <t>elodie-p-133143</t>
  </si>
  <si>
    <t>Je suis satisfaite du service , disponible au téléphone rapidement, prise en charge rapide. Pas besoin de se déplacer pour mettre en place un contrat , facilités de paiements.</t>
  </si>
  <si>
    <t>isabelle-m-122499</t>
  </si>
  <si>
    <t xml:space="preserve">Je ne suis pas satisfaite des prix : mon contrat a augmenté de 200€ depuis sa souscription il y a 4 ans alors que j'ai 50% de bonus et 0 sinistre avant aujourd'hui. </t>
  </si>
  <si>
    <t>robert-joseph--106798</t>
  </si>
  <si>
    <t>Courtoise , rapide et efficace merci a Angélique d'avoir résolu mon problème avec professionnalisme .
Moins de 5mn entre la prise en charge de mon appel et la résolution de mon problème .
Top .</t>
  </si>
  <si>
    <t>cr-139614</t>
  </si>
  <si>
    <t xml:space="preserve">Je suis satisfaite de la réactivité et la qualité de service de Pacifica. Certes, les tarifs chez eux sont élevés, mais les résultats sont très satisfaisants. La déclaration de est rapide et facile (sur leur site), le traitement est très rapide (sous 72 heures pour un dégât des eaux lié à une infiltration du toit) et l'accueil du service Sinistre est agréable, contrairement à certains assureurs. A travers le traitement des sinistres que l'on juge l'efficacité et la qualité de service d'un courtier/assureur. 
 </t>
  </si>
  <si>
    <t>nat34290-116894</t>
  </si>
  <si>
    <t xml:space="preserve">Les prix sont attractifs certes.  Mais au moment de payer  ils ne sont pas au point.  Et je peux en témoigner.  Ils ont toujours du retard.  Quand il vous manque un papier  ils vous envoient un courrier au lieu de un mail  ce qui prend encore plus de retard.  Par contre ils ne sont jamais en retard pour prélever leur mensualités ni pour relance suite à défaut de paiement.  Je ne recommande absolument pas cette mutuelle.  Ma fille et moi-même changerons dès que nous le pourrons </t>
  </si>
  <si>
    <t>13/06/2021</t>
  </si>
  <si>
    <t>hubert-s-123632</t>
  </si>
  <si>
    <t>Je suis satisfait du service et les prix me conviennent parfaitement. Si besoin j'espère pouvoir par la suite modifier mon contrat avec des options supplémentaires. Service simple et efficace</t>
  </si>
  <si>
    <t>fabrice-b-133042</t>
  </si>
  <si>
    <t>Un peu cher vu mon anciennete de permis et le fait que je n.ai jamais eu d accident.
Dommage je ne pas prendre en compte cela. 
Quand meme bien le systeme de borne</t>
  </si>
  <si>
    <t>dambricourt-f-135398</t>
  </si>
  <si>
    <t xml:space="preserve">Je suis satisfait des services proposés..je suis prêt à en parlé autour de moi avec mes amis de vos prestations les services sont très rapides et bien expliqué </t>
  </si>
  <si>
    <t>justice-79093</t>
  </si>
  <si>
    <t>Client depuis des dizaines d'années, j'ai eu des mésaventures  
Accident: jeune fou qui grille un feu avec délit de fuite, évidemment pas de Constat Amiable, plainte commissariat, résultat 50% de responsabilité 
Autre accident, accident non-responsable, VRADE sous évalué, j'ai du en être de ma poche pour un véhicule identique, modèle, année, Km
et depuis 3 jours idem, hélas un autre accident non responsable, j'ai peur de la VRADE, de la pression sur l'expert définie par les calculs de la Macif et consorts pour payer le moins possible, qui va encore me faire l'aumône d'un prix sans espoir de racheter un véhicule identique au vrai prix du marché d'un véhicule très fiable mais rare
si cela est encore le cas : bye la Macif et mes 2 véhicules avec bonus 50% bon conducteur</t>
  </si>
  <si>
    <t>10/09/2019</t>
  </si>
  <si>
    <t>fred55600-11156</t>
  </si>
  <si>
    <t xml:space="preserve">Un véhicule de prêt après 7j. d'insistance alors que j'y ai droit. Le véhicule n'est pas à l'endroit indiqué et fait perdre une demi-journée plus 2h de travail à mon épouse ... Pas d'excuses d'Axa. Au final ce véhicule m'est facturé par Hertz 142 Euros qui indique une erreur de communication avec Axa et, au passage, se sert sur ma CB. Axa indique que la CB sert pour la caution et reste silencieuse sur le remboursement ...
Nous ne sommes la que pour payer. </t>
  </si>
  <si>
    <t>11/12/2018</t>
  </si>
  <si>
    <t>frakkas-50573</t>
  </si>
  <si>
    <t xml:space="preserve">Assurance à éviter si vous avez un jour besoin d'assistance...
Véhicule assuré tous risques, nous tombons en panne hier en Corse et arrivons péniblement jusqu'à un garage.
Aujourd'hui appel à l'assistance pour être pris en charge car sur la voiture plus de 7000euros de réparations que nous ne ferons pas car cela dépasse la valeur du véhicule.
Et comme nous ne faisons donc pas de réparation aucune prise en charge, nous sommes largué à 600km de chez nous avec 3 enfants à 2 jours de Noël sans solution !!!
Sachez donc qu'avec Olivier Assurance si votre véhicule tombe en panne et que vous n entamez pas les réparations tout de suite ou que celle-ci coute trop cher et que vous ne les faites pas vous n'aurez aucune assistance et resterez sur le carreau, du jamais vu depuis que je suis assuré , c'est une honte... </t>
  </si>
  <si>
    <t>22/12/2016</t>
  </si>
  <si>
    <t>vharlotte-v-130040</t>
  </si>
  <si>
    <t>je suis satisfait : pratique, simple accessible à tous me permet de faire un comparatif immédiat et rassurant au demeurant ; merci à vous pour toute cela</t>
  </si>
  <si>
    <t>florianp-70411</t>
  </si>
  <si>
    <t xml:space="preserve">Bonjour j ai souscris une assurance Premium pour mon boulgogue français il y à 4 mois afin d'être serein Aujourd hui mon chien fait de l épilepsie je m en sors avec 1500 euros de frais et aucune prise en charge par ECA  Soyez bien vigilant lors de votre inscription car beaucoup de maladies ou opérations connues chez les animaux ne sont pas pris en charges Demain je dois faire opérer mon bouledogue du voile du palais ainsi que la sténose des narine mais tous les frais ici aussi seront à ma charge Sachez que si vous souhaitez résilier votre assurance avant la date anniversaire dans la première année de souscription vous pouvez tout simplement vendre votre animal de compagnie à votre conjoint ou une personne de votre famille </t>
  </si>
  <si>
    <t>21/01/2019</t>
  </si>
  <si>
    <t>raphy-104399</t>
  </si>
  <si>
    <t>Toujours une bonne écoute, des conseillers disponibles qui prennent le temps de répondre aux questions. Je suis assez satisfaite de l ma mutuelle MGP adhérente depuis 30ans !!!</t>
  </si>
  <si>
    <t>jean-michel-g-122050</t>
  </si>
  <si>
    <t>Bon rapport qualité - prix.
Personnel agréable, disponible, très professionnel, tant en Agence qu'au téléphone que sur le site.
Réactivité et rapidité de traitement des dossiers que ce soit en matière de souscription qu'en matière de sinistre.
Merci</t>
  </si>
  <si>
    <t>smug-76677</t>
  </si>
  <si>
    <t xml:space="preserve">Depuis le 1er Mars, j'attends toujours ma rente trimestrielle. Je me heurte à un mur. 10 coups de téléphone au service concerné, toujours la même réponse : problème informatique dù au prélèvement de l'impôt à la source. Téléph au siège : même réponse. Mon courrier recommandé avec AR sans suite.
CNP pas sérieux  et arrogants. Rencontrez-vous le même problème pour les retraités du Crédit Populaire ? </t>
  </si>
  <si>
    <t>11/06/2019</t>
  </si>
  <si>
    <t>styx-138435</t>
  </si>
  <si>
    <t>Harmonie Mutuelle tente volontairement de mal vous rembourser en se disant que vous ne verrez pas.
Mon dentiste m'a confirmé leur pratique. Ils se cachent derrière l'erreur mais ce n'en est pas une. C'est volontaire.
Ils m'ont fait le coup deux fois. La première a été rattrapé, mais actuellement ils me doivent environ 200€. J'attends leur réponse.</t>
  </si>
  <si>
    <t>nico-96614</t>
  </si>
  <si>
    <t xml:space="preserve">Suite à un orage et les dégâts électriques occasionnés, on a bien été pris en charge pour remplacer nos appareils endommagés, au point de vue de la rapidité des remboursements </t>
  </si>
  <si>
    <t>24/08/2020</t>
  </si>
  <si>
    <t>fd-63363</t>
  </si>
  <si>
    <t xml:space="preserve">Service gestion des sinistres pitoyable pour un remboursement de 55 euros après un accident on me demande des justificatifs alors que j'ai transmis les factures du reste à payer (les frais avancé par moi) il faut maintenant le décompte de la sécu au cas ou j'aurais voulu volé la maif je précise que tout les autres frais ont étaient pris en charge par une autre mutuelle Seul les soins en sortie hôpital de 55 euros qui correspondent au reste a charge du patient après le paiement de notre sécu d'une partie importante des soins
Maintenant il faut absolument remplir un tableau aussi J'ai du mal a comprendre cet excès pour 3 factures il suffit de reporter les 3 montants dans le tableau mais il faut que ce soit moiiii qui le fasse Voila  la maif assureur militant houaaa Autrement dit faites traîne et la grande majorité se découragerons Signé les gestionnaires </t>
  </si>
  <si>
    <t>18/04/2018</t>
  </si>
  <si>
    <t>mullenbach-n-110062</t>
  </si>
  <si>
    <t>Dès la souscription du contrat, je me rend compte que le code de parrainage n'a pas été pris en compte suite à une erreur informatique. Malgré mes appels au standards, rien n'a été mis en place pour pallier ce problème de votre part. Du coup, 20 minutes après la signature, première galère et première déception. Ca aura été rapide...</t>
  </si>
  <si>
    <t>chris-78150</t>
  </si>
  <si>
    <t>A fuir!lettre de relance après résiliation.tout est fai pour embrouiller et récupérer de l'argent:lettres de relance, menace contencieux,quand on appel:y faut pas en tenir compte, c bien résilié</t>
  </si>
  <si>
    <t>02/08/2019</t>
  </si>
  <si>
    <t>barrale-a-117026</t>
  </si>
  <si>
    <t>Bons Prix au commencement, je viens de m'inscrire pour le moment donc j'attends de voir si cette agence d'assurance vaut vraiment bien le coup. A voir par la suite!</t>
  </si>
  <si>
    <t>stephane3-99280</t>
  </si>
  <si>
    <t>Depuis plus de 20 ans chez AMV, toujours professionnel et humain...
Les bons renseignements  les bons tarifs. Réactivité quand aux réajustements des contrats. 
Tout bien
Merci</t>
  </si>
  <si>
    <t>lulu13555869-89124</t>
  </si>
  <si>
    <t>Credit Mutuel et CIC on votés pour une aide aux entreprises qui on une perte d'exploitation et vous???? toujours rien! Je change d'assureurs !
Crédit mutuel ont fait bien plus que allianz , ils ont contribué également à la solidarité, et en plus ils aident leurs sociétaires en leur donnant un forfait pour la perte d'exploitation,, je vais résilier de chez allianz pour aller au crédit mutuel qui sont bien plus solidaire pour leur sociétaires .</t>
  </si>
  <si>
    <t>matsac-86054</t>
  </si>
  <si>
    <t xml:space="preserve">Suite à un sinistre vol, le véhicule est retrouvé et là commence une guerre interminable avec les experts et eurofil, pour le remplacement des barillets, aucune communication, sentiment de suspiction d'escrocrie de notre part et j'en passe, plus d'un mois de galère pour en arriver à un abandon de ma part car la franchise était quasiment plus élevé que les réparations... décevant, nous sommes bien assuré jusqu'à ce qu'il nous arrive une tuile !!! </t>
  </si>
  <si>
    <t>emmanuel-d-112724</t>
  </si>
  <si>
    <t>je suis ravis dun service c'est simple et pas chère et c'est facile pour s'assurer.
je recommande grandement cette assurance...
et en plus c'est une des moins chère pour la moto</t>
  </si>
  <si>
    <t>05/05/2021</t>
  </si>
  <si>
    <t>aucun-137583</t>
  </si>
  <si>
    <t>Prestation qui manque de relation humaine, il faut de la pub pour l'assurance voiture, mais aucune relance de leurs part.
Prix des prestations satisfaisante. 
Pas d'accident, aucun litige, donc je ne peux pas savoir, leurs retour à ce sujet. 
Erick</t>
  </si>
  <si>
    <t>ro-85873</t>
  </si>
  <si>
    <t>Mutuelle très nul ne rembourse qu'à peine
Plusieurs mois que je relance pour ajouter mon bébé à la mutuelle et le pire impossible de résilier avant la date d'anniversaire. 
Il faut que je me sauve de cette mutuelle</t>
  </si>
  <si>
    <t>ali-l-107466</t>
  </si>
  <si>
    <t xml:space="preserve">pour l instant tout va bien. en tant qu ancien client nous n avons jamais eu de probleme. la receptionniste est tres accueillante. et tres patiente .
</t>
  </si>
  <si>
    <t>pouet-97477</t>
  </si>
  <si>
    <t xml:space="preserve">Bonjour , début 1990 un conseiller axa m'a proposé une assurance vie que j'ai souscrite me certifiant de bon rendement .En 2002 j'ai eu la visite d'un nouveau conseiller qui m'a proposé de modifier mon contrat car il m'a affirmé que mon ancien conseiller n'avait pas fait son travaille et que je n'avais fais aucun bénéfices , alors que lui était vraiment compétent et qu'avec lui j'allai vraiment gagner de l'argent . Il me suffisait juste de modifier mon contrat ce qui m'a coûté 650€ de frais . En repartant il m'a promis que l'on se reverrai au moins une fois par an pour faire le point mais bien sur , de belles promesses non tenues car je ne l'ai jamais revu . En juillet 2017 mon contrat était arrivé à son terme . Je voulais récupérer mon argent , soit plus de 20000€ . J'ai donc pris rdv avec le conseiller de l'époque . Il s'est déplacer à mon domicile et a passer 1 heure à me convaincre que je ferai une énorme erreur de reprendre mon argent alors que lui pouvais me proposer un placement à 3% sans aucun frais et disponible à tout moment .Bien sur je n'ai jamais eu un euro de bénéfice .  Je lui avais pourtant dit que j'aurai rapidement besoin d'argent parce que je venais de perdre mon travail , de divorcer , de déménager et que j'avais 3 enfants à nourrir . Il n'a pas tenu compte de ma situation et de mes demandent en me faisant souscrire sur tablette un contrat éxcellium avec 4,85% de frais et de l'argent bloqué . Je me suis aperçu de cela quelques jours après en recevant mon contrat par courrier . Puis j'ai reçu un contrat famille et un contrat dépendance qu'il m'avait proposé et auquel je m'était opposé lors de notre rdv . Je me suis plaint auprès d'AXA qui m'a envoyé deux inspecteur à mon domicile  . Ils avaient retrouvé les deux derniers contrat et on a pu vérifier ensemble que ce n'était pas mon écriture et encore moins ma signature . Conclusion , c'était mon conseiller qui avais souscrit ses 2 contrats dans mon dos . Les 2 inspecteurs on annulé ses deux contrats et mon rembourser les cotisations , mais ils on refusé d'annuler le contrat excelium qui ne me correspondait pas et que j'avais souscrit sur la base du mensonge et de l'incompétence de ce conseiller  A croire que axa est vraiment dans le besoin et qu'il n'y a aucune humanité dans cette compagnie . AXA avais mon argent et je n'avais rien à dire , je devais subir et c'est tout . On m'avais mentit mais peu importe . Au cas ou j'aurai du mal à nourrir mes enfants il y a les restos du coeur . Merci Coluche ... Bien entendu , il n'y a eu aucun dialogue possible avec cette compagnie . Absolument toutes les personnes que j'ai pu contacter on défendu leur  conseiller , c'était moi le fautif , fautif d'avoir fais confiance à axa . Puis axa prenais plaisir à m'envoyer des mails en me disant que j'avais choisit un placement à risque , alors que tout venais de leur conseiller . Mais chez axa il ne veulent pas assumer . Pour info je ne connais pas leurs produit et je n'y connais rien à la bourse , donc pourquoi j'aurai choisit un placement pareil si je n'avais pas eu à faire à un de leur conseiller ? Puis un nouveau conseiller s'est présenté à la maison pour faire le point  . Celui ci aussi a soutenu son collègue . C'est bon de travailler chez axa , il y a un bon esprit d'équipe , surtout quand ils profitent de votre argent et que cela vous met dans la mouise .Le nouveau conseiller voulait que je reprenne l'argent de mes enfants que j'avais arriver à leurs placer avec bien du mal sur des comptes à la caisse d'épargne , pour les replacer chez axa . Je devais juste  commencer à payer des frais de dossier pour chaque compte que j'aurais ouvert (environ 150€ par compte soit 450€ au total ). Ils n'en on jamais assez chez axa car tout compris j'ai déjà perdu plus de 2000€ avec cette compagnie et franchement j'aurai préféré les avoir sur mon compte plutôt que ce sois axa qui me les prennent , car aujourd’hui c'est très compliquer pour payer les études de mes enfants , mais ce n'est pas le problème d'axa qui s'en moque bien . Ils on fais leur job , vendre des contrats .  Comme quoi même avec de belle publicité à la télé , de belle pancartes sur le mur de leurs agence , la confiance et la satisfaction du client ne son pas les priorités chez axa .On nous conseille pourtant de faire confiance aux agences qui on pignon sur rue pour être sur de ne prendre aucun risque , mais ce n'est pas toujours gagné . Je suis client depuis toujours à la même banque et je n'ai jamais eu le moindre souci avec . J'aurai du placer mon argent à ma banque .En faisant confiance à axa je ne m'attendait pas à autant de problèmes . Je pensait avoir à faire à des gens sérieux , plus professionnel et plus compétent , avec un cœur . J'espère maintenant que axa n'ira jamais importuner mes enfants quand ceux ci seront plus grand et qu'ils travailleront , car je pense qu'axa s'est assez amuser avec moi et qu'il mon fait perdre assez d'argent , qu'ils choisissent d'autres cibles .Arrêter de remuer le couteau dans la plaie en m'envoyant des propositions de placement , vous m'avez causer assez de souci  . Cela fait 3 ans que je ne dors plus à cause de vous </t>
  </si>
  <si>
    <t>16/09/2020</t>
  </si>
  <si>
    <t>juliame75-123052</t>
  </si>
  <si>
    <t>J'aurais depuis plus de 35 ans à la MAIF, j'ai rencontré de graves problèmes dans la gestion d'un dégât des eaux qui a duré plus de cinq ans, dont deux en raison d'une erreur manifeste de la MAIF. En outre, il m'avait été promis une indemnisation que j'attends toujours… Tout cela est tres décevant!</t>
  </si>
  <si>
    <t>moosh-63597</t>
  </si>
  <si>
    <t>j'ai Souscrit très rapidement,le  site internet est vraiment très facile à utiliser .</t>
  </si>
  <si>
    <t>26/04/2018</t>
  </si>
  <si>
    <t>eric-p-108547</t>
  </si>
  <si>
    <t>J'aurai aimé changer mon contrat pour avoir une cotation au kilomètre, ce qu'un de vos concurrent fait pour moins cher mais le conseillé ne m'a pas envoyé le devis et je dois valider mon assurance sous deux jours</t>
  </si>
  <si>
    <t>mm-97266</t>
  </si>
  <si>
    <t xml:space="preserve">
Sociétaire Maif depuis plus de 30ans pour des contrats, habitation, véhicules , accidents domestiques, sans jamais un sinistre responsable. Impactee par un sinistre je suis très déçue par leur manière, leur manque d'écoute, de réponses, de considération et de solutions constructives. Les conclusions d'expertise sont inadaptées avec une indemnité proposée ne permettant pas de refaire les travaux. Elles démontrent le minimalisme de la prise en charge dans l'ignorance des éléments factuels photographiques sans remise en cause, nous contraignant vraissemblablement à la saisie de la justice. Le montant du sinistre n'est pas à la hauteur des préjudices relevés et je ne comprends pas pourquoi la MAIF s'obstine à ne pas reconnaître des propos erronés d'experts sans maitrise des contrats MAIF que l'on doit leur expliquer, des oublis, des abberations, et des erreurs d'appréciation qui renforcent esprit de questionnement et ressenti de volonté de nuire aux intérêts de leurs sociétaires. Ils sont persuadés d'être a l'écoute, mais ils ne dérogent pas à une démarche destructive, se moquant ainsi de leurs sociétaires, de leurs clients. On est loin de leurs revendications mutualistes mais on est dans de vrai commerce de bas étage.</t>
  </si>
  <si>
    <t>09/05/2021</t>
  </si>
  <si>
    <t>crelud62-63905</t>
  </si>
  <si>
    <t xml:space="preserve">Bon suivi.
A l'écoute.
Disponible pour donner plus d'explications................................................................................................................................
</t>
  </si>
  <si>
    <t>eekey-66758</t>
  </si>
  <si>
    <t>A EVITER ABSOLUMENT!De loin la pire mutuelle!!!!! Ils chipotent pour les remboursement et essayent tout pour ne pas rembourser!!! J'ai plusieurs contrats que je vais resilier sur le champs et  je pars de ce pas !!! Les ostéopathe à 60 euros la consultations non remboursés et j'en passe. Mais par contre pour les prélèvements bizarrement ils ne tardent pas!!! Avec eux c'est fini et je passerai le message pour en informer de potentiels adhérents! PLUS JAMAIS</t>
  </si>
  <si>
    <t>11/09/2018</t>
  </si>
  <si>
    <t>kyahou-79964</t>
  </si>
  <si>
    <t>Client depuis plus de 20 ans(habitation,moto,voiture,enfant,...)nous avons subi une tempête qui a fait des dégâts sur notre toiture et dépendance.un expert est passé au bout d'un mois et malgré l envoi de plusieurs devis aucune nouvelle .c est silence radio depuis maintenant 2 mois malgré mes relances répétées.Nous sommes très mécontents.a fuire!!!!!</t>
  </si>
  <si>
    <t>12/10/2019</t>
  </si>
  <si>
    <t>lionel-d-115570</t>
  </si>
  <si>
    <t>aurait mérite un geste commercial que j avais demandé pour une première souscription c est dommage .... les conseillers qui répondent se retranchent derrière non je n ai pas led roit de faire un geste et , plus fort encore, la semaine dernière vous auriez eu 40 euros de remise mais pas cette semaine, il faudra attendre la prochaine promotion, ... C est assez original pour attirer le chaland ....</t>
  </si>
  <si>
    <t>jp37-80163</t>
  </si>
  <si>
    <t>client depuis plus de 10 ans Agence Matmut av.Maginot Tours nord.</t>
  </si>
  <si>
    <t>18/10/2019</t>
  </si>
  <si>
    <t>jowelle-56823</t>
  </si>
  <si>
    <t xml:space="preserve">ayant souscrit une assurance vie à l'armée il y a 4 ans et ayant quitté l'armée, j'envoie mon courier de résiliation en août et on me répond qu'on ne peut pas résilier avant le 30 novembre ?????!!!!!! SUPER encore 4 mois à payer 50€ par mois en touchant un smic !!! </t>
  </si>
  <si>
    <t>23/08/2017</t>
  </si>
  <si>
    <t>carolina-s-133159</t>
  </si>
  <si>
    <t xml:space="preserve">Je suis satisfait du service des prix et de la facilité de traitement dans les démarches
je n'ai pas encore eu besoin de remboursement d'assurance, heureusement
</t>
  </si>
  <si>
    <t>thibaud-m-108754</t>
  </si>
  <si>
    <t xml:space="preserve">satisfait,
 procédure de souscription simple. 
Déclaration et prise en charge de sinistre rapides
services à recommander
……………………………………………………………...
</t>
  </si>
  <si>
    <t>emmanuel-l-109745</t>
  </si>
  <si>
    <t>Prix exorbitant car vous avez refusé de tenir compte du fait que je conduise depuis plus de 20 ans des voitures de fonction. C'est vraiment dommage car mon bonus a été complètement supprimé : je paie donc 2 fois plus cher mon assurance. Je suis resté car je suis chez Banque Directe devenue Axabanque depuis 25 ans.</t>
  </si>
  <si>
    <t>anne-laure--102329</t>
  </si>
  <si>
    <t xml:space="preserve">Nul nul nul !!!! A fuir !!! 
Impossible de résilier ça fait un an que je bataille pour résilier ce contrat mais rien n’y fait ! 
Réclamer de l’argent bien facile , quand il s’agit de rembourser mes frais Veterinaire que dalle !!!! 
A fuir vraiment </t>
  </si>
  <si>
    <t>07/01/2021</t>
  </si>
  <si>
    <t>fuyezallianz-52860</t>
  </si>
  <si>
    <t>Pour faire souscrire des contrats, Les commerciaux sont très disponibles. Par contre dès que le contrats sont signés, et que j'ai gelé mes versemenrts, je n'ai plus de contact commercial. Je dois à chaque fois téléphoner au service clients de Nantes.
Lorsque je réclame mes relevés, je reçois en retour  un mail  contenant le montant total, sans aucune explication, sans détail, et en plus, il ne correspond pas à ce que je devais toucher.</t>
  </si>
  <si>
    <t>28/02/2017</t>
  </si>
  <si>
    <t>florent-102170</t>
  </si>
  <si>
    <t>MERCER c'est aucun service, aucun suivi, aucune réponse aux assurés comme aux professionnels de santé. 
MERCER NET c'est aucun suivi, aucune réponse aux demandes... c'est pour renvoyer les assurés sans aucun RESULTAT.</t>
  </si>
  <si>
    <t>05/01/2021</t>
  </si>
  <si>
    <t>florence--b-129969</t>
  </si>
  <si>
    <t>Je suis satisfait des prix, le service est simple, pratique, efficace. J’ai pu trouvé la bonne assurance au prix le plus avantageux. Le service est personnalisé en fonction des besoins de chacun, et cela permet de trouver à chacun l’assurance qu’il lui faut.</t>
  </si>
  <si>
    <t>claire-m-108582</t>
  </si>
  <si>
    <t>Très bien positionné et process rapide
J'ai moins aimé les appels assez insistants du service client afin de me faire conclure le contrat par téléphone</t>
  </si>
  <si>
    <t>audren-98816</t>
  </si>
  <si>
    <t>A fuir, incompétence totale. Ce renvoient la balle entre les différents services sans agir. Jamais le même interlocuteur qui de plus ce contredisent entre eux preuve d'une mauvaise formation des interlocuteurs, mauvaise communication en interne, ne remplissent pas le dossier de suivi. Appel soit disant enregistrer. 
Départ pour moi, j ai été attiré par le prix mais ne vos pas le coup.</t>
  </si>
  <si>
    <t>15/10/2020</t>
  </si>
  <si>
    <t>lafarge-mazari-g-122368</t>
  </si>
  <si>
    <t>Je suis très satisfaite de vos services, Vos prix correspondent à mon budget.merci
Très cordialement mes sincères salutations.
Je suis contente de votre qualité de service et de la prestation de vos téléopérateurs qui informent et renseignent bien.</t>
  </si>
  <si>
    <t>titi67-42301</t>
  </si>
  <si>
    <t xml:space="preserve">Les prix chez directe assurance augmentent fortement la 2 ème année, plus de 30 % malgré plus de bonus, reponse de directe assurance , c'est une offre de bienvenue, alors dans ce cas pourquoi ne le précisent ils pas lors de la souscription ?
et augmentation des taxes régionales , mais oui de 30 %.
a eviter </t>
  </si>
  <si>
    <t>11sept2017-66168</t>
  </si>
  <si>
    <t xml:space="preserve">Cette assurance ne se fait que par téléphone vous vous retrouvez assurée sur 1 voiture sans même avoir demandé à l'être !! Après plusieurs recommandés aucune issue vous faites appel à pacifica juridique et encore 1fois depuis 10 mois toujours à payer cette assurance auto pour l'auto de votre conjoint déjà assuré ailleurs </t>
  </si>
  <si>
    <t>13/08/2018</t>
  </si>
  <si>
    <t>thib-125690</t>
  </si>
  <si>
    <t>Je suis ravis de faire partie de vos client rapide et simple je n'ai pas de conseiller au téléphone mais vote tarif qualité des garantie + 1 optons que j'ai pris me convienne parfaitement</t>
  </si>
  <si>
    <t>jllb-88304</t>
  </si>
  <si>
    <t>L'agent local qui avait pourtant accès à toutes nos données nous a conseiller de chercher un autre assureur lorsque nous avons voulu mettre en balance le prix de l'assureur actuel et son devis. Il était le meilleur et il n'y avait pas à discuter.
À quoi me servirai un assureur aussi mal embouché.</t>
  </si>
  <si>
    <t>rodrigues-esteves-h-107481</t>
  </si>
  <si>
    <t xml:space="preserve">Três  bien services je Apple services Repondre deuxième voiture nom du mon societe sa ousi ramené avec l'olivier assurance   prochain  je vous merci
 </t>
  </si>
  <si>
    <t>tarteaut-s-111475</t>
  </si>
  <si>
    <t>informations pas claires lors de la poursuite des démarches, e-mails répétitifs du service client sans aucune intention d'expliquer ce qui se passe, aucune explication reçue à part grâce à une dame du service client par téléphone, tarification abusive</t>
  </si>
  <si>
    <t>doca-99884</t>
  </si>
  <si>
    <t>La gestion sinistre habitation est déplorable. Suite à un dégât des eaux dû à un voisin (sinistre de février 2018), le dossier a été mal géré dès le début. A force de réclamations, j'ai changé plusieurs fois de gestionnaire pour, soi disant, que mon dossier soit mieux géré. Finalement, la gestionnaire que j'ai depuis 18 mois, très pertinente au demeurant, n'est jamais là, non joignable et mon dossier est toujours en instance.
Je suis à la MACIF depuis plus de 30 ans, très contente jusqu'à présent. Aujourd'hui, le traitement des dossiers est dramatique. FUIR cet assureur absolument !</t>
  </si>
  <si>
    <t>09/11/2020</t>
  </si>
  <si>
    <t>raslebol-60781</t>
  </si>
  <si>
    <t>Assurance qui vous attire par un prix intéressant au départ, puis ensuite c'est la cata.
- Le tarif demandé suite à l'achat du véhicule est systématiquement supérieur de quelques dizaines d'euros à celui du devis (argumentation fantaisiste),
- tout changement d'information personnelle sur le contrat conduit à un avenant payant,
- augmentation importante du tarif dès la deuxième année, pourtant sans sinistre de ma part ( environ 20 %, et je ne suis pas le seul !) qu'ils justifient par une argumentation bidon (sinistralité dans votre commune..., la situation actuelle de la France (terrorisme)).
Suite à cela j'ai demandé une baisse de ma cotisation et évidemment les nombreux correspondants que j'ai eu ne peuvent rien décider, et personne d'autre à priori.
La deuxième année j'ai malheureusement eu un bris de glace et à l'échéance, mon tarif a explosé (deux cent quarante euros de plus soit plus de quarante cinq pour cent). Qu'est que ça doit être si j'ai un sinistre responsable....
En bref, et au vu des autres témoignages, il faut fuir cet assureur.
Je plains les employés qui répondent au téléphone et qui doivent la plupart du temps en prendre pour leur grade.</t>
  </si>
  <si>
    <t>24/01/2018</t>
  </si>
  <si>
    <t>marine59143-78863</t>
  </si>
  <si>
    <t xml:space="preserve">Cliente depuis seulement 1 mois et demi et il a déjà fallu que je me rende 2 fois en agence crédit agricole et que j'appelle 2 fois Pacifica juste pour des rectifications d'informations sur mon contrat alors que toutes les informations ont été fournies lors de la souscription avec ma conseillère. 
Au final avec les rectifications je finis par payer plus que ce qui était écrit sur le devis. 
Se pose alors la question de la bonne gestion d'un sinistre éventuel et de ses garanties.. Quelle erreur de ma part d'être partie de mon ancienne assurance ! 
 </t>
  </si>
  <si>
    <t>02/09/2019</t>
  </si>
  <si>
    <t>zazou-54460</t>
  </si>
  <si>
    <t xml:space="preserve">Bonjour,
J'essaye d'appeler AMV pour avoir des explications pour une assurance et malheureusement il n'existe pas d'agence pour se renseigner !! Ma première constatations c'est que la ligne est payante et on ne nous donne pas une indication sur le temps d'attente donc à chaque fois la facture s'allonge en plus de la prime d'assurance que l'on devra payer. Prime qui n'est pas vraiment compétitive puisque certaines assurances concurrentes font mieux au niveau tarifs pour les mêmes prestations et couverture. 
Le pire c'est que je n'ai toujours pas eu de conseillers au bout du fil et cela malgré un compteur téléphonique qui tourne. </t>
  </si>
  <si>
    <t>03/05/2017</t>
  </si>
  <si>
    <t>legrand-v-122678</t>
  </si>
  <si>
    <t>Je suis satisfaite de l'offre qui m'a été faite.
Les propositions et les échanges sont de bonne qualité.
La conseillère que j'ai eue au téléphone est à l'écoute des questions que l'on peut se poser et les réponses sont claires.</t>
  </si>
  <si>
    <t>07/07/2021</t>
  </si>
  <si>
    <t>trueme-70361</t>
  </si>
  <si>
    <t>Cela faisait 2 ans que j'avais un contrat d'assurance moto chez eux.
Déjà me faire assurer chez a été un calvaire par parceque je suis un mauvais conducteur. Mais parce qu'ils ne sont pas au fait du permis A2 et des lois l'entourant. Autant dire qu'avec mon CB500F de 34Kw mais en MTT2, une vrai galère.
L'autre point que j'ai à leur reprocher, c'est leur rigueur. Malgré qu'il ait reçu ma carte grise entre les mains, ils n'ont pas su trouver le bon modèle (et il me le reproche après 2 ans).
Et enfin, le prix. Je pensais qu'avec leur affiche lowcost, je trouverai malgré tout dans cette entreprise un Excellent rapport qualité prix. Autant vous dire, que je me suis renseigné auprès des assurances Classique, ils proposent aujourd'hui de meilleurs services pour des prix plus bas</t>
  </si>
  <si>
    <t>18/01/2019</t>
  </si>
  <si>
    <t>fab-106131</t>
  </si>
  <si>
    <t>Surprise en recevant mon nouvel échéancier, augmentation de 6€ par mois pour 50% de bonus aucun sinistre et bien sûr 6 mois en 2020 pendant lesquels la moto n'a pas bougé du garage.
Merci et au-revoir la mutuelle des motards!!!</t>
  </si>
  <si>
    <t>domino-3359-100674</t>
  </si>
  <si>
    <t>Assurance à fuire, les conseillers clientèle sont désespérants dans ce service, selon le conseiller que vous avez au bout du fil la réponse sera différente d'un conseiller à l'autre et que dire des agences.... L'incompétence doit y être un critère d'embauche. La Macif est beaucoup plus prompte à vous envoyer des mises en demeure qu'à vous rembourser les sommes dues.</t>
  </si>
  <si>
    <t>27/11/2020</t>
  </si>
  <si>
    <t>milo-106314</t>
  </si>
  <si>
    <t>PAR CONTRE LA FILLE IMAN QUI A REPONDU A MON APPEL CE JOUR LE 11/03/2021 ETAIT COMPETENTE,AIMABLE ET COMPREHENSIBLE,PAR CONTRE LES PERSONNES QUI DEVAIT ME REPONDRE Mr JEREMY ET Mr FREDERIC N ONT MEME PAS LEVER LE PETIT DOIT POUR ME REPONDRE.</t>
  </si>
  <si>
    <t>franck-77903</t>
  </si>
  <si>
    <t xml:space="preserve">bonjour a tous je suis comme babet surpris de tous ces commentaires négatif pour ma part  sa fait plusieurs année que je suis a la maaf pour la totalité de mes biens et franchement a se jour très très satisfait j'ai eu sinistre accident etc la qualité du service client est parfait  je n'ai a se jour jamais eu a me plaindre de la MAAF 
mais croyez moi je sais aussi dire quand sa ne va pas et la pour ma part se n'est pas le cas surtout que ma fille va pas tarder a passer son permis et a son tour fera parti de la maaf voila tout est dit </t>
  </si>
  <si>
    <t>24/07/2019</t>
  </si>
  <si>
    <t>bryan83-68635</t>
  </si>
  <si>
    <t>Meilleur rapport garanties/tarif, Meilleur rapport garanties/tarif...</t>
  </si>
  <si>
    <t>15/11/2018</t>
  </si>
  <si>
    <t>lukas-m-123951</t>
  </si>
  <si>
    <t xml:space="preserve">Réactivité parfaite. Tarif un peu élevé pour un 50cc
Première fois avec cette assurance
Affaire à suivre
                                                                            </t>
  </si>
  <si>
    <t>paulo-f-130650</t>
  </si>
  <si>
    <t xml:space="preserve">très rapide pour faire le devis et super simple
au niveau tarifs le client cherche toujours moins chère mais dans l'ensemble ca va
Bonne continuation a l'ensemble de l'équipe
</t>
  </si>
  <si>
    <t>alex6318-108950</t>
  </si>
  <si>
    <t>Je suis satisfaite même si j'ai rencontré quelques problèmes avec la mgp durant c'est 21 ans. 
Bonne écoute en générale
Concernant le tarif un peu élevé mais pas trop le choix avec les directives gouvernementales</t>
  </si>
  <si>
    <t>lois-b-131032</t>
  </si>
  <si>
    <t xml:space="preserve">Mêmes garanties pour  économiser + de 200 euros comparé a mon assurance actuel .
Contrat souscrit  par internet  en 15 min ! 
Rapide et efficace  ..
</t>
  </si>
  <si>
    <t>kacou7777-79518</t>
  </si>
  <si>
    <t xml:space="preserve">de vrais professionnels . depuis 6 ans je fais mes contrats avec eux chaque année je refais le point avec eux et a chaque fois une assistance complete merci </t>
  </si>
  <si>
    <t>27/09/2019</t>
  </si>
  <si>
    <t>compere-e-107885</t>
  </si>
  <si>
    <t>Pour le moment je suis satisfait. Prix raisonnable, les assureurs sont à l'écoute de nos demandes. J'espère continuer a être surpris positivement par cette assurance!</t>
  </si>
  <si>
    <t>yvondugard-14478</t>
  </si>
  <si>
    <t>SIMPLE D'UTILISATION POUR UN CONFIRME .
PAS DE COMMISSION ;NI DE FRAIS DE DOSSIER:
ASSURANCE HONNÊTE:PRIX DE COUVERTURE ASSURANCE:CORRECTS
JE RECOMMANDE:DIRECT ASSURANCE.</t>
  </si>
  <si>
    <t>pierre2006-122837</t>
  </si>
  <si>
    <t xml:space="preserve">Une fois le contrat signé inutile de faire valoir vos droits ... voilà 7 mois que j’attends mes chèques cadeaux dans le cadre de leur parrainage. Ils évoquent depuis 7 mois des problèmes internes, bug informatiques, nécessité de reprendre les contrats à la main, embauche d’un ingénieur pour régler le problème technique , bref pour valider votre contrat aucun souci informatique mais quand il s’agit de passer à la caisse il n’y a plus personne ... passez votre chemin  </t>
  </si>
  <si>
    <t>andre-r-116637</t>
  </si>
  <si>
    <t>bien au départ et ensuite direct assurance augment ses tarifs
exemple pour mon véhicule : 8 euros / mois
calculee : par 12 mois = 100 euros 
habitation : 2 euros / mois</t>
  </si>
  <si>
    <t>ybbf-68315</t>
  </si>
  <si>
    <t xml:space="preserve">Je viens de recevoir un courrier de la MAIF qui résilie tous mes contrats au motif de "mauvaise relation client" En fait j'ai eu trois sinistres dont deux pour lesquels je n'y étais pour rien.
Je suis en situation dHandicap et je n'aurais jamais cru qu'une assurance "militante"puisse jeté les adhérents au moindre sinistre.
</t>
  </si>
  <si>
    <t>04/11/2018</t>
  </si>
  <si>
    <t>eb-90006</t>
  </si>
  <si>
    <t>Fuyez! CHAQUE question au service client nécessite plusieurs relance et reformulation pour avoir, parfois, une réponse au bout de plusieurs semaines, voire mois! Nombreuses erreurs successives sur mon dossier.</t>
  </si>
  <si>
    <t>28/05/2020</t>
  </si>
  <si>
    <t>mounir-d-107176</t>
  </si>
  <si>
    <t>Je suis satisfait des services et de la réactivité mais je trouve que je paie cher plus les années passent plus j'ai l'impression de payer cher, je vais justement faire des devis ailleurs pour comparer</t>
  </si>
  <si>
    <t>zeus-80098</t>
  </si>
  <si>
    <t>délai attente satisfaisant accueil très agréable Alicia est très gentille très professionnelle très compétente ses réponses sont claires et complètes 10/10 pour Alicia</t>
  </si>
  <si>
    <t>16/10/2019</t>
  </si>
  <si>
    <t>cipion66-72102</t>
  </si>
  <si>
    <t>Expert est venu suite à une surtension edf ça n a servi à rien il ne peut pas chiffrer les dommages c est à moi de me débrouiller pour faire des devis ce n est pas normal</t>
  </si>
  <si>
    <t>13/03/2019</t>
  </si>
  <si>
    <t>natacha-i-125036</t>
  </si>
  <si>
    <t>tres satisfaite , aussi bien sur le prix que sur le relationnel client
j'ai actuellement 3 vehicules assurés chez AMV
Je vous recommanderai avec plaisir</t>
  </si>
  <si>
    <t>sylvia-132902</t>
  </si>
  <si>
    <t>Echange téléphonique avec MARIA très sympathique et efficace, les petites erreur devraient rentrer dans l'ordre. Merci à elle pour son accueil et la prise en charge et les explications par rapport à ma demande.</t>
  </si>
  <si>
    <t>popa-e-116029</t>
  </si>
  <si>
    <t>Promptitude, professionnalisme. J'ai   apprécié le prix, les conditions offertes, j'espère d'avoir une longue et bonne collaboration. Je vais parler à mon antourage.</t>
  </si>
  <si>
    <t>04/06/2021</t>
  </si>
  <si>
    <t>evannn21-59094</t>
  </si>
  <si>
    <t>Je suis déçu de cette assurance, les pris sont chères pour des ganranties moindres par rapport à d' autres assurances. De plus le service client ne répond pas toujours au téléphone.</t>
  </si>
  <si>
    <t>24/11/2017</t>
  </si>
  <si>
    <t>loic-f-132508</t>
  </si>
  <si>
    <t xml:space="preserve">Site sécurisé bien renseigné et tarif compétitif, je suis ravie d'être assuré chez vous, je recommande vivement cette assurance 2 roue, rejoignez AMV sans hésitez vous ne le regretterez pas ces assuré </t>
  </si>
  <si>
    <t>papotine--97353</t>
  </si>
  <si>
    <t>Assurée proprietaire bailleur et assurée MAIF depuis 20 ans.. je vais quitter cette assurance car refus d'indemniser une détérioration causée par mon locataire .. constat d'huissier à l'appui j'ai dû attendre 2 mois des appels téléphoniques à un personnel incompétent.. la MAIF se réfugie derrière des allégations fausses pour ne pas aider l'assuré.. le dossier n'est pas suivi par un personnel serieux.. c'est purement une honte... la MAIF est une assurance à fuir ou à ne jamais contracter.</t>
  </si>
  <si>
    <t>nabil016-75991</t>
  </si>
  <si>
    <t>Cela lfait 1 mois que je n'arrive pas à me connecter sur mon espace client meme apres avoir changer plusieurs fois le mot de passe toujours en erreur! J'ai bien sur contacter le service client mais 0 réponse étonnant quand j'ai vu la rapidité dont ils faisaient preuve lors de mon unique rejet de prelevement. Du coup je met un petit avis ici car c'est la malheuresement que j'ai le plus de chance d'obtenir une réponse...</t>
  </si>
  <si>
    <t>luc-s-115788</t>
  </si>
  <si>
    <t>Site nullissime, foutez moi à la paix avec vos enquêtes; impossible d'obtenir un pauvre duplicata, on est trimbalé d'une page à l'autre sans logiqaue. NUL</t>
  </si>
  <si>
    <t>assure79-90373</t>
  </si>
  <si>
    <t>Bonjour chers assurés Maif ou futur Maif,
Suite à un vol d'un pot catalytique, l'expert de la Maif a fixé le montant de la pièce à 840 € TTC. Le prix réel constaté chez les fournisseurs est d'environ 150 à 200 €. De plus sur le rapport d'expertise, il me propose de le remplacer par une pièce d'occasion alors qu'il s'agit d'une pièce d'usure. A vous de vous faire votre avis sur le sérieux de cette compagnie :)
Au début on avait 4 véhicules, moto plus maison et appartement assurés chez eux. Maintenant il ne reste que 2 voitures et bientôt plus rien du tout !
Chez les concurrents une tout risque avec plus de garanties est moins élevée qu'une au 1/3 chez eux, chercher l'erreur.</t>
  </si>
  <si>
    <t>10/06/2020</t>
  </si>
  <si>
    <t>mahery-a-134238</t>
  </si>
  <si>
    <t>Les prix sont chères pour une personne ayant 4 ans de permis quand même. A la demande de prix plus abordable. Pour un jeune étudiant c’est tout de même un peu couteux</t>
  </si>
  <si>
    <t>24/09/2021</t>
  </si>
  <si>
    <t>alice1991-77813</t>
  </si>
  <si>
    <t>Voilà presqu'un an après mon sinistre. Refus de la part de l'assurance de me rembourser car "délais trop long et frais de gardiennage trop importants". Délais qui me sont imputés alors que l'assurance a ouvert le sinistre 12 jours après ma déclaration en ligne puis n'a pas envoyé les documents à la bonne adresse.
Catrastrophique, ne recommande pas.</t>
  </si>
  <si>
    <t>mobiche-62342</t>
  </si>
  <si>
    <t>je me suis volé mon véhicule en 2016, inscrit en agence on me donne un numéro puis le cauchemar
la clé de mon véhicule à été derobé dans le garage de mon père de ce fait pour eux c'est un prétexte pour ne pas payer ils m'ont dit que j'ai facilité le vol malgré les déclarations de police .
pendant et après le vol le service ne m'a jamais appelé pour savoir si j'avais besoin d'un véhicule ou que j'étais en difficulté ou autre.
service cata quand je pense que j'ai payé pendant 5 ans  sans aucun sinistre et le jour qui arrive une mésaventure  il n'y a plus personne.
pour eux je suis le coupable.
merci la maaf avec vos pubs.....</t>
  </si>
  <si>
    <t>14/03/2018</t>
  </si>
  <si>
    <t>guy-d-108746</t>
  </si>
  <si>
    <t>Bon rapport qualité prix. Je n'hésiterai pas à conseiller direct assurance à mes proches.
Les échanges avec les conseillers sont de bonne qualité , ce qui rassure</t>
  </si>
  <si>
    <t>emmelbeuin-70441</t>
  </si>
  <si>
    <t>Dégât des eaux en octobre 2018. En janvier 2019 toujours aucune action de la maaf. Ils travaillent avec un expert qui n'est présent que le mercredi! Il ne rappelle jamais suite aux messages laissés. La maaf pense uniquement à encaisser l'argent et se fou royalement de ses clients.</t>
  </si>
  <si>
    <t>marc-78926</t>
  </si>
  <si>
    <t>Dans la jungle du monde de l'assurance automobile, je suis tombé un peu par hasard sur L'olivier Assurances. J'ai été avant tout séduit pour le montant des cotisations souvent bien moins élevées que chez les concurrents. Que ce soit les contacts téléphoniques, la saisie en ligne et la transmission des documents demandés, tout s'est passé de façon très simple, rapide et sympathique. Je recommande donc sans réserve pour l'instant.</t>
  </si>
  <si>
    <t>04/09/2019</t>
  </si>
  <si>
    <t>iggy-90204</t>
  </si>
  <si>
    <t>J'ai souscrit un contrat auto avec prise d'effet au 13 juin. Je vous ai contacté afin de modifier la date de prise d'effet au 10 juin. Votre conseiller m'a annoncé qu'il n'y aurait pas de modification tarifaire. Après cela, je constate que ma cotisation annuelle a été augmenté de 96€ et vous avez de ce fait prélevé sur mon compte 16€ supplémentaire sans me prévenir. Cela fait deux jours que je vous contacte, j'ai eu 4 personnes en ligne qui s'étaient engagé à me recontacter dans la journée. Je n'ai jamais reçu d'appel. Sans nouvelle de votre part, très rapidement, je contacterai la DGCCRF.</t>
  </si>
  <si>
    <t>molinier-t-137996</t>
  </si>
  <si>
    <t>Bonjour,
Je suis satisfait du service proposé et de la gentillesse et du professionnalisme des conseillers que j'ai eu au téléphone.
Continuez ainsi !
Cordialement</t>
  </si>
  <si>
    <t>christrose-74776</t>
  </si>
  <si>
    <t>FUYEZ FUYEZ A GRANDE VITESSE LA MATMUT matmut n assure rien que de la pub victime d un dégat des eaux avec consequence merule cout du traitement 8200 euros rien n est pris en charge un expert incompetent qui ne sait pas faire la difference entre un vulgaire champignon et la merule d ou perte de temps et d argent surtout de plus il connait la maison mieux que moi affirme des choses fausses etant adherente depuis 45 ans et ma fille 13 ans sans gros probleme nous avons demandé un geste commercial et exceptionnel comme d habitude pas de reponse notre fidelite ne paye pas</t>
  </si>
  <si>
    <t>06/04/2019</t>
  </si>
  <si>
    <t>qaisar-s-131432</t>
  </si>
  <si>
    <t xml:space="preserve">Je suis satisfait du service que propose l’olivine assurance l’es procédure ne sont pas longue et les conseillers sont à l’écoute je recommande vivement </t>
  </si>
  <si>
    <t>05/09/2021</t>
  </si>
  <si>
    <t>doric-c-130598</t>
  </si>
  <si>
    <t>Bien mais je n’ai pas pu beneficier du code promo de mon parrain car je suis passée par un comparateur : dommage. 
Je pourrai donner mon avis quand j’aurais a utiliser l’assurance.</t>
  </si>
  <si>
    <t>ji-58549</t>
  </si>
  <si>
    <t xml:space="preserve">Une qualité de réponse médiocre : j'ai souscrit au contrat d'assurance pour avoir une attestation spécifique. Avant la souscription on me dit que c'est possible dans les délais que je demande. Après souscription, c'est compliqué pour l'avoir et surtout pas dans les délais </t>
  </si>
  <si>
    <t>02/11/2017</t>
  </si>
  <si>
    <t>fatou-106829</t>
  </si>
  <si>
    <t xml:space="preserve">Très bonne conseillère à l’écoute et t à me tenir son engagement de m’aider pour résoudre mon problème ! 10 étoiles pour saliha                              </t>
  </si>
  <si>
    <t>laure95-77507</t>
  </si>
  <si>
    <t>Merci à Erika pour ses réponses claires. Pas beaucoup d'attente avant d'être en communication. Bonne prise en charge. Encore merci.</t>
  </si>
  <si>
    <t>michel-62110</t>
  </si>
  <si>
    <t>lors de la souscription il m a été confirmé que en étant tout risque en cas de sinistre sans responsabilité je n avais aucune avance à faire dans un garage partenaire.J ai eu un sinistre 100%raison(stationnement)et j ai du payé la franchise qui me sera remboursée lorsque l assurance adverse voudra bien la payer a mon assurance.qu en est il de la convention IRSA ?</t>
  </si>
  <si>
    <t>fred-113540</t>
  </si>
  <si>
    <t>honteux en attente de remboursement depuis avril au début elle était bien  maintenant je suis déçu si vous appelez il vous réponde que votre dossier est en cour sauf que cela fait 2 mois si vous pouvez changer de mutuelle faites le nous on ne peux pas mutuelle entreprise donc obliger de rester</t>
  </si>
  <si>
    <t>steph-130299</t>
  </si>
  <si>
    <t xml:space="preserve">Je déconseille fortement cette mutuelle même en prenant le plus au niveau les remboursements pour des frais dentaires ou oculaires ils vous rembourse même pas le quart de la facture a fuir </t>
  </si>
  <si>
    <t>amelou1694-75790</t>
  </si>
  <si>
    <t xml:space="preserve">J'ai toujours été d'un naturel très méfiant. Santiane es ma première mutuelle apres la CMU-C  il es vrai que au contrats s'ajoute une assurance décès pour moins de 5 euros par mois  côté assurance et garantie je suis satisfaite car la mutuelle rembourse bien  je paye 45 euros par mois pour une couverture honorable avec remboursement de l'ostheophatie certe 1 fois par an mais 40 euros ce n'est pas négligeable.
et je suis vraiment tranquille. de plus leurs site internet es faciles à gérer et vraiment les conseillers et conseillère tel que Erika sont d'un professionnalisme authentique. Il faut savoir que Santiane es courtiers en assurance et vraiment je ne suis pas déçu je reste cependant honnête ont peu rencontrer des problèmes ou désaccords mais jeter la pierre immédiatement pour un ou plusieurs problèmes es pour moi injuste
 Aucune Mutuelle es parfaite la perfection en soit es difficile à atteindre et pour moi elle n'existe pas au jour d'aujourd'hui malheureusement mais c'est en ayant des défauts que ont apprend à devenir meilleur. </t>
  </si>
  <si>
    <t>10/05/2019</t>
  </si>
  <si>
    <t>ruddy-r-113834</t>
  </si>
  <si>
    <t>Ma cotisation a été augmenté lors que j ai eu du bonus. Quelque soit les raisons elles ne sont pas valable car mon assurance moto différente m a baissé le prix de ma cotisation avec mon bonus gagné. Je cherche une autre assurance et des ue j en trouve je résilie mon contrat chez dires assurance</t>
  </si>
  <si>
    <t>vixj-75641</t>
  </si>
  <si>
    <t>Mutuelle vraiment mauvaise dans sa globalité. Attente de 2 à 3 mois pour les remboursements et pas de télétransmission avec ma sécurité sociale.</t>
  </si>
  <si>
    <t>martinelli-j-122731</t>
  </si>
  <si>
    <t>Efficace ! et Pratique
Bon Rapport qualité prix en comparaison avec d'autres assureurs
Bon accueil
Possibilité de moduler ses tarifs et franchise et pack en fonction de son budget</t>
  </si>
  <si>
    <t>assu72-110637</t>
  </si>
  <si>
    <t>Je suis assuré depuis 1978 pour les véhicules  et depuis 1980 pour l'habitation.
Aucun problème à signaler tous mes sinistres ont toujours étés traités sans aucun problème.</t>
  </si>
  <si>
    <t>gh27-97902</t>
  </si>
  <si>
    <t xml:space="preserve">J'ai souscrit à une assurance complémentaire santé chez NEOLIANE auprès du courtier RITTCHAARD SANTE.
N° d'adhérent NEOLIANE : 421691. Date d'effet : 01/07/2019. Depuis le 22 février 2020, j'essaye d'avoir un contact avec cet assureur pour obtenir des remboursements dont j'ai fait la demande.
Depuis cette date, J'ai envoyé des mails à NEOLIANE, laissé une demande sur  mon espace adhérant de MUTUA, appelé au téléphone sans succès, demandé de l'aide au courtier sans effet…
J'ai 3 demandes de remboursement :
1-#45538801 en date du 22/02/2020 pour une consultation de généraliste. Relancée le 26/03/2020, puis le 30/05/2020, puis le 10/06/2020 sur l'espace adhérant MUTUA, le 18/07/2020 sur l'espace Service Client en ligne et aussi les 15/07/2020, 31/08/2020 et 13/09/2020 chez le courtier.
2-#45538805 en date du  22/02/2020 pour une consultation d'ophtalmologiste. Relancée le 26/03/2020, puis le 05/06/2020, puis le 10/06/2020 sur l'espace adhérant de MUTUA, le 18/07/2020 sur l'espace Service Client en ligne et aussi les 15/07/2020, 31/08/2020 et 13/09/2020 chez le courtier.
3-#49148650 en date du 18/07/2020 pour des soins dentaires. Pas de réponse non plus. Signalé au courtier les 31/08/2020 et 13/09/2020.
Je n'ai aucune réponse ni de NEOLIANE ni de RITTCHAARD SANTE.
Devant ce mutisme inexplicable, je ne sais plus à qui m'adresser. C'est une situation que je n'ai jamais connue avec aucun assureur.
</t>
  </si>
  <si>
    <t>27/09/2020</t>
  </si>
  <si>
    <t>miraou--98358</t>
  </si>
  <si>
    <t>Je suis assez satisfait et j’attends mes prochaines échéances pour mes assurances de voitures et habitation pour savoir si je continue ou pas avec Eurofyl.esperant ne pas avoir d’augmentation plutôt une baisse de tarifs.</t>
  </si>
  <si>
    <t>05/10/2020</t>
  </si>
  <si>
    <t>laetitia-d-135113</t>
  </si>
  <si>
    <t>INTERFACE INTERNET TRES INTUITIVE ET RAPIDE. La Tarification est trés attractive pour une meilleure couverture, c'est quand même incroyable
Bravo pour tout</t>
  </si>
  <si>
    <t>gladys-d-107999</t>
  </si>
  <si>
    <t>Je ne suis aucunement satisfaite du service client ! Chaque conseiller donne un avis différent. Il n'y a aucune prise en compte des demandes, informations transmises et particularités des dossiers !</t>
  </si>
  <si>
    <t>7recherche2mutuel-56742</t>
  </si>
  <si>
    <t>Je viens d'être contactée par un conseiller alors que je commençais juste mes recherches comparatives sur le net, en moins de 5mn chrono, j'ai été appelée.
Un homme au débit ultra rapide, qui vous abreuve de questions, alors que vous n'avez rien demandé. Une fois vos critères énoncés, ils ne sont pas pris en compte, il vous envoie (soi-disant) un devis que vous ne recevez jamais, il vous rappelle en vous disant que ce n'est pas normal, vous êtes redirigée vers leur site en direct, il vous communique un mot de passe. Vous accédez enfin au devis (le plus cher bien entendu) et à l'issue il vous glisse un "je vous envoie votre carte de tiers payant par mail"! Sauf que je n'ai jamais demandé à souscrire à quoique ce soit et que j'ai horreur qu'on me force la main, ce que je lui glisse à mon tour et là forcément le ton change, il écourte la conversation en moins de 5 secondes, plus personne! Après avoir passé 29 mn à me parler. Bizarre, non ?! J'espère qu'avec leur histoire de mot de passe à la noix, ils ne m'ont pas fait souscrire à un contrat à mon insu. Pratiques plus que douteuses! Ça sent la malhonnêteté à plein nez! Je ne souhaite aucunement être leur cliente.</t>
  </si>
  <si>
    <t>18/08/2017</t>
  </si>
  <si>
    <t>andrade-m-107381</t>
  </si>
  <si>
    <t xml:space="preserve">Très satisfait 
Personnel agréable et à l'écoute 
A voir par la suite mais pour l'instant rien a redire que du positif 
Je recommande a tout mon entourage </t>
  </si>
  <si>
    <t>sofian-c-115178</t>
  </si>
  <si>
    <t xml:space="preserve">Cool c’est rapide bonne assurance merci à vous bonne journée ça fais 2 ans je suis assurée chez vous jamais u de sinistre donc peut pas juger le reste </t>
  </si>
  <si>
    <t>valentin-d-132218</t>
  </si>
  <si>
    <t xml:space="preserve">Pratique de tout faire sur internet mais impossible de négocier un prix avec ma femme ...
Les prix sont correctes surtout pour un conducteur débutant,  avec de bonne garanties. </t>
  </si>
  <si>
    <t>esterlin-s-131743</t>
  </si>
  <si>
    <t xml:space="preserve">Simple et pratique 
Rapide et efficace 
C'est mon 3ème véhicule chez vous 
Et sincèrement le service est excellent 
Et niveaux rapport qualité prix... rien à dire une fois de plus </t>
  </si>
  <si>
    <t>marc-b-126065</t>
  </si>
  <si>
    <t xml:space="preserve">satisfait de la fluidité du site pour souscrire mon assurance voiture.. les tarifs sont compétitifs. 1 ère expérience avec direct assurance. a suivre dans le temps. </t>
  </si>
  <si>
    <t>valentin-r-113908</t>
  </si>
  <si>
    <t>je suis très satisfait par rapport à la qualité des prix ainsi que les offres proposées.
Niveau très accessible pour l'envoi des documents ainsi que sa  signature</t>
  </si>
  <si>
    <t>17/05/2021</t>
  </si>
  <si>
    <t>eleana-97757</t>
  </si>
  <si>
    <t xml:space="preserve">Très bon service client. Toujours très aimable au téléphone. La rapidité de traitement de dossier et l'efficacité sont de mise. De plus, c'est une assurance auto très intéressante voir attractive au niveau des échéances à régler. </t>
  </si>
  <si>
    <t>23/09/2020</t>
  </si>
  <si>
    <t>riton-98493</t>
  </si>
  <si>
    <t>J'ai été victime d'un vol de ma moto dans mon domicile. Par une interprétation fallacieuse de leur part, je n'ai et n'aurais jamais indemnité de leurs part... À quoi servent-ils ? Assurance où le service client (relationnel) est désastreux , ils ne répondent pas à vos demandes et si vous finissiez par avoir un interlocuteur, ils considèrent que ce n'est pas leurs problèmes ! Ou va t'ont....</t>
  </si>
  <si>
    <t>berthou-e-127361</t>
  </si>
  <si>
    <t>je suis très contente tout à été très claire rapide et pas chère .c est vraiment cool merci . je recommande enfin une assurance qui ne nous vole pas !!!</t>
  </si>
  <si>
    <t>turpin-k-114964</t>
  </si>
  <si>
    <t xml:space="preserve">Jusqu'ici tout va bien...
J'ai juste eu le temps de prendre l'assurance, et de signer le contrat.
Mais malheureusement le véritable rapport qualité prix d'une assurance, c'est en cas de sinistre, et je ne compte pas avoir d'accident. </t>
  </si>
  <si>
    <t>sandrine-b-109046</t>
  </si>
  <si>
    <t xml:space="preserve">demande faite sur site comparatif, choix fait en 2 min, j'ai été dirigée vers le site et contactée dans la minute par April qui m'a dirigé pour la marche à suivre.
Service rapide et efficace
</t>
  </si>
  <si>
    <t>nabil-e-133022</t>
  </si>
  <si>
    <t>Le prix me convient, par contre je ne veux pas d’augmentation alors que j’ai 0 sinistre,  les assureurs on tendance à augmenter les cotisations de 10% chaque année sans raisons valables, j’ai déjà été assuré chez vous ne me le faites pas regretter merci, j’espère qu’on sera fidèles et satisfaits dans les 2 sens.</t>
  </si>
  <si>
    <t>rafiko--106142</t>
  </si>
  <si>
    <t xml:space="preserve">Très bonne assurance toujours à l'écoute très aimable et professionnelle envers les clients et propose les meilleures tarifs. Réponse très rapide au téléphone </t>
  </si>
  <si>
    <t>non13500-99427</t>
  </si>
  <si>
    <t>Comme pour beaucoups d assurances c est dans le besoin qu on se rend compte de son engagement et sa fiabilité.
Oubliez Direct Assurance ! Les contacts téléphoniques sont très désagréables et impersonnels.</t>
  </si>
  <si>
    <t>vincent29860-67217</t>
  </si>
  <si>
    <t>plutôt bon dans l'ensemble
avec un tarif un peu plus bas ce serais l'assurance parfaite mais sinon je recommande</t>
  </si>
  <si>
    <t>30/09/2018</t>
  </si>
  <si>
    <t>severine-93636</t>
  </si>
  <si>
    <t xml:space="preserve">Je suis satisfaite du prix  et de la simplicité du site afin d’obtenir un devis. 
Les comparatifs des tarifs sont très faciles d’accès  et on peut facilement ajouter des options. </t>
  </si>
  <si>
    <t>09/07/2020</t>
  </si>
  <si>
    <t>emiso-95217</t>
  </si>
  <si>
    <t xml:space="preserve">Très bon conseiller, réactif et disponible. Des produits de qualité en retraite et assurance vie. Des rentabilites de 20%à 40% l an de quoi faire.
</t>
  </si>
  <si>
    <t>26/07/2020</t>
  </si>
  <si>
    <t>adinane--s-132649</t>
  </si>
  <si>
    <t xml:space="preserve">Vous aurez puis faire mieux en prix et je me suis trompé de bonus je suis à 0,68 aulieu de 0,72 veuillez modifier Le tarif s'il vous plaît merci bien cordialement </t>
  </si>
  <si>
    <t>13/09/2021</t>
  </si>
  <si>
    <t>julien-c-131637</t>
  </si>
  <si>
    <t>Je suis content du prix et de la rapidité pour m'assurer. content de faire parti de la famille direct assurance. j'ai dit deux fois content c'est bon signe.</t>
  </si>
  <si>
    <t>lsimon2-23546</t>
  </si>
  <si>
    <t xml:space="preserve">Résille le contrat d'assurance même pour sinistre non responsable le moins et de prendre contact avec le client qui lui vous fait confiance et tenter de trouver une solution avoir un accident n'est pas un plaisir </t>
  </si>
  <si>
    <t>19/08/2017</t>
  </si>
  <si>
    <t>dembs-60356</t>
  </si>
  <si>
    <t>j'étais dans situation que je ne pouvais pas payer durant  mois je les apel pour payer par mandat ils ont réfusé et ca me fait de la peinne</t>
  </si>
  <si>
    <t>nan-99071</t>
  </si>
  <si>
    <t xml:space="preserve">Notre véhicule de 2017 a été vandalisé mi mars 2020. notre assurance de niveau 3 est tous risques et comprend le vandalisme. Les dégâts occasionnés sur le circuit électrique ont fait l'objet de plusieurs tentatives de réparation sans aucun succès depuis la fin du déconfinement. Depuis la date de l'accident, c'est à dire plus de 7 mois, nous sommes dans l'attente et l'assurance refuse à ce jour de nous indemniser au motif que cette voiture n'est pas complétement détruite et serait théoriquement techniquement réparable si les pièces nécessaires étaient fournies par le constructeur. Des pièces auraient été en fait fournies mais ne correspondraient pas au moteur malgré les références de série. Notre demande de transfert sur un garage agrée correspondant à la marque du constructeur reste sans suite et la seule voie qui est proposée par Axa est la voie contentieuse vis à vis du constructeur. Nous avons le sentiment d'être ni compris ni entendus.
</t>
  </si>
  <si>
    <t>22/10/2020</t>
  </si>
  <si>
    <t>lulapirs-53904</t>
  </si>
  <si>
    <t xml:space="preserve">Je déconseille vivement cet assureur. J'ai souscrit chez eux depuis janvier. J'attends toujours ma vignette verte définitive. Ils me l'ont envoyé plusieurs fois mais sa n'arrive jamais à destination. Le service client est 0! Ils font remonter l'information, envoi un mail pour dire qu'ils renvoient de nouveaux la vignette... 3 mois sans papiers d'assurance c'est grave. De plus pour les joindre par téléphone c'est 0,80€ la minute et par mail biensur ils ne prennent pas la peine de répondre. Sa ne rapporte pas de sous. Bref je déconseille vraiment. </t>
  </si>
  <si>
    <t>06/04/2017</t>
  </si>
  <si>
    <t>lolo-108747</t>
  </si>
  <si>
    <t>Contrat mal explicite.tombe en panne sans assistance car le contrat stipulé juste en cas d'accident, résultat 200 euro de dépannage.je ne souscrirai plus chez eux.</t>
  </si>
  <si>
    <t>letexier-j-138000</t>
  </si>
  <si>
    <t xml:space="preserve">Je suis très satisfait des services. Les tarifs sont corrects. La plateforme téléphonique est très efficace et courtoise, à la disposition des appelants </t>
  </si>
  <si>
    <t>vincent-103218</t>
  </si>
  <si>
    <t>J’importe un véhicule de Belgique car je m’installe en France. Je souscris pour la première fois à direct-assurances. Cette compagnie me jette dehors car après deux mois et n’ayant toujours pas ma plaque (merci l’ants !) mon dossier n’est pas complet. Donc bye-bye direct assurances et je m’en retourne chez mon assureur de référence Groupama. Ceux-ci vont aussi bénéficier encore de trois véhicules supplémentaires.</t>
  </si>
  <si>
    <t>13/10/2021</t>
  </si>
  <si>
    <t>pas-de-pseudo-101996</t>
  </si>
  <si>
    <t xml:space="preserve">Tarif Adhésion Mutuelle un peu plus cher que d autres, les remboursements sont corrects, les conseillers sont disponibles et a l écoute.
Par contre, tarif assurance pret immobilier est très en dessous du tarif assurance pret immobilier proposé par les banques </t>
  </si>
  <si>
    <t>30/12/2020</t>
  </si>
  <si>
    <t>texier-s-126881</t>
  </si>
  <si>
    <t>le service est bon, dommage qu'il y aie des franchises élevées sur le bris de glace,car avec mon ancienne assurance j' avais 0 euros de franchise, et prix relativement correct.</t>
  </si>
  <si>
    <t>titi--92803</t>
  </si>
  <si>
    <t xml:space="preserve">Parfait très bien expliqué j’attend le devis pour assurer la mini s
Au plus vite .
Merci de revenir vers moi, afin de complet mon contrat je reste à votre entière disposition de </t>
  </si>
  <si>
    <t>phievr-110664</t>
  </si>
  <si>
    <t xml:space="preserve"> Retrait partiel impossible sur AFER &amp; moi
Le site Internet AFER &amp; moi est complètement défaillant !!
Cela fait la 3ème fois en un trimestre que j'ai des difficultés pour faire un retrait partiel (prise en compte par le serveur mais virement fait deux semaines plus tard).
Cette fois-ci pour un retrait urgent, impossible de valider l'opération sur le site Internet qui se fige à l'étape Validation après avoir cliqué sur le bouton Valider.
Cela commence à bien faire et pousse effectivement les adhérents à se demander s'il ne vaut pas mieux voir ailleurs.
Un site Internet revu en 2019 qui fonctionne aussi mal, c'est du jamais vu !! </t>
  </si>
  <si>
    <t>pascal-c-106968</t>
  </si>
  <si>
    <t>Une hausse de mon tarif de 6 % alors que la sinistralité générale est en baisse et la mienne nulle .. L'année prochaine je remets Direct Assurance en concurrence</t>
  </si>
  <si>
    <t>nadette-76896</t>
  </si>
  <si>
    <t>scandaleux a déconseiller je reste furieuse après la décision de l'expert pour mon dégat des eaux 2244e accépté par mon constructeur qui a réparé et annulé par l'expert pacifica qui me donne environ 200e je suis d'une tristesse absolue moi qui voulait faire plaisir à ma commerciale du Crédit Agricole qui est super pro et bien merci pacifica</t>
  </si>
  <si>
    <t>18/06/2019</t>
  </si>
  <si>
    <t>tazman44-94551</t>
  </si>
  <si>
    <t>En espérant faire affaire ensemble si les conditions sont bonnes par rapport à la concurrence en attente de comparer les devis avec les prestations de la concurrence</t>
  </si>
  <si>
    <t>18/07/2020</t>
  </si>
  <si>
    <t>schmidt-j-139199</t>
  </si>
  <si>
    <t>Satisfaite de la communication avec le service, un conseiller au top. Les prix sont abordables, surtout pour les services proposés. Merci a vous. ……..</t>
  </si>
  <si>
    <t>08/11/2021</t>
  </si>
  <si>
    <t>priscilla-79272</t>
  </si>
  <si>
    <t xml:space="preserve">Assurance pourri, INADMISSIBLE victime d'un délit de fuite je leur ai dis qu'il y avait des caméras de surveillance, ils n'ont jamais chercher à avoir les images, du coup ils n'ont que les quelques photos que j'ai pu prendre. Du coup ils ont dit manque de preuves et classer sans suite !!!!!!!!! Et en plus on me demande de regler les frais du greffier !!!!!!!! </t>
  </si>
  <si>
    <t>saga-116437</t>
  </si>
  <si>
    <t>Laborieux, manque de clarté, décevant.
Mon agence du Crédit agricole CA m'a démarchée pour changer d'assurance voiture au moment où je vendais la mienne. Ils m'ont proposé un tarif intéressant chez Pacifica CA vu que j'étais cliente de la banque. J'étais chez AMV auparavant oú l'on pouvait désigner des conducteurs en plus du conducteur principal. J'ai découvert trop tard que ça n'était pas le cas chez Pacifica alors que je l'ai demandé à plusieurs reprises. Pour le reste, le transfert de paperasse, ça a été laborieux. J aussi découvert une franchise de 250 euros appliquée à l'assistance. Très déçue, impression de m'être fait avoir.</t>
  </si>
  <si>
    <t>je-n'ai-pas-de-pseudo-97132</t>
  </si>
  <si>
    <t xml:space="preserve">Je possède plusieurs voitures assurées à la MAIF dont je suis sociétaire depuis fort longtemps.J'assurais également mes motos auprès de cette Mutuelle jusqu"à ce que,lors d'un changement de machine, j'ai trouvé beaucoup trop élevé le devis proposé.C'est la raison pour laquelle je me suis adressé à la Mutuelle des Motards que plusieurs amis m'avaient recommandée.
N'ayant pas eu de sinistres, je ne puis me prononcer sur ce point.
Chaque fois que j'ai pu avoir un interlocuteur, j'ai eu toute satisfaction.Mais, et c'est vraiment là que le bât blesse, il est désormais, et ce depuis bien avant l'épidémie, de joindre qui que ce soit par téléphone à la Mutuelle des Motards.C'est la généralisation des relations virtuelles par internet et cela m'irrite au plus haut point.Je ne dois pas être le seul.A près de 80 ans je sais à peu près utiliser l'informatique mais cette évolution dans les relations m'est insupportable.J'ai conscience d'être " d'un autre âge"...pas pour longtemps, hélas!
Bien à vous.
Stephan Melconian.
</t>
  </si>
  <si>
    <t>jojop-122856</t>
  </si>
  <si>
    <t xml:space="preserve">Nul. Incompétence. Très long... Un dégât des eaux début Mars , et, toujours rien. Mon plafond de séjour c'est effondré. Toujours rien malgré nos demandes. Fuir cette assurance. 
</t>
  </si>
  <si>
    <t>quentin-d-106908</t>
  </si>
  <si>
    <t xml:space="preserve">Résiliation pour seulement quelques jours de retard pour un relevé d'information qui ne ma toujours pas était fournit par mon ancien assureur , une honte  </t>
  </si>
  <si>
    <t>gaston-wamba-48298</t>
  </si>
  <si>
    <t xml:space="preserve">ATTENTION, ATTENTION ALERTE ROUGE ceci est un dernier avertissement pour les messieurs moins cher. Direct assurance est le pire assureur de France. Pas de problème quand il vous prélève des sous sur votre compte bancaire, vous êtes directement résilié sans notification et sans préavis si vous avez le malheur d'avoir un sinistre. Mon véhicule C5 imat DG-653-PW j'ai été résilié sans courrier de notification en été 2014 après un sinistre. Je n'apprend ma résiliation que quand je contacte le service clientèle pour avoir une information
</t>
  </si>
  <si>
    <t>07/09/2017</t>
  </si>
  <si>
    <t>louiza-75207</t>
  </si>
  <si>
    <t xml:space="preserve">JE SUIS TRÈS EN COLÈRE
IMPOSSIBLE D AUGMENTER SA COTISATION CAR DEPUIS 3 MOIS J AI EU PLUS DE 150 EUROS DE MA POCHE DE SURPLUS DE MÉDICAMENTS 
JE LEURS EXPLIQUE ET ILS DISENT QUE C EST COMME CA QUE J AVAIS MIEUX QU A LIRE MON CONTRAT DES LE DÉBUT
IMPOSSIBLE DE SE RETIRER DE CETTE MUTUELLE POUR LE MOMENT ET IMPOSSIBLE DE MONTER MA COTISATION
EN GROS ELLE ME SERT PRESQUE A RIEN   </t>
  </si>
  <si>
    <t>d-98534</t>
  </si>
  <si>
    <t>reçu ma nouvelle cotisation avec une augmentation de 200 euros alors que je n ai déclaré aucun sinistre bonus 50 ++ sur simple justificatif d augmentation générale du coup des réparations et de l augmentation des vols de mon type de véhicule (audi a1 )totalement injustifié,après appel augmentation ramené à seulement 40euros.Merci au conseiller qui à compris ma logique colère .</t>
  </si>
  <si>
    <t>09/10/2020</t>
  </si>
  <si>
    <t>georges49-103205</t>
  </si>
  <si>
    <t>Bonsoir Madame, Monsieur.
Je suis assuré à MGP depuis le 01 Janvier 1973.
Donc je n'ai rien à redire.
Cordialement.
Je suis trés content de la MGP.
Trés bonne soirée.</t>
  </si>
  <si>
    <t>mohamed-kamel-g-134747</t>
  </si>
  <si>
    <t xml:space="preserve">Prix attractifs et accueil téléphonique de qualité et accompagnement proposé pour finaliser l'inscription.  
Direct assurance disponible pour l'inscription. </t>
  </si>
  <si>
    <t>frederic-j-124568</t>
  </si>
  <si>
    <t>Rapide, efficace.
Pratique même le week end
Attestation en temps réel depuis n'importe quel endroit où vous vous trouvez.
Achetez, assurez, roulez.......</t>
  </si>
  <si>
    <t>24/07/2021</t>
  </si>
  <si>
    <t>metgy-s-110793</t>
  </si>
  <si>
    <t xml:space="preserve">Très satisfaite pour l'assurance de ma première voiture, merci beaucoup L'Olivier  assurance .
La meilleur assurance  que j'ai trouvé sur internet  . </t>
  </si>
  <si>
    <t>mimi38-63106</t>
  </si>
  <si>
    <t xml:space="preserve">donner mon avis,!je crois qu'ils sens foute......!un rdv ....ses la crois et la banniers....
</t>
  </si>
  <si>
    <t>10/04/2018</t>
  </si>
  <si>
    <t>guy-87606</t>
  </si>
  <si>
    <t xml:space="preserve">Aucun échange ni communication entre SOGESSUR et TEXA extertises + Aucun suivi sinistre + perpétuel renvoi des documents + TEXA Expertises et SOGESSUR restent continuellement injoignable par téléphone + Boite mail sans réponse  </t>
  </si>
  <si>
    <t>25/02/2020</t>
  </si>
  <si>
    <t>pas-content--128324</t>
  </si>
  <si>
    <t xml:space="preserve">Aucune information sur suivi de dossier. 
Ils nous répondent qu’ils n’ont pas la main sur le service sinistre. 
En gros, on doit se connecter pour savoir où en est le dossier…. Et il est toujours en cours au bout de 2 mois.
Appel à l’instant pour savoir quand on va être remboursé après 15 jours de transmission de facture  à notre agence locale. Réponse du service sinistre : on n’est pas au courant ! Beaucoup d’argent dehors et toujours pas remboursé 
A fuir direct par rapport à leur incompétence </t>
  </si>
  <si>
    <t>badrazamane-m-129047</t>
  </si>
  <si>
    <t xml:space="preserve">Je suis satisfait du service proposé par direct-assurance
Les prix me conviennent et me semblent correct
Satisfait du contrat 
Je recommande cette assurance
</t>
  </si>
  <si>
    <t>22/08/2021</t>
  </si>
  <si>
    <t>armel-92979</t>
  </si>
  <si>
    <t xml:space="preserve">Je suis satisfait du service, le prix me convient, très compétitif.
Le prix est quasiment de moitié par rapport à mon ancienne assurance. 
Devis clair et précis.  </t>
  </si>
  <si>
    <t>kadnad-114430</t>
  </si>
  <si>
    <t>Assureur a fuir!!!
Essaie par tous les moyens de ne pas dédommager!
Assurance inexistante, vous payez pendant des années et puis quand le dégât des eaux arrive vous n’êtes pas dédommagé.
A fuir absolument!
Fuyez!!</t>
  </si>
  <si>
    <t>jpg44-69608</t>
  </si>
  <si>
    <t>Sans doute je n'ai pas tout compris ?
il me semble que les mutuelles se sont engagées avec l état sur des tarifs avec peu de hausse.
Pourtant à réception de mon appel à cotisation je constate que l'augmentation est de 5 points.
J'aimerai avoir un début d'explication
Merci par avance</t>
  </si>
  <si>
    <t>21/12/2018</t>
  </si>
  <si>
    <t>lacalle-104271</t>
  </si>
  <si>
    <t xml:space="preserve">conseiller très à l'écoute, les renseignements étaient clairs et précis. Je trouve que les montant des cotisations est assez élevé si on veut être bien couverts. </t>
  </si>
  <si>
    <t>duporge-c-108580</t>
  </si>
  <si>
    <t>Les prix sont très attractifs, les informations sont bien décrites et le processus de souscription est simple et clair.
Manque plus qu'à finaliser le contrat :)</t>
  </si>
  <si>
    <t>alexandra--m-122134</t>
  </si>
  <si>
    <t>Satisfaite du service le service téléphonique est super bon je n'est eu aucun problème à les rejoindre très patient , professionnel et bienveillant ...</t>
  </si>
  <si>
    <t>02/07/2021</t>
  </si>
  <si>
    <t>laetitia-66205</t>
  </si>
  <si>
    <t>Mon seul soucis de santé est d'avoir une très mauvaise vue, malheureusement les garanties sur l'optique ne sont pas terribles du tout (40 euros par verre même pour une forte correction). 
Préférez une autre mutuelle si, comme moi, vous êtes une taupe ! ;-)</t>
  </si>
  <si>
    <t>15/08/2018</t>
  </si>
  <si>
    <t>smez-82182</t>
  </si>
  <si>
    <t>malgré leurs prix soi-disant attractif il ne donne pas satisfaction aux client</t>
  </si>
  <si>
    <t>21/12/2019</t>
  </si>
  <si>
    <t>fet60-61245</t>
  </si>
  <si>
    <t>Mutuelle qui vit sur une réputation et qui n'est plus du tout adapté au monde des enseignants. Mutuelle qui pense que les clients sont la pour les maintenir à flots.</t>
  </si>
  <si>
    <t>jacky-b-108027</t>
  </si>
  <si>
    <t>Je change d'assurance, car je souhaite pouvoir me déplacer et discuter de vive voie avec mon assureur.
J'ai donc choisi une agence  à proximité de chez moi, dans mon village de Pernes les Fontaines</t>
  </si>
  <si>
    <t>benoit-a-108127</t>
  </si>
  <si>
    <t>bonjour
très satisfait du niveau de service
prix très élevé de ma prime d'assurance pour des petits sinistres qui ont peu couté à votre companie, un tarif adapté devrait en tenir compte
merci
bine cordi</t>
  </si>
  <si>
    <t>ingrid-121239</t>
  </si>
  <si>
    <t>Je suis à la Mgp depuis 6 ans pour mon fils et moi je paie 80€/mois (j ai 36 ans mon fils 6 ans). 
Beaucoup de soucis depuis que je suis à mi traitement, leur service perte de salaire est incompetent
J attends toujours de leur part le complément de salaire du mois de mai !
Longs délais pour les remboursements de consultation pédiatre, doc etc</t>
  </si>
  <si>
    <t>taramousse-50260</t>
  </si>
  <si>
    <t xml:space="preserve">A fuir comme la peste !!! 
Tout va bien tant que l'on effectue des versements... 
Dès que l'on souhaite effectuer un rachat... Ça devient le parcours du combattant. En ligne ça ne fonctionne pas... Il faut donc écrire... Bon courage... </t>
  </si>
  <si>
    <t>14/12/2016</t>
  </si>
  <si>
    <t>linda-49501</t>
  </si>
  <si>
    <t>je suis très déçu, étant assuré chez pacifica depuis 06/1998 et n'ayant aucun sinistre jusqu'en juin 2015,mon four  qui à pris la foudre, j'ai vu ma facture augmentée de 11.03% en juin 2016</t>
  </si>
  <si>
    <t>24/11/2016</t>
  </si>
  <si>
    <t>maxime-b-124858</t>
  </si>
  <si>
    <t>Très rapide, je suis satisfait, tout est bien expliqué, les prix sont raisonnable et si besoin je ne doute pas de la qualité du SAV, je recommande sans crainte</t>
  </si>
  <si>
    <t>alice-78435</t>
  </si>
  <si>
    <t xml:space="preserve">en arret accident de travail du 20 aout 2018 j'ai repris un mi temps therapeutique mi avril 2019 sur decision medicale  j'ai envoye un dossier par rapport a mon pret voiture car mes economies n ont fait que chuter depuis mon arret . la decision de cardiff est pas de prise en charge car la raison de mon arret de travail entre dans une des clauses d exclusion du contrat d assurance MAIS cardif ne précise pas quelle clause elle me dit même de chercher dans la notice d'information ou dans les conditions particulières de mon contrat. la question est avec moins de 700 euros de salaire therapeutique et des indemnites versees au goutte a goutte ayant une famille à nourrir je vais etre obligé de me diriger vers le dossier de surendettement . de plus j'ai été reconnu travailleur handicapé . toujours en mitemps thérapeutique avec des économies qui ont fondues un enfant au lycée  frais a assumer je ne m'en sors plus  en mi temps cardif aurait pu m aider a payer au moins 50 pour centdu credit . j aimerai que cardif me donne la raison noir sur blanc de la non prise en charge car dans mon dossier de surendettement il est important que l'on sache pourquoi cardif refuse de m aider alors que je n'ai pas volontairement voulu cette situation . je suis prêt a contacter les médias pour que celà soit publié . si une personne compétente puisse me conseiller je suis prêt a envoyer tous documents banque credit dossier médical etc pour prouver ma bonne foi </t>
  </si>
  <si>
    <t>14/08/2019</t>
  </si>
  <si>
    <t>lili13450-67852</t>
  </si>
  <si>
    <t>Arrêt du jour au lendemain indemnisation ITT alors que impossible de reprendre le travail après 2 AVC.  Invalidité 2ème categorie. 
Lamentable ! Ne respectent pas le contrat...</t>
  </si>
  <si>
    <t>18/10/2018</t>
  </si>
  <si>
    <t>pamanon-117112</t>
  </si>
  <si>
    <t>Très cher, site nul. On me demande les mêmes documents déjà envoyés plusieurs fois. Manque de coordination entre les différents services. Je pense de les quitter et m'assurer ailleurs.</t>
  </si>
  <si>
    <t>jacques-d-127228</t>
  </si>
  <si>
    <t>compagnie d'assurance fiable, compétitive, réactive, efficiente Client depuis plus de 25 ans, je suis pleinement satisfait de la GMF et je la recommande sans hésitation</t>
  </si>
  <si>
    <t>faragout59-87700</t>
  </si>
  <si>
    <t xml:space="preserve">Aux indépendants qui vont signer un contrat Prévoyance Madelin : ATTENTION. En tant que gérant, nous n'avons droit à... pas grand chose donc assurance privée en cas d'arrêt de travail. en Janvier 2016, accident de travail, et ce pendant 3 ans, tant bien que mal et après expertises médicales du RSI et du GAN, le GAN me pai des indemnités qui compensent ma perte de salaire. Janvier 2019, je passe en invalidité auprès de l'ex RSI, à 50% catégorie 2. donc indemnité mensuelle. Sauf que, après expertise médicale auprès d'un médecin généraliste (Dr B. de Beauvais), imposé par le GAN, me donne après calcul avec le fameux "tableau croisé invalidité" un taux inférieur au mini, soit 40 pour cent, donc plus rien du GAN, plus de versement dès ma mise en invalidité. Et donc depuis, c'est la descente aux enfers, tout reste à payer, impôts sur le revenu de l'année précédente, impôts sur la vente de ma Sté (j'y ai été obligé financièrement). Donc j'ai prix un avocat, et de nouvelles expertises sont en cours. Donc, attention quand tout va bien… lisez bien vos conditions si arrêt de travail et invalidité. Mon courtier lui même ne connaissait pas ce tableau croisé ! pourtant, c'est lui qui m'a vendu celui-ci!  Assuré 25 ans au GAN pour, je pense, une affaire qui va se terminer au tribunal. Je ne vous parle pas bien sur, des douleurs quotidiennes engendrées par cet accident ! Dominique FARAGOUT - 27 Gisors.    </t>
  </si>
  <si>
    <t>jeromen-55051</t>
  </si>
  <si>
    <t>Voiture fracturée, vélo neuf volé à l'intérieur. 
Assuré tous risques voiture et contrat habitation revu à la hausse pour parer à toute éventualité avec le vélo. 
Réponse de la MAIF: "Ah mais monsieur vous n'avez pas l'option objets transportés c'est dommage...vous voulez y souscrire pour la prochaine fois?!" 
Resultat: 300 euros de franchise voiture, 225 euros de franchise habitation, 30% rembourses sur le vélo car volé trop proche (???) de chez moi. 
Perte sèche: 300 + 225 + 1375 + 1900 euros</t>
  </si>
  <si>
    <t>adri225-127800</t>
  </si>
  <si>
    <t>Tout se passe bien jusqu'à ce qu'on ait un problème. Je ne prendrais plus cet assurance et ne la recommande pas. Pas chère mais très dur de joindre quelqu'un lors d'un dépannage.</t>
  </si>
  <si>
    <t>13/08/2021</t>
  </si>
  <si>
    <t>momo-88828</t>
  </si>
  <si>
    <t>suite a la resiliation de mon contrat assurance auto , apres plus de 10 ans ,la GMF a bien mis fin au contrat auto ,mais ne veux pas resilier l'assurance corporel ,
alors que je suis en EHPAD  depuis le mois de juillet 2020 je ne peus plus conduire vus que
j'ai la maladie d'alzheimer  en GIR 1/2
queje suis en EHPAD je ne risque pas de me faire renverser par une voiture ,je ne peux pas quitté ma chambre
et que la corporel ne couvre (accident auto pietons )
je conseille de bien lire ce qui est ecrit en petite lettre !</t>
  </si>
  <si>
    <t>krikri34130--106300</t>
  </si>
  <si>
    <t>Bonjour, 
comme convenu téléphoniquement, je vous informe que je suis parfaitement satisfait de la manière dont vous avez répondu à mes problèmes concernant mon père .
Explications claires et concises, efficacité, rapidité. 
Félicitations.
Bien cordialement.</t>
  </si>
  <si>
    <t>coclau-98167</t>
  </si>
  <si>
    <t>En tant que particulier je regrette d'avoir souscrit en tant que retraité à cette mutuelle qui était celle  dont je bénéficiais en tant que salarié d'un groupe.
Pour les soins courants pas de problème, consultation médicale, consultation spécialiste, médicaments, analyses ou radios , les remboursements interviennent dans des délais respectables après transmission par Ameli...
Mais quand il s'agit d'opérations chirurgicales prises en charge en totalité par la sécurité sociale, comme la majorité des interventions chirurgicales, et que seuls les dépassements d'honoraires sont à payer, vous pouvez fournir les factures acquittées et établies dans les normes..... alors là ça devient très compliqué . .. et même impossible d'obtenir une réponse nette et précise</t>
  </si>
  <si>
    <t>30/09/2020</t>
  </si>
  <si>
    <t>chaouch-b-114923</t>
  </si>
  <si>
    <t>Très satisfait merci beaucoup je suis tranquille maintenant pour l assurances de ma première voiture très agréable service de confiance merci d avance</t>
  </si>
  <si>
    <t>mndreams1980-49473</t>
  </si>
  <si>
    <t>depuis 4 ans . RAS tous va bien . me conseillé est toujours disponible , remboursement en temps et en heur .en plus de ca mon conseillé étais disponible pour me changer la formule après 2ans . la je suis en niveau 6 tous est parfait</t>
  </si>
  <si>
    <t>23/11/2016</t>
  </si>
  <si>
    <t>eric-139419</t>
  </si>
  <si>
    <t xml:space="preserve">Accident du 29/10/2021 à 20h05 non responsable à 350 km de mon domicile. Choc avant très important. Véhicule récent.  Garantie tous risques classique C3. Client depuis 30 ans (AGF). Déclaration transmise le 30/10/2021 à 9h00. La dépanneuse agréée Allianz intervient dans un délai d'une heure mais elle laisse redescendre brutalement le véhicule du plateau du camion occasionnant un choc arrière avec un poteau en bois.  La dépanneuse recule ensuite dans la voiture du père du jeune homme avec qui j'ai eu accident et à qui il est venu porter assistance.  L'agent général me demande de traiter avec la compagnie qui elle même me demande de m'arranger avec son dépanneur agréé qui serait de fait l'expert des dégâts qu'il a commis et qu'il réparerait. Je refuse cet arrangement inacceptable et je demande l'expertise indépendante et la réparation des dégâts occasionnés à l'avant et à l'arrière. Six heures et demi d'appel en dix jours. Douze jours après l'accident, la compagnie me dit avoir bien entendu mes demandes mais je ne sais pas encore si l'expertise est déjà réalisée où sera réalisée pour les chocs avant et arrière. Par ailleurs, la communication Allianz sur les travaux effectués par leurs "réparateurs agréés" est singulière : ils seraient garantis sans limite dans le temps et partout en France. En revanche, si je fais réparer ce véhicule récent chez un concessionnaire, aucune réponse claire et écrite ne m'est donnée concernant le remboursement des travaux dont je ferais l'avance auprès de Peugeot (Reste à charge, délais ?) Les personnels au 099897000 sont très hésitants et se contredisent.  Les messageries robotisées SIDEXA et CREATIVEXPERTIZ émettent des messages de suivi de dossier qui se contredisent entre eux et qui contredisent les interlocuteurs téléphoniques. L'un d'eux me parle d'une peinture qui peut cloquer mais qui serait garantie. Il semble encore plus improbable sur les réparations qui relèvent de l'électronique s'agissant d'un réparateur agréé Allianz.  Voiture de prêt refusée. Mais surtout, ALLIANZ NE REPOND A AUCUN MAIL. </t>
  </si>
  <si>
    <t>Trop d'exclusions en dégâts des eaux. Reçue par une jeune fille insolente  .En effet mur mouillé et  refus de prise en charge car entrée d'eau  par la fenêtre fermée et un autre  refus pour fuite à vmc qui a endommagé  le plafond . Ces deux sinistres sur murs et plafond neufs.</t>
  </si>
  <si>
    <t>18/01/2021</t>
  </si>
  <si>
    <t>alstom-111522</t>
  </si>
  <si>
    <t xml:space="preserve">Bonjour à vous tous tomber en panne de voiture après avoir appeller assistance j'étais surpris par cette femme qui était mécontente de mon appelle je lui est demander gentiment de prendre en compte ma détresse elle m'a rebasculer à une autre personne qui m'a confirmer que le Dépanneur était en route ici 30min après 1h d'attente je décide de rappeler je tombe sur un monsieur très aimable qui me confirme que mon dossier n'a pas était créer es aucune dépanneuse n'a étais attribué il a su être compétent et très courtois mon SMS a été envoyé avec référence de dossier chose que les 3 autres femme n'ont pas faite. Heureusement que je suis sur un parking commercial et sans famille  et non pas sur une autoroute avec tout le danger que sa implique aucune réactivité concernant cette urgence une assistante c'est de Urgence et non pas de la charité ou tt autre cinéma voilà 2h30 attente et le Dépanneur et toujours pas la. Merci Matmut pour vos conseils </t>
  </si>
  <si>
    <t>etsy-105688</t>
  </si>
  <si>
    <t>Je ne recommande pas du tout, je me suis laissée avoir par les prix attractifs mais derrière il n'y a plus rien, le service clients ne réponds pas aux mail, j'ai dû envoyer moi même mes devis car ils ne le font plus en automatique depuis 2021, ça fait 2 mois que j'envoie un devis et que je n'ai aucune réponse, franchement je ne donne pas souvent d'avis mais là je voulais prévenir les nouveaux qui pourraient faire la même erreur. Fuyez.</t>
  </si>
  <si>
    <t>atmel-71235</t>
  </si>
  <si>
    <t>Augmentation qui n'a pas été signalée</t>
  </si>
  <si>
    <t>nina-96310</t>
  </si>
  <si>
    <t xml:space="preserve">Au bout de 2 sinistres dont l'un non responsable il m'ont résilié sans préavis sans aucune raison. Le dernier sinistre n'était même traité, car non responsable à été compté en 100% responsable. Ce sinistre n'est toujours pas traité. Le malus appliqué par la nouvelle assurance est erroné. L'olivier à classé dossier sans avoir rempli son contrat. 
De plus le tarif est attrayant au départ, mais beaucoup de variation en hausse en fonction de paramètres de stationnement, trajet travail ect.. Aucun courrier, aucun sérieux, le suivi est aléatoire,  trop de conseiller différent au téléphone   </t>
  </si>
  <si>
    <t>14/08/2020</t>
  </si>
  <si>
    <t>mouna-g-129355</t>
  </si>
  <si>
    <t xml:space="preserve">Simple et rapid, je vous remercie, espérons que le service après vente sera à la hauteur de nos exigences. 
Merci pour votre sérieux, 
Merci à la femme qui nous a reçu au téléphone 
</t>
  </si>
  <si>
    <t>arnaud-105785</t>
  </si>
  <si>
    <t>VICTIME D UN ACCIDENT DE LA ROUTE CAUSE PAR UN ASSURE GMF. J AI SUBI 5 OPERATIONS ET 2 GREFFES . EXPERTISE JUDICIARE ORDONNE PAR UN JUGE ET BIEN EVIDEMMENT EXPERTISE OUVRANT DROIT A DES INDEMNITES CONSEQUENTE. LA GMF TRAINE DES PIEDS ET PREFERE PASSER PAR LA VOIE JUDICIAIRE DANS LE BUT DE GAGNER DU TEMPS ( ENVIRON 2 A 3 ANS °)
HONTEUX ET MINABLE POUR UNE ASSURANCE DONT LE SLOGAN EST ASSUREMENT HUMAIN..</t>
  </si>
  <si>
    <t>08/03/2021</t>
  </si>
  <si>
    <t>thaurine85--93282</t>
  </si>
  <si>
    <t>J’attends de recevoir le devis et voir ce que comprend le devis car pas vu toutes les conditions parce que c’est rapide mais on se ait pas ce que cela comprend comme les franchises</t>
  </si>
  <si>
    <t>06/07/2020</t>
  </si>
  <si>
    <t>raphael-80166</t>
  </si>
  <si>
    <t>Très bonne assurance, aucuns soucis pour joindre un conseillé</t>
  </si>
  <si>
    <t>17/10/2019</t>
  </si>
  <si>
    <t>martinjade-87222</t>
  </si>
  <si>
    <t xml:space="preserve">Je paye 210e par mois pour une assurance voiture tourisque. Je me fais voler mon véhicule et pacifica refuse de m'indemniser car l'argent avec le quel j'ai payer mon véhicule provient du compte bancaire de mon conjoint. 
Un véhicule d'une valeur de 7200e!! Je ne conseil en aucun cas pacifica!!! </t>
  </si>
  <si>
    <t>16/02/2020</t>
  </si>
  <si>
    <t>sab6215-52104</t>
  </si>
  <si>
    <t>Avis aux délinquants de la route! Assurez vous chez Pacifica 
provoquez des accidents vous ne serez pas en tord!  pour eux il est normal qu'une abrutie sur ma gauche me coupe la route dans un rond point pour en sortir et accroche mon véhicule Pacifica me rend responsable à 100 %</t>
  </si>
  <si>
    <t>philippe-68780</t>
  </si>
  <si>
    <t>Completement d'accord avec les autres avis. les conseiller nous prennent pour des idiots et se contredisent sur les raisons de retard de rachat, il y a toujours unb papier qui manque et ils mettent des mois a s'en apercevoir.</t>
  </si>
  <si>
    <t>21/11/2018</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</si>
</sst>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3.0</v>
      </c>
      <c r="B2" s="2" t="s">
        <v>11</v>
      </c>
      <c r="C2" s="2" t="s">
        <v>12</v>
      </c>
      <c r="D2" s="2" t="s">
        <v>13</v>
      </c>
      <c r="E2" s="2" t="s">
        <v>14</v>
      </c>
      <c r="F2" s="2" t="s">
        <v>15</v>
      </c>
      <c r="G2" s="2" t="s">
        <v>16</v>
      </c>
      <c r="H2" s="2" t="s">
        <v>17</v>
      </c>
      <c r="I2" s="2" t="str">
        <f>IFERROR(__xludf.DUMMYFUNCTION("GOOGLETRANSLATE(C2,""fr"",""en"")")," Having difficulty sending a document for a refund, I asked for telephone assistance. Your Mrs. Widad advisor was very available, patient with an elderly person like me and extremely effective and sympathetic.
If I ever needed other information I would l"&amp;"ike to have it on the phone again ...")</f>
        <v> Having difficulty sending a document for a refund, I asked for telephone assistance. Your Mrs. Widad advisor was very available, patient with an elderly person like me and extremely effective and sympathetic.
If I ever needed other information I would like to have it on the phone again ...</v>
      </c>
    </row>
    <row r="3">
      <c r="A3" s="2">
        <v>3.0</v>
      </c>
      <c r="B3" s="2" t="s">
        <v>18</v>
      </c>
      <c r="C3" s="2" t="s">
        <v>19</v>
      </c>
      <c r="D3" s="2" t="s">
        <v>20</v>
      </c>
      <c r="E3" s="2" t="s">
        <v>21</v>
      </c>
      <c r="F3" s="2" t="s">
        <v>15</v>
      </c>
      <c r="G3" s="2" t="s">
        <v>22</v>
      </c>
      <c r="H3" s="2" t="s">
        <v>23</v>
      </c>
      <c r="I3" s="2" t="str">
        <f>IFERROR(__xludf.DUMMYFUNCTION("GOOGLETRANSLATE(C3,""fr"",""en"")"),"I am satisfied with the level of insurance guarantees as well as the price. I expect direct reactivity insurance and a good level of support if necessary.")</f>
        <v>I am satisfied with the level of insurance guarantees as well as the price. I expect direct reactivity insurance and a good level of support if necessary.</v>
      </c>
    </row>
    <row r="4">
      <c r="A4" s="2">
        <v>1.0</v>
      </c>
      <c r="B4" s="2" t="s">
        <v>24</v>
      </c>
      <c r="C4" s="2" t="s">
        <v>25</v>
      </c>
      <c r="D4" s="2" t="s">
        <v>26</v>
      </c>
      <c r="E4" s="2" t="s">
        <v>14</v>
      </c>
      <c r="F4" s="2" t="s">
        <v>15</v>
      </c>
      <c r="G4" s="2" t="s">
        <v>27</v>
      </c>
      <c r="H4" s="2" t="s">
        <v>28</v>
      </c>
      <c r="I4" s="2" t="str">
        <f>IFERROR(__xludf.DUMMYFUNCTION("GOOGLETRANSLATE(C4,""fr"",""en"")"),"No reimbursement since October 2017. After asking us for a certificate of rights, I must send all the accounts of the S")</f>
        <v>No reimbursement since October 2017. After asking us for a certificate of rights, I must send all the accounts of the S</v>
      </c>
    </row>
    <row r="5">
      <c r="A5" s="2">
        <v>4.0</v>
      </c>
      <c r="B5" s="2" t="s">
        <v>29</v>
      </c>
      <c r="C5" s="2" t="s">
        <v>30</v>
      </c>
      <c r="D5" s="2" t="s">
        <v>20</v>
      </c>
      <c r="E5" s="2" t="s">
        <v>21</v>
      </c>
      <c r="F5" s="2" t="s">
        <v>15</v>
      </c>
      <c r="G5" s="2" t="s">
        <v>31</v>
      </c>
      <c r="H5" s="2" t="s">
        <v>32</v>
      </c>
      <c r="I5" s="2" t="str">
        <f>IFERROR(__xludf.DUMMYFUNCTION("GOOGLETRANSLATE(C5,""fr"",""en"")"),"I am satisfied with the quote service, simple and efficient! The prices seem competitive to check after other quotes. Insurance overall attractive.")</f>
        <v>I am satisfied with the quote service, simple and efficient! The prices seem competitive to check after other quotes. Insurance overall attractive.</v>
      </c>
    </row>
    <row r="6">
      <c r="A6" s="2">
        <v>1.0</v>
      </c>
      <c r="B6" s="2" t="s">
        <v>33</v>
      </c>
      <c r="C6" s="2" t="s">
        <v>34</v>
      </c>
      <c r="D6" s="2" t="s">
        <v>35</v>
      </c>
      <c r="E6" s="2" t="s">
        <v>21</v>
      </c>
      <c r="F6" s="2" t="s">
        <v>15</v>
      </c>
      <c r="G6" s="2" t="s">
        <v>36</v>
      </c>
      <c r="H6" s="2" t="s">
        <v>37</v>
      </c>
      <c r="I6" s="2" t="str">
        <f>IFERROR(__xludf.DUMMYFUNCTION("GOOGLETRANSLATE(C6,""fr"",""en"")"),"In my car insurance contract it is agreed a loan of vehicle of 30 days outside during the 15 days of repair of our car no loan car we ask for a commercial discount on the franc ho of and we are said not niet because you are Shame on you")</f>
        <v>In my car insurance contract it is agreed a loan of vehicle of 30 days outside during the 15 days of repair of our car no loan car we ask for a commercial discount on the franc ho of and we are said not niet because you are Shame on you</v>
      </c>
    </row>
    <row r="7">
      <c r="A7" s="2">
        <v>1.0</v>
      </c>
      <c r="B7" s="2" t="s">
        <v>38</v>
      </c>
      <c r="C7" s="2" t="s">
        <v>39</v>
      </c>
      <c r="D7" s="2" t="s">
        <v>40</v>
      </c>
      <c r="E7" s="2" t="s">
        <v>14</v>
      </c>
      <c r="F7" s="2" t="s">
        <v>15</v>
      </c>
      <c r="G7" s="2" t="s">
        <v>41</v>
      </c>
      <c r="H7" s="2" t="s">
        <v>42</v>
      </c>
      <c r="I7" s="2" t="str">
        <f>IFERROR(__xludf.DUMMYFUNCTION("GOOGLETRANSLATE(C7,""fr"",""en"")"),"Landy folding method. Watch out for false information on refunds")</f>
        <v>Landy folding method. Watch out for false information on refunds</v>
      </c>
    </row>
    <row r="8">
      <c r="A8" s="2">
        <v>3.0</v>
      </c>
      <c r="B8" s="2" t="s">
        <v>43</v>
      </c>
      <c r="C8" s="2" t="s">
        <v>44</v>
      </c>
      <c r="D8" s="2" t="s">
        <v>20</v>
      </c>
      <c r="E8" s="2" t="s">
        <v>21</v>
      </c>
      <c r="F8" s="2" t="s">
        <v>15</v>
      </c>
      <c r="G8" s="2" t="s">
        <v>45</v>
      </c>
      <c r="H8" s="2" t="s">
        <v>45</v>
      </c>
      <c r="I8" s="2" t="str">
        <f>IFERROR(__xludf.DUMMYFUNCTION("GOOGLETRANSLATE(C8,""fr"",""en"")"),"I am completely satisfied with the service as well as the price.
Simple fast and efficient service.
A little long questionnaire all the same.
I am ready to recommend my entourage for direct insurance.")</f>
        <v>I am completely satisfied with the service as well as the price.
Simple fast and efficient service.
A little long questionnaire all the same.
I am ready to recommend my entourage for direct insurance.</v>
      </c>
    </row>
    <row r="9">
      <c r="A9" s="2">
        <v>5.0</v>
      </c>
      <c r="B9" s="2" t="s">
        <v>46</v>
      </c>
      <c r="C9" s="2" t="s">
        <v>47</v>
      </c>
      <c r="D9" s="2" t="s">
        <v>20</v>
      </c>
      <c r="E9" s="2" t="s">
        <v>21</v>
      </c>
      <c r="F9" s="2" t="s">
        <v>15</v>
      </c>
      <c r="G9" s="2" t="s">
        <v>48</v>
      </c>
      <c r="H9" s="2" t="s">
        <v>45</v>
      </c>
      <c r="I9" s="2" t="str">
        <f>IFERROR(__xludf.DUMMYFUNCTION("GOOGLETRANSLATE(C9,""fr"",""en"")"),"The telephone reception is satisfactory, too bad that we cannot adjust everything by email, that it is necessary to go through the phone essentially for payment.")</f>
        <v>The telephone reception is satisfactory, too bad that we cannot adjust everything by email, that it is necessary to go through the phone essentially for payment.</v>
      </c>
    </row>
    <row r="10">
      <c r="A10" s="2">
        <v>4.0</v>
      </c>
      <c r="B10" s="2" t="s">
        <v>49</v>
      </c>
      <c r="C10" s="2" t="s">
        <v>50</v>
      </c>
      <c r="D10" s="2" t="s">
        <v>20</v>
      </c>
      <c r="E10" s="2" t="s">
        <v>21</v>
      </c>
      <c r="F10" s="2" t="s">
        <v>15</v>
      </c>
      <c r="G10" s="2" t="s">
        <v>51</v>
      </c>
      <c r="H10" s="2" t="s">
        <v>45</v>
      </c>
      <c r="I10" s="2" t="str">
        <f>IFERROR(__xludf.DUMMYFUNCTION("GOOGLETRANSLATE(C10,""fr"",""en"")"),"The prices suit me and the subscription to the contract for my car is very fast, now 0 see tracking and service in the long term .....")</f>
        <v>The prices suit me and the subscription to the contract for my car is very fast, now 0 see tracking and service in the long term .....</v>
      </c>
    </row>
    <row r="11">
      <c r="A11" s="2">
        <v>2.0</v>
      </c>
      <c r="B11" s="2" t="s">
        <v>52</v>
      </c>
      <c r="C11" s="2" t="s">
        <v>53</v>
      </c>
      <c r="D11" s="2" t="s">
        <v>20</v>
      </c>
      <c r="E11" s="2" t="s">
        <v>21</v>
      </c>
      <c r="F11" s="2" t="s">
        <v>15</v>
      </c>
      <c r="G11" s="2" t="s">
        <v>54</v>
      </c>
      <c r="H11" s="2" t="s">
        <v>23</v>
      </c>
      <c r="I11" s="2" t="str">
        <f>IFERROR(__xludf.DUMMYFUNCTION("GOOGLETRANSLATE(C11,""fr"",""en"")"),"Easy to access, new on the site and as a customer;
I can't say it would not be correct.
We will see in a few months, I hope not to put deceived.")</f>
        <v>Easy to access, new on the site and as a customer;
I can't say it would not be correct.
We will see in a few months, I hope not to put deceived.</v>
      </c>
    </row>
    <row r="12">
      <c r="A12" s="2">
        <v>1.0</v>
      </c>
      <c r="B12" s="2" t="s">
        <v>55</v>
      </c>
      <c r="C12" s="2" t="s">
        <v>56</v>
      </c>
      <c r="D12" s="2" t="s">
        <v>20</v>
      </c>
      <c r="E12" s="2" t="s">
        <v>21</v>
      </c>
      <c r="F12" s="2" t="s">
        <v>15</v>
      </c>
      <c r="G12" s="2" t="s">
        <v>57</v>
      </c>
      <c r="H12" s="2" t="s">
        <v>58</v>
      </c>
      <c r="I12" s="2" t="str">
        <f>IFERROR(__xludf.DUMMYFUNCTION("GOOGLETRANSLATE(C12,""fr"",""en"")"),"I am absolutely not satisfied with the Direct Insurance service. None of your employees are competent or professional. I am waiting to be recalled for 1 week by a manager.")</f>
        <v>I am absolutely not satisfied with the Direct Insurance service. None of your employees are competent or professional. I am waiting to be recalled for 1 week by a manager.</v>
      </c>
    </row>
    <row r="13">
      <c r="A13" s="2">
        <v>1.0</v>
      </c>
      <c r="B13" s="2" t="s">
        <v>59</v>
      </c>
      <c r="C13" s="2" t="s">
        <v>60</v>
      </c>
      <c r="D13" s="2" t="s">
        <v>20</v>
      </c>
      <c r="E13" s="2" t="s">
        <v>21</v>
      </c>
      <c r="F13" s="2" t="s">
        <v>15</v>
      </c>
      <c r="G13" s="2" t="s">
        <v>61</v>
      </c>
      <c r="H13" s="2" t="s">
        <v>58</v>
      </c>
      <c r="I13" s="2" t="str">
        <f>IFERROR(__xludf.DUMMYFUNCTION("GOOGLETRANSLATE(C13,""fr"",""en"")"),"1 °) I always wait for the 40 euros ""promised"" for my sponsorship 2 °) I terminated my Mercedes contract for abusive increase in its price without reason ... and I will do so much as regards the audi")</f>
        <v>1 °) I always wait for the 40 euros "promised" for my sponsorship 2 °) I terminated my Mercedes contract for abusive increase in its price without reason ... and I will do so much as regards the audi</v>
      </c>
    </row>
    <row r="14">
      <c r="A14" s="2">
        <v>5.0</v>
      </c>
      <c r="B14" s="2" t="s">
        <v>62</v>
      </c>
      <c r="C14" s="2" t="s">
        <v>63</v>
      </c>
      <c r="D14" s="2" t="s">
        <v>64</v>
      </c>
      <c r="E14" s="2" t="s">
        <v>21</v>
      </c>
      <c r="F14" s="2" t="s">
        <v>15</v>
      </c>
      <c r="G14" s="2" t="s">
        <v>65</v>
      </c>
      <c r="H14" s="2" t="s">
        <v>23</v>
      </c>
      <c r="I14" s="2" t="str">
        <f>IFERROR(__xludf.DUMMYFUNCTION("GOOGLETRANSLATE(C14,""fr"",""en"")"),"Inexpensive insurance, competent and efficient customer service. Ergonomic and practical website regarding the sending of documents. The signing of the contract and the reception of the green card is very fast and effective")</f>
        <v>Inexpensive insurance, competent and efficient customer service. Ergonomic and practical website regarding the sending of documents. The signing of the contract and the reception of the green card is very fast and effective</v>
      </c>
    </row>
    <row r="15">
      <c r="A15" s="2">
        <v>4.0</v>
      </c>
      <c r="B15" s="2" t="s">
        <v>66</v>
      </c>
      <c r="C15" s="2" t="s">
        <v>67</v>
      </c>
      <c r="D15" s="2" t="s">
        <v>68</v>
      </c>
      <c r="E15" s="2" t="s">
        <v>14</v>
      </c>
      <c r="F15" s="2" t="s">
        <v>15</v>
      </c>
      <c r="G15" s="2" t="s">
        <v>69</v>
      </c>
      <c r="H15" s="2" t="s">
        <v>70</v>
      </c>
      <c r="I15" s="2" t="str">
        <f>IFERROR(__xludf.DUMMYFUNCTION("GOOGLETRANSLATE(C15,""fr"",""en"")"),"17.06.2021
Very happy for the moment to have taken this mutual, the staff is pleasant with a good relationship and professional sense. My intervention of this day with Nisrine was conclusive.")</f>
        <v>17.06.2021
Very happy for the moment to have taken this mutual, the staff is pleasant with a good relationship and professional sense. My intervention of this day with Nisrine was conclusive.</v>
      </c>
    </row>
    <row r="16">
      <c r="A16" s="2">
        <v>5.0</v>
      </c>
      <c r="B16" s="2" t="s">
        <v>71</v>
      </c>
      <c r="C16" s="2" t="s">
        <v>72</v>
      </c>
      <c r="D16" s="2" t="s">
        <v>73</v>
      </c>
      <c r="E16" s="2" t="s">
        <v>74</v>
      </c>
      <c r="F16" s="2" t="s">
        <v>15</v>
      </c>
      <c r="G16" s="2" t="s">
        <v>75</v>
      </c>
      <c r="H16" s="2" t="s">
        <v>45</v>
      </c>
      <c r="I16" s="2" t="str">
        <f>IFERROR(__xludf.DUMMYFUNCTION("GOOGLETRANSLATE(C16,""fr"",""en"")"),"Excellent contact and service proposal The advisor is very professional and answered all of my questions. The offer is efficient compared to other players. Efficient and diligent service.")</f>
        <v>Excellent contact and service proposal The advisor is very professional and answered all of my questions. The offer is efficient compared to other players. Efficient and diligent service.</v>
      </c>
    </row>
    <row r="17">
      <c r="A17" s="2">
        <v>4.0</v>
      </c>
      <c r="B17" s="2" t="s">
        <v>76</v>
      </c>
      <c r="C17" s="2" t="s">
        <v>77</v>
      </c>
      <c r="D17" s="2" t="s">
        <v>78</v>
      </c>
      <c r="E17" s="2" t="s">
        <v>79</v>
      </c>
      <c r="F17" s="2" t="s">
        <v>15</v>
      </c>
      <c r="G17" s="2" t="s">
        <v>80</v>
      </c>
      <c r="H17" s="2" t="s">
        <v>81</v>
      </c>
      <c r="I17" s="2" t="str">
        <f>IFERROR(__xludf.DUMMYFUNCTION("GOOGLETRANSLATE(C17,""fr"",""en"")"),"Friendly telephone welcome with a pleasant and understanding advisor (Hamza).
Basic prices are quite correct but the price of options is high.")</f>
        <v>Friendly telephone welcome with a pleasant and understanding advisor (Hamza).
Basic prices are quite correct but the price of options is high.</v>
      </c>
    </row>
    <row r="18">
      <c r="A18" s="2">
        <v>5.0</v>
      </c>
      <c r="B18" s="2" t="s">
        <v>82</v>
      </c>
      <c r="C18" s="2" t="s">
        <v>83</v>
      </c>
      <c r="D18" s="2" t="s">
        <v>20</v>
      </c>
      <c r="E18" s="2" t="s">
        <v>21</v>
      </c>
      <c r="F18" s="2" t="s">
        <v>15</v>
      </c>
      <c r="G18" s="2" t="s">
        <v>84</v>
      </c>
      <c r="H18" s="2" t="s">
        <v>45</v>
      </c>
      <c r="I18" s="2" t="str">
        <f>IFERROR(__xludf.DUMMYFUNCTION("GOOGLETRANSLATE(C18,""fr"",""en"")"),"Very satisfied very fast and easy to use quick response very friendly advisor I got my quote fairly quickly and sinople filled my request")</f>
        <v>Very satisfied very fast and easy to use quick response very friendly advisor I got my quote fairly quickly and sinople filled my request</v>
      </c>
    </row>
    <row r="19">
      <c r="A19" s="2">
        <v>5.0</v>
      </c>
      <c r="B19" s="2" t="s">
        <v>85</v>
      </c>
      <c r="C19" s="2" t="s">
        <v>86</v>
      </c>
      <c r="D19" s="2" t="s">
        <v>87</v>
      </c>
      <c r="E19" s="2" t="s">
        <v>79</v>
      </c>
      <c r="F19" s="2" t="s">
        <v>15</v>
      </c>
      <c r="G19" s="2" t="s">
        <v>88</v>
      </c>
      <c r="H19" s="2" t="s">
        <v>89</v>
      </c>
      <c r="I19" s="2" t="str">
        <f>IFERROR(__xludf.DUMMYFUNCTION("GOOGLETRANSLATE(C19,""fr"",""en"")"),"Perfect, the prices are well depending on the age, fast, I register alone on the internet, everything is well indicated and clear. In 10min I was insured.")</f>
        <v>Perfect, the prices are well depending on the age, fast, I register alone on the internet, everything is well indicated and clear. In 10min I was insured.</v>
      </c>
    </row>
    <row r="20">
      <c r="A20" s="2">
        <v>5.0</v>
      </c>
      <c r="B20" s="2" t="s">
        <v>90</v>
      </c>
      <c r="C20" s="2" t="s">
        <v>91</v>
      </c>
      <c r="D20" s="2" t="s">
        <v>20</v>
      </c>
      <c r="E20" s="2" t="s">
        <v>21</v>
      </c>
      <c r="F20" s="2" t="s">
        <v>15</v>
      </c>
      <c r="G20" s="2" t="s">
        <v>92</v>
      </c>
      <c r="H20" s="2" t="s">
        <v>89</v>
      </c>
      <c r="I20" s="2" t="str">
        <f>IFERROR(__xludf.DUMMYFUNCTION("GOOGLETRANSLATE(C20,""fr"",""en"")"),"I am satisfied with the service and the prices.
I went to see another insurer and here I am back :)
You are responsive and your site and ergonomic.")</f>
        <v>I am satisfied with the service and the prices.
I went to see another insurer and here I am back :)
You are responsive and your site and ergonomic.</v>
      </c>
    </row>
    <row r="21" ht="15.75" customHeight="1">
      <c r="A21" s="2">
        <v>3.0</v>
      </c>
      <c r="B21" s="2" t="s">
        <v>93</v>
      </c>
      <c r="C21" s="2" t="s">
        <v>94</v>
      </c>
      <c r="D21" s="2" t="s">
        <v>95</v>
      </c>
      <c r="E21" s="2" t="s">
        <v>21</v>
      </c>
      <c r="F21" s="2" t="s">
        <v>15</v>
      </c>
      <c r="G21" s="2" t="s">
        <v>96</v>
      </c>
      <c r="H21" s="2" t="s">
        <v>97</v>
      </c>
      <c r="I21" s="2" t="str">
        <f>IFERROR(__xludf.DUMMYFUNCTION("GOOGLETRANSLATE(C21,""fr"",""en"")"),"Hi there
I am a new client and like a person previously I had practically the same concerns a car flight. At the beginning no problem sending quick papers to make my statement for more than a month now I thought that lately after having had the expert an"&amp;"d put informed with my matmut insurance, which said to me to be insured for 3 years for theft or accident at the amount of the DubVehule invoice. After 10 days I receive an email which explains to me that my file is sent to the headquarters to see if it o"&amp;"r had not been faded and at the same time see my report when my vehicle was not found I have had the certainty because the gendarmes contacted me, how can we conclude to a break -in. So even delay to have a vehicle which will cause me huge problems when I"&amp;" no longer have the loan of vehicle knowing that I am Auxiliary of life, the car is a daily work tool.
Suffice to say that all the reasons are good for the Matmut not to respect their contracts however it seems to me to be free so very very disappointed
"&amp;"
And let's talk about the numbers of times I had to contact them by phone, because they were missing from the papers they had received in double copies
For the moment I don't think much of the Matmut good")</f>
        <v>Hi there
I am a new client and like a person previously I had practically the same concerns a car flight. At the beginning no problem sending quick papers to make my statement for more than a month now I thought that lately after having had the expert and put informed with my matmut insurance, which said to me to be insured for 3 years for theft or accident at the amount of the DubVehule invoice. After 10 days I receive an email which explains to me that my file is sent to the headquarters to see if it or had not been faded and at the same time see my report when my vehicle was not found I have had the certainty because the gendarmes contacted me, how can we conclude to a break -in. So even delay to have a vehicle which will cause me huge problems when I no longer have the loan of vehicle knowing that I am Auxiliary of life, the car is a daily work tool.
Suffice to say that all the reasons are good for the Matmut not to respect their contracts however it seems to me to be free so very very disappointed
And let's talk about the numbers of times I had to contact them by phone, because they were missing from the papers they had received in double copies
For the moment I don't think much of the Matmut good</v>
      </c>
    </row>
    <row r="22" ht="15.75" customHeight="1">
      <c r="A22" s="2">
        <v>1.0</v>
      </c>
      <c r="B22" s="2" t="s">
        <v>98</v>
      </c>
      <c r="C22" s="2" t="s">
        <v>99</v>
      </c>
      <c r="D22" s="2" t="s">
        <v>35</v>
      </c>
      <c r="E22" s="2" t="s">
        <v>21</v>
      </c>
      <c r="F22" s="2" t="s">
        <v>15</v>
      </c>
      <c r="G22" s="2" t="s">
        <v>100</v>
      </c>
      <c r="H22" s="2" t="s">
        <v>101</v>
      </c>
      <c r="I22" s="2" t="str">
        <f>IFERROR(__xludf.DUMMYFUNCTION("GOOGLETRANSLATE(C22,""fr"",""en"")"),"This insurance is an absolute scandal! GMF, ""insurance"" ... as long as we don't need insurance! 16 years old at home, bonus of 0.50 definitively acquired and PAF: two non-resident claims in 18 months ... Result: radiation! What is this insurance for ???"&amp;" It is only suitable for customers never having claims ... as soon as they need them, they put you down. Hello absurd logic! As ""60 million consumers"" says, GMF is customary because. In short, to avoid ...")</f>
        <v>This insurance is an absolute scandal! GMF, "insurance" ... as long as we don't need insurance! 16 years old at home, bonus of 0.50 definitively acquired and PAF: two non-resident claims in 18 months ... Result: radiation! What is this insurance for ??? It is only suitable for customers never having claims ... as soon as they need them, they put you down. Hello absurd logic! As "60 million consumers" says, GMF is customary because. In short, to avoid ...</v>
      </c>
    </row>
    <row r="23" ht="15.75" customHeight="1">
      <c r="A23" s="2">
        <v>2.0</v>
      </c>
      <c r="B23" s="2" t="s">
        <v>102</v>
      </c>
      <c r="C23" s="2" t="s">
        <v>103</v>
      </c>
      <c r="D23" s="2" t="s">
        <v>64</v>
      </c>
      <c r="E23" s="2" t="s">
        <v>21</v>
      </c>
      <c r="F23" s="2" t="s">
        <v>15</v>
      </c>
      <c r="G23" s="2" t="s">
        <v>104</v>
      </c>
      <c r="H23" s="2" t="s">
        <v>89</v>
      </c>
      <c r="I23" s="2" t="str">
        <f>IFERROR(__xludf.DUMMYFUNCTION("GOOGLETRANSLATE(C23,""fr"",""en"")"),"Insurance that attracts you with aggressive and low prices compared to other insurance companies ... But after barely 15 days of contract, you already have lots of unpleasant surprises. The prices vary very quickly as soon as you want to add a simple opti"&amp;"on. So ultimately the prices are not so interesting.")</f>
        <v>Insurance that attracts you with aggressive and low prices compared to other insurance companies ... But after barely 15 days of contract, you already have lots of unpleasant surprises. The prices vary very quickly as soon as you want to add a simple option. So ultimately the prices are not so interesting.</v>
      </c>
    </row>
    <row r="24" ht="15.75" customHeight="1">
      <c r="A24" s="2">
        <v>3.0</v>
      </c>
      <c r="B24" s="2" t="s">
        <v>105</v>
      </c>
      <c r="C24" s="2" t="s">
        <v>106</v>
      </c>
      <c r="D24" s="2" t="s">
        <v>78</v>
      </c>
      <c r="E24" s="2" t="s">
        <v>79</v>
      </c>
      <c r="F24" s="2" t="s">
        <v>15</v>
      </c>
      <c r="G24" s="2" t="s">
        <v>61</v>
      </c>
      <c r="H24" s="2" t="s">
        <v>58</v>
      </c>
      <c r="I24" s="2" t="str">
        <f>IFERROR(__xludf.DUMMYFUNCTION("GOOGLETRANSLATE(C24,""fr"",""en"")"),"Simple and quick to set up, correct price but concerning the guarantees that remains vague. A strange advisor contacted me and he did not inspire me.")</f>
        <v>Simple and quick to set up, correct price but concerning the guarantees that remains vague. A strange advisor contacted me and he did not inspire me.</v>
      </c>
    </row>
    <row r="25" ht="15.75" customHeight="1">
      <c r="A25" s="2">
        <v>5.0</v>
      </c>
      <c r="B25" s="2" t="s">
        <v>107</v>
      </c>
      <c r="C25" s="2" t="s">
        <v>108</v>
      </c>
      <c r="D25" s="2" t="s">
        <v>109</v>
      </c>
      <c r="E25" s="2" t="s">
        <v>110</v>
      </c>
      <c r="F25" s="2" t="s">
        <v>15</v>
      </c>
      <c r="G25" s="2" t="s">
        <v>111</v>
      </c>
      <c r="H25" s="2" t="s">
        <v>112</v>
      </c>
      <c r="I25" s="2" t="str">
        <f>IFERROR(__xludf.DUMMYFUNCTION("GOOGLETRANSLATE(C25,""fr"",""en"")"),"Nothing to say they have the value for money, I'm a client at home it's been 7 years old and I have 6 animals 4 dogs and 2 cats, I don't see why people have fun saying anything just to break the 'Image of a company")</f>
        <v>Nothing to say they have the value for money, I'm a client at home it's been 7 years old and I have 6 animals 4 dogs and 2 cats, I don't see why people have fun saying anything just to break the 'Image of a company</v>
      </c>
    </row>
    <row r="26" ht="15.75" customHeight="1">
      <c r="A26" s="2">
        <v>5.0</v>
      </c>
      <c r="B26" s="2" t="s">
        <v>113</v>
      </c>
      <c r="C26" s="2" t="s">
        <v>114</v>
      </c>
      <c r="D26" s="2" t="s">
        <v>64</v>
      </c>
      <c r="E26" s="2" t="s">
        <v>21</v>
      </c>
      <c r="F26" s="2" t="s">
        <v>15</v>
      </c>
      <c r="G26" s="2" t="s">
        <v>115</v>
      </c>
      <c r="H26" s="2" t="s">
        <v>116</v>
      </c>
      <c r="I26" s="2" t="str">
        <f>IFERROR(__xludf.DUMMYFUNCTION("GOOGLETRANSLATE(C26,""fr"",""en"")"),"hello I am very satisfied with the insurer the olive assurance car I even think to take other contras")</f>
        <v>hello I am very satisfied with the insurer the olive assurance car I even think to take other contras</v>
      </c>
    </row>
    <row r="27" ht="15.75" customHeight="1">
      <c r="A27" s="2">
        <v>1.0</v>
      </c>
      <c r="B27" s="2" t="s">
        <v>117</v>
      </c>
      <c r="C27" s="2" t="s">
        <v>118</v>
      </c>
      <c r="D27" s="2" t="s">
        <v>119</v>
      </c>
      <c r="E27" s="2" t="s">
        <v>79</v>
      </c>
      <c r="F27" s="2" t="s">
        <v>15</v>
      </c>
      <c r="G27" s="2" t="s">
        <v>120</v>
      </c>
      <c r="H27" s="2" t="s">
        <v>121</v>
      </c>
      <c r="I27" s="2" t="str">
        <f>IFERROR(__xludf.DUMMYFUNCTION("GOOGLETRANSLATE(C27,""fr"",""en"")"),"In August 2017 I was the victim of an accident which my responsibility was not engaged. After countless emails and telephone calls I obtained 3 months after a partial repayment of repairs. AXA deduced without any explanation the amount of the deductible, "&amp;"280 euros. Since Axa remains deaf to my reminders")</f>
        <v>In August 2017 I was the victim of an accident which my responsibility was not engaged. After countless emails and telephone calls I obtained 3 months after a partial repayment of repairs. AXA deduced without any explanation the amount of the deductible, 280 euros. Since Axa remains deaf to my reminders</v>
      </c>
    </row>
    <row r="28" ht="15.75" customHeight="1">
      <c r="A28" s="2">
        <v>4.0</v>
      </c>
      <c r="B28" s="2" t="s">
        <v>122</v>
      </c>
      <c r="C28" s="2" t="s">
        <v>123</v>
      </c>
      <c r="D28" s="2" t="s">
        <v>64</v>
      </c>
      <c r="E28" s="2" t="s">
        <v>21</v>
      </c>
      <c r="F28" s="2" t="s">
        <v>15</v>
      </c>
      <c r="G28" s="2" t="s">
        <v>124</v>
      </c>
      <c r="H28" s="2" t="s">
        <v>58</v>
      </c>
      <c r="I28" s="2" t="str">
        <f>IFERROR(__xludf.DUMMYFUNCTION("GOOGLETRANSLATE(C28,""fr"",""en"")"),"The prices are quite suitable. But the telephone reception nothing to say.
I don't have to put an opinion if I have nothing to say. thank you.")</f>
        <v>The prices are quite suitable. But the telephone reception nothing to say.
I don't have to put an opinion if I have nothing to say. thank you.</v>
      </c>
    </row>
    <row r="29" ht="15.75" customHeight="1">
      <c r="A29" s="2">
        <v>1.0</v>
      </c>
      <c r="B29" s="2" t="s">
        <v>125</v>
      </c>
      <c r="C29" s="2" t="s">
        <v>126</v>
      </c>
      <c r="D29" s="2" t="s">
        <v>119</v>
      </c>
      <c r="E29" s="2" t="s">
        <v>21</v>
      </c>
      <c r="F29" s="2" t="s">
        <v>15</v>
      </c>
      <c r="G29" s="2" t="s">
        <v>127</v>
      </c>
      <c r="H29" s="2" t="s">
        <v>128</v>
      </c>
      <c r="I29" s="2" t="str">
        <f>IFERROR(__xludf.DUMMYFUNCTION("GOOGLETRANSLATE(C29,""fr"",""en"")"),"I would have liked to be able to put 0 as service and customer relationship. Non -existent at the limit of contempt. Given the price compared to the market, we expect quality of service. To avoid")</f>
        <v>I would have liked to be able to put 0 as service and customer relationship. Non -existent at the limit of contempt. Given the price compared to the market, we expect quality of service. To avoid</v>
      </c>
    </row>
    <row r="30" ht="15.75" customHeight="1">
      <c r="A30" s="2">
        <v>2.0</v>
      </c>
      <c r="B30" s="2" t="s">
        <v>129</v>
      </c>
      <c r="C30" s="2" t="s">
        <v>130</v>
      </c>
      <c r="D30" s="2" t="s">
        <v>40</v>
      </c>
      <c r="E30" s="2" t="s">
        <v>14</v>
      </c>
      <c r="F30" s="2" t="s">
        <v>15</v>
      </c>
      <c r="G30" s="2" t="s">
        <v>131</v>
      </c>
      <c r="H30" s="2" t="s">
        <v>23</v>
      </c>
      <c r="I30" s="2" t="str">
        <f>IFERROR(__xludf.DUMMYFUNCTION("GOOGLETRANSLATE(C30,""fr"",""en"")"),"I deplore the absence of management of fees overruns whatever they are
I had cancer and am therefore 100% for all that relates to gynecology outside the excess fees in this section are not taken care of")</f>
        <v>I deplore the absence of management of fees overruns whatever they are
I had cancer and am therefore 100% for all that relates to gynecology outside the excess fees in this section are not taken care of</v>
      </c>
    </row>
    <row r="31" ht="15.75" customHeight="1">
      <c r="A31" s="2">
        <v>2.0</v>
      </c>
      <c r="B31" s="2" t="s">
        <v>132</v>
      </c>
      <c r="C31" s="2" t="s">
        <v>133</v>
      </c>
      <c r="D31" s="2" t="s">
        <v>134</v>
      </c>
      <c r="E31" s="2" t="s">
        <v>14</v>
      </c>
      <c r="F31" s="2" t="s">
        <v>15</v>
      </c>
      <c r="G31" s="2" t="s">
        <v>135</v>
      </c>
      <c r="H31" s="2" t="s">
        <v>81</v>
      </c>
      <c r="I31" s="2" t="str">
        <f>IFERROR(__xludf.DUMMYFUNCTION("GOOGLETRANSLATE(C31,""fr"",""en"")"),"Zero health insurance. Do not reimburse the glasses if you do not take the news for full reimbursement it wants an awful mount and glasses that are not suitable for your view. Follow this mutual. Flee.c is a mutual to flee")</f>
        <v>Zero health insurance. Do not reimburse the glasses if you do not take the news for full reimbursement it wants an awful mount and glasses that are not suitable for your view. Follow this mutual. Flee.c is a mutual to flee</v>
      </c>
    </row>
    <row r="32" ht="15.75" customHeight="1">
      <c r="A32" s="2">
        <v>5.0</v>
      </c>
      <c r="B32" s="2" t="s">
        <v>136</v>
      </c>
      <c r="C32" s="2" t="s">
        <v>137</v>
      </c>
      <c r="D32" s="2" t="s">
        <v>64</v>
      </c>
      <c r="E32" s="2" t="s">
        <v>21</v>
      </c>
      <c r="F32" s="2" t="s">
        <v>15</v>
      </c>
      <c r="G32" s="2" t="s">
        <v>138</v>
      </c>
      <c r="H32" s="2" t="s">
        <v>139</v>
      </c>
      <c r="I32" s="2" t="str">
        <f>IFERROR(__xludf.DUMMYFUNCTION("GOOGLETRANSLATE(C32,""fr"",""en"")"),"For the moment a 0 faults for all services to subscribe to the car contract.
Competitive prices, discount if annual payment, possibility of adding options, comparison of the different types of possible covers, very friendly and competent reception, fast "&amp;"quote and follow -up that follows, very simple and fast procedure.
Very high fluidity in the different stages of subscription. Nice discovery.
To do with use now. But it starts very well.")</f>
        <v>For the moment a 0 faults for all services to subscribe to the car contract.
Competitive prices, discount if annual payment, possibility of adding options, comparison of the different types of possible covers, very friendly and competent reception, fast quote and follow -up that follows, very simple and fast procedure.
Very high fluidity in the different stages of subscription. Nice discovery.
To do with use now. But it starts very well.</v>
      </c>
    </row>
    <row r="33" ht="15.75" customHeight="1">
      <c r="A33" s="2">
        <v>5.0</v>
      </c>
      <c r="B33" s="2" t="s">
        <v>140</v>
      </c>
      <c r="C33" s="2" t="s">
        <v>141</v>
      </c>
      <c r="D33" s="2" t="s">
        <v>142</v>
      </c>
      <c r="E33" s="2" t="s">
        <v>21</v>
      </c>
      <c r="F33" s="2" t="s">
        <v>15</v>
      </c>
      <c r="G33" s="2" t="s">
        <v>143</v>
      </c>
      <c r="H33" s="2" t="s">
        <v>45</v>
      </c>
      <c r="I33" s="2" t="str">
        <f>IFERROR(__xludf.DUMMYFUNCTION("GOOGLETRANSLATE(C33,""fr"",""en"")"),"I was very satisfied with my insurer La Macif
In terms of price, I have nothing to add
The quality of the services are of a high level
At the Macif, the interlocutors are very courteous, whether at the agency or on the phone
I have always obtained, fa"&amp;"st, clear and precise answers at my request
")</f>
        <v>I was very satisfied with my insurer La Macif
In terms of price, I have nothing to add
The quality of the services are of a high level
At the Macif, the interlocutors are very courteous, whether at the agency or on the phone
I have always obtained, fast, clear and precise answers at my request
</v>
      </c>
    </row>
    <row r="34" ht="15.75" customHeight="1">
      <c r="A34" s="2">
        <v>3.0</v>
      </c>
      <c r="B34" s="2" t="s">
        <v>144</v>
      </c>
      <c r="C34" s="2" t="s">
        <v>145</v>
      </c>
      <c r="D34" s="2" t="s">
        <v>35</v>
      </c>
      <c r="E34" s="2" t="s">
        <v>21</v>
      </c>
      <c r="F34" s="2" t="s">
        <v>15</v>
      </c>
      <c r="G34" s="2" t="s">
        <v>146</v>
      </c>
      <c r="H34" s="2" t="s">
        <v>112</v>
      </c>
      <c r="I34" s="2" t="str">
        <f>IFERROR(__xludf.DUMMYFUNCTION("GOOGLETRANSLATE(C34,""fr"",""en"")"),"Personally I am very satisfied the staff is very kind no problem")</f>
        <v>Personally I am very satisfied the staff is very kind no problem</v>
      </c>
    </row>
    <row r="35" ht="15.75" customHeight="1">
      <c r="A35" s="2">
        <v>1.0</v>
      </c>
      <c r="B35" s="2" t="s">
        <v>147</v>
      </c>
      <c r="C35" s="2" t="s">
        <v>148</v>
      </c>
      <c r="D35" s="2" t="s">
        <v>20</v>
      </c>
      <c r="E35" s="2" t="s">
        <v>21</v>
      </c>
      <c r="F35" s="2" t="s">
        <v>15</v>
      </c>
      <c r="G35" s="2" t="s">
        <v>149</v>
      </c>
      <c r="H35" s="2" t="s">
        <v>139</v>
      </c>
      <c r="I35" s="2" t="str">
        <f>IFERROR(__xludf.DUMMYFUNCTION("GOOGLETRANSLATE(C35,""fr"",""en"")"),"Big problem on the contract subscribed to the Kia Niro vehicle: quote accepted then canceled and terminated 4 days later: payment made no refund received inadmissible")</f>
        <v>Big problem on the contract subscribed to the Kia Niro vehicle: quote accepted then canceled and terminated 4 days later: payment made no refund received inadmissible</v>
      </c>
    </row>
    <row r="36" ht="15.75" customHeight="1">
      <c r="A36" s="2">
        <v>1.0</v>
      </c>
      <c r="B36" s="2" t="s">
        <v>150</v>
      </c>
      <c r="C36" s="2" t="s">
        <v>151</v>
      </c>
      <c r="D36" s="2" t="s">
        <v>64</v>
      </c>
      <c r="E36" s="2" t="s">
        <v>21</v>
      </c>
      <c r="F36" s="2" t="s">
        <v>15</v>
      </c>
      <c r="G36" s="2" t="s">
        <v>152</v>
      </c>
      <c r="H36" s="2" t="s">
        <v>89</v>
      </c>
      <c r="I36" s="2" t="str">
        <f>IFERROR(__xludf.DUMMYFUNCTION("GOOGLETRANSLATE(C36,""fr"",""en"")"),"I am very satisfied with customer service, listening, speed and lower prices compared to my old insurance. I recommend the olive assurance.")</f>
        <v>I am very satisfied with customer service, listening, speed and lower prices compared to my old insurance. I recommend the olive assurance.</v>
      </c>
    </row>
    <row r="37" ht="15.75" customHeight="1">
      <c r="A37" s="2">
        <v>1.0</v>
      </c>
      <c r="B37" s="2" t="s">
        <v>153</v>
      </c>
      <c r="C37" s="2" t="s">
        <v>154</v>
      </c>
      <c r="D37" s="2" t="s">
        <v>155</v>
      </c>
      <c r="E37" s="2" t="s">
        <v>21</v>
      </c>
      <c r="F37" s="2" t="s">
        <v>15</v>
      </c>
      <c r="G37" s="2" t="s">
        <v>156</v>
      </c>
      <c r="H37" s="2" t="s">
        <v>121</v>
      </c>
      <c r="I37" s="2" t="str">
        <f>IFERROR(__xludf.DUMMYFUNCTION("GOOGLETRANSLATE(C37,""fr"",""en"")"),"Subscription of a home and car insurance contract (Peugeot 207 first hand of 2008), ensure at Eurofil already 8 years old, exemplary driver with zero -clay for all this time, possession of the permit obtained in 1988 (30 years), bonus 50% (in 2001).
Rece"&amp;"ived to date my notice of maturity with you are well an increase in my auto premium by 10%(9 times more than inflation) ???.
Already the last year it had jumped more than 41%(yes you read correctly), naturally to maintain my 2017 subscription in previous"&amp;" years I had to plane my car insurance premium (no more breakage ice, driver protection compensation Divide by 2) ......... at the assistantuuuuuuuuu.")</f>
        <v>Subscription of a home and car insurance contract (Peugeot 207 first hand of 2008), ensure at Eurofil already 8 years old, exemplary driver with zero -clay for all this time, possession of the permit obtained in 1988 (30 years), bonus 50% (in 2001).
Received to date my notice of maturity with you are well an increase in my auto premium by 10%(9 times more than inflation) ???.
Already the last year it had jumped more than 41%(yes you read correctly), naturally to maintain my 2017 subscription in previous years I had to plane my car insurance premium (no more breakage ice, driver protection compensation Divide by 2) ......... at the assistantuuuuuuuuu.</v>
      </c>
    </row>
    <row r="38" ht="15.75" customHeight="1">
      <c r="A38" s="2">
        <v>2.0</v>
      </c>
      <c r="B38" s="2" t="s">
        <v>157</v>
      </c>
      <c r="C38" s="2" t="s">
        <v>158</v>
      </c>
      <c r="D38" s="2" t="s">
        <v>159</v>
      </c>
      <c r="E38" s="2" t="s">
        <v>74</v>
      </c>
      <c r="F38" s="2" t="s">
        <v>15</v>
      </c>
      <c r="G38" s="2" t="s">
        <v>160</v>
      </c>
      <c r="H38" s="2" t="s">
        <v>161</v>
      </c>
      <c r="I38" s="2" t="str">
        <f>IFERROR(__xludf.DUMMYFUNCTION("GOOGLETRANSLATE(C38,""fr"",""en"")"),"The Gan constantly changes procedure without informing the beneficiary. In disability for years, there are payment losses.
")</f>
        <v>The Gan constantly changes procedure without informing the beneficiary. In disability for years, there are payment losses.
</v>
      </c>
    </row>
    <row r="39" ht="15.75" customHeight="1">
      <c r="A39" s="2">
        <v>5.0</v>
      </c>
      <c r="B39" s="2" t="s">
        <v>162</v>
      </c>
      <c r="C39" s="2" t="s">
        <v>163</v>
      </c>
      <c r="D39" s="2" t="s">
        <v>78</v>
      </c>
      <c r="E39" s="2" t="s">
        <v>79</v>
      </c>
      <c r="F39" s="2" t="s">
        <v>15</v>
      </c>
      <c r="G39" s="2" t="s">
        <v>164</v>
      </c>
      <c r="H39" s="2" t="s">
        <v>58</v>
      </c>
      <c r="I39" s="2" t="str">
        <f>IFERROR(__xludf.DUMMYFUNCTION("GOOGLETRANSLATE(C39,""fr"",""en"")"),"I am delighted the value for money is formidable on the insurance contract is top, it remains to be seen if in case of sinister the insurance is effective and reactive")</f>
        <v>I am delighted the value for money is formidable on the insurance contract is top, it remains to be seen if in case of sinister the insurance is effective and reactive</v>
      </c>
    </row>
    <row r="40" ht="15.75" customHeight="1">
      <c r="A40" s="2">
        <v>2.0</v>
      </c>
      <c r="B40" s="2" t="s">
        <v>165</v>
      </c>
      <c r="C40" s="2" t="s">
        <v>166</v>
      </c>
      <c r="D40" s="2" t="s">
        <v>119</v>
      </c>
      <c r="E40" s="2" t="s">
        <v>21</v>
      </c>
      <c r="F40" s="2" t="s">
        <v>15</v>
      </c>
      <c r="G40" s="2" t="s">
        <v>167</v>
      </c>
      <c r="H40" s="2" t="s">
        <v>168</v>
      </c>
      <c r="I40" s="2" t="str">
        <f>IFERROR(__xludf.DUMMYFUNCTION("GOOGLETRANSLATE(C40,""fr"",""en"")"),"Good company in terms of guarantees, but despite more than 10 years as a without sinister customer, premiums are increasing every year, which is not an act to retain customers.")</f>
        <v>Good company in terms of guarantees, but despite more than 10 years as a without sinister customer, premiums are increasing every year, which is not an act to retain customers.</v>
      </c>
    </row>
    <row r="41" ht="15.75" customHeight="1">
      <c r="A41" s="2">
        <v>4.0</v>
      </c>
      <c r="B41" s="2" t="s">
        <v>169</v>
      </c>
      <c r="C41" s="2" t="s">
        <v>170</v>
      </c>
      <c r="D41" s="2" t="s">
        <v>20</v>
      </c>
      <c r="E41" s="2" t="s">
        <v>21</v>
      </c>
      <c r="F41" s="2" t="s">
        <v>15</v>
      </c>
      <c r="G41" s="2" t="s">
        <v>171</v>
      </c>
      <c r="H41" s="2" t="s">
        <v>23</v>
      </c>
      <c r="I41" s="2" t="str">
        <f>IFERROR(__xludf.DUMMYFUNCTION("GOOGLETRANSLATE(C41,""fr"",""en"")"),"I am satisfied with the price I would recommend direct assurance to friends and I think I was assured my house too in addition if I find friends the godfather at 20 euros and the godson too")</f>
        <v>I am satisfied with the price I would recommend direct assurance to friends and I think I was assured my house too in addition if I find friends the godfather at 20 euros and the godson too</v>
      </c>
    </row>
    <row r="42" ht="15.75" customHeight="1">
      <c r="A42" s="2">
        <v>3.0</v>
      </c>
      <c r="B42" s="2" t="s">
        <v>172</v>
      </c>
      <c r="C42" s="2" t="s">
        <v>173</v>
      </c>
      <c r="D42" s="2" t="s">
        <v>40</v>
      </c>
      <c r="E42" s="2" t="s">
        <v>74</v>
      </c>
      <c r="F42" s="2" t="s">
        <v>15</v>
      </c>
      <c r="G42" s="2" t="s">
        <v>174</v>
      </c>
      <c r="H42" s="2" t="s">
        <v>89</v>
      </c>
      <c r="I42" s="2" t="str">
        <f>IFERROR(__xludf.DUMMYFUNCTION("GOOGLETRANSLATE(C42,""fr"",""en"")"),"I find the contributions particularly high. Besides the reimbursement levels in certain key sectors (dental, ophthalmology) are quite low.")</f>
        <v>I find the contributions particularly high. Besides the reimbursement levels in certain key sectors (dental, ophthalmology) are quite low.</v>
      </c>
    </row>
    <row r="43" ht="15.75" customHeight="1">
      <c r="A43" s="2">
        <v>1.0</v>
      </c>
      <c r="B43" s="2" t="s">
        <v>175</v>
      </c>
      <c r="C43" s="2" t="s">
        <v>176</v>
      </c>
      <c r="D43" s="2" t="s">
        <v>20</v>
      </c>
      <c r="E43" s="2" t="s">
        <v>21</v>
      </c>
      <c r="F43" s="2" t="s">
        <v>15</v>
      </c>
      <c r="G43" s="2" t="s">
        <v>177</v>
      </c>
      <c r="H43" s="2" t="s">
        <v>178</v>
      </c>
      <c r="I43" s="2" t="str">
        <f>IFERROR(__xludf.DUMMYFUNCTION("GOOGLETRANSLATE(C43,""fr"",""en"")"),"My opinion on Direct Assurance, very disappointing, which I reported to a consumer defense association.
On the other hand, if you call them, your fall on a platform we do not know where, and the people you have on the phone, either are unable to understa"&amp;"nd your request, or give you different information depending on those who answer you . And finally, their prices are not more interesting, see more expensive, than at other insurers, and it is best to address an insurer with an agency. Contact is strongly"&amp;" facilitated.
As a result, I left them and went to make sure elsewhere.
I hope this opinion will be broadcast with other consumers, so that they do not have to have as it happened to me.
")</f>
        <v>My opinion on Direct Assurance, very disappointing, which I reported to a consumer defense association.
On the other hand, if you call them, your fall on a platform we do not know where, and the people you have on the phone, either are unable to understand your request, or give you different information depending on those who answer you . And finally, their prices are not more interesting, see more expensive, than at other insurers, and it is best to address an insurer with an agency. Contact is strongly facilitated.
As a result, I left them and went to make sure elsewhere.
I hope this opinion will be broadcast with other consumers, so that they do not have to have as it happened to me.
</v>
      </c>
    </row>
    <row r="44" ht="15.75" customHeight="1">
      <c r="A44" s="2">
        <v>5.0</v>
      </c>
      <c r="B44" s="2" t="s">
        <v>179</v>
      </c>
      <c r="C44" s="2" t="s">
        <v>180</v>
      </c>
      <c r="D44" s="2" t="s">
        <v>64</v>
      </c>
      <c r="E44" s="2" t="s">
        <v>21</v>
      </c>
      <c r="F44" s="2" t="s">
        <v>15</v>
      </c>
      <c r="G44" s="2" t="s">
        <v>181</v>
      </c>
      <c r="H44" s="2" t="s">
        <v>182</v>
      </c>
      <c r="I44" s="2" t="str">
        <f>IFERROR(__xludf.DUMMYFUNCTION("GOOGLETRANSLATE(C44,""fr"",""en"")"),"I decided to change auto insurance for a tariff issue.
I compared several insurances on the lynx and the olive assurance represented among the cheapest compared to my situation.
They are busy from the termination I had almost nothing to do.
This is the"&amp;" first time that I have changed auto insurance and frankly everything is done easily and quickly without communicating with anyone. All this online.
I recommend ! ??")</f>
        <v>I decided to change auto insurance for a tariff issue.
I compared several insurances on the lynx and the olive assurance represented among the cheapest compared to my situation.
They are busy from the termination I had almost nothing to do.
This is the first time that I have changed auto insurance and frankly everything is done easily and quickly without communicating with anyone. All this online.
I recommend ! ??</v>
      </c>
    </row>
    <row r="45" ht="15.75" customHeight="1">
      <c r="A45" s="2">
        <v>3.0</v>
      </c>
      <c r="B45" s="2" t="s">
        <v>183</v>
      </c>
      <c r="C45" s="2" t="s">
        <v>184</v>
      </c>
      <c r="D45" s="2" t="s">
        <v>13</v>
      </c>
      <c r="E45" s="2" t="s">
        <v>14</v>
      </c>
      <c r="F45" s="2" t="s">
        <v>15</v>
      </c>
      <c r="G45" s="2" t="s">
        <v>185</v>
      </c>
      <c r="H45" s="2" t="s">
        <v>186</v>
      </c>
      <c r="I45" s="2" t="str">
        <f>IFERROR(__xludf.DUMMYFUNCTION("GOOGLETRANSLATE(C45,""fr"",""en"")"),"I had an effective and operational warm contact, find the advisor to my listening and which will make me realize economies in the long term.")</f>
        <v>I had an effective and operational warm contact, find the advisor to my listening and which will make me realize economies in the long term.</v>
      </c>
    </row>
    <row r="46" ht="15.75" customHeight="1">
      <c r="A46" s="2">
        <v>5.0</v>
      </c>
      <c r="B46" s="2" t="s">
        <v>187</v>
      </c>
      <c r="C46" s="2" t="s">
        <v>188</v>
      </c>
      <c r="D46" s="2" t="s">
        <v>64</v>
      </c>
      <c r="E46" s="2" t="s">
        <v>21</v>
      </c>
      <c r="F46" s="2" t="s">
        <v>15</v>
      </c>
      <c r="G46" s="2" t="s">
        <v>149</v>
      </c>
      <c r="H46" s="2" t="s">
        <v>139</v>
      </c>
      <c r="I46" s="2" t="str">
        <f>IFERROR(__xludf.DUMMYFUNCTION("GOOGLETRANSLATE(C46,""fr"",""en"")"),"Friendly welcome ..... and a lot of listening and patience ....... well placed in terms of price ......... I recommend this insurance, it's great ??")</f>
        <v>Friendly welcome ..... and a lot of listening and patience ....... well placed in terms of price ......... I recommend this insurance, it's great ??</v>
      </c>
    </row>
    <row r="47" ht="15.75" customHeight="1">
      <c r="A47" s="2">
        <v>2.0</v>
      </c>
      <c r="B47" s="2" t="s">
        <v>189</v>
      </c>
      <c r="C47" s="2" t="s">
        <v>190</v>
      </c>
      <c r="D47" s="2" t="s">
        <v>20</v>
      </c>
      <c r="E47" s="2" t="s">
        <v>21</v>
      </c>
      <c r="F47" s="2" t="s">
        <v>15</v>
      </c>
      <c r="G47" s="2" t="s">
        <v>54</v>
      </c>
      <c r="H47" s="2" t="s">
        <v>23</v>
      </c>
      <c r="I47" s="2" t="str">
        <f>IFERROR(__xludf.DUMMYFUNCTION("GOOGLETRANSLATE(C47,""fr"",""en"")"),"Hello, I find that this insurance is more and more expensive, especially in times of containment with curfew or travel is less and less frequent. You should ensure km.")</f>
        <v>Hello, I find that this insurance is more and more expensive, especially in times of containment with curfew or travel is less and less frequent. You should ensure km.</v>
      </c>
    </row>
    <row r="48" ht="15.75" customHeight="1">
      <c r="A48" s="2">
        <v>3.0</v>
      </c>
      <c r="B48" s="2" t="s">
        <v>191</v>
      </c>
      <c r="C48" s="2" t="s">
        <v>192</v>
      </c>
      <c r="D48" s="2" t="s">
        <v>193</v>
      </c>
      <c r="E48" s="2" t="s">
        <v>74</v>
      </c>
      <c r="F48" s="2" t="s">
        <v>15</v>
      </c>
      <c r="G48" s="2" t="s">
        <v>194</v>
      </c>
      <c r="H48" s="2" t="s">
        <v>195</v>
      </c>
      <c r="I48" s="2" t="str">
        <f>IFERROR(__xludf.DUMMYFUNCTION("GOOGLETRANSLATE(C48,""fr"",""en"")"),"I have been waiting for payment of my allowances for 6 months by the provident service. A real disaster. I have never seen such a mediocre quality of service. The answers are always the same: we accuse a little delay: 6 months is no longer delay, it's a s"&amp;"hame!")</f>
        <v>I have been waiting for payment of my allowances for 6 months by the provident service. A real disaster. I have never seen such a mediocre quality of service. The answers are always the same: we accuse a little delay: 6 months is no longer delay, it's a shame!</v>
      </c>
    </row>
    <row r="49" ht="15.75" customHeight="1">
      <c r="A49" s="2">
        <v>5.0</v>
      </c>
      <c r="B49" s="2" t="s">
        <v>196</v>
      </c>
      <c r="C49" s="2" t="s">
        <v>197</v>
      </c>
      <c r="D49" s="2" t="s">
        <v>64</v>
      </c>
      <c r="E49" s="2" t="s">
        <v>21</v>
      </c>
      <c r="F49" s="2" t="s">
        <v>15</v>
      </c>
      <c r="G49" s="2" t="s">
        <v>65</v>
      </c>
      <c r="H49" s="2" t="s">
        <v>23</v>
      </c>
      <c r="I49" s="2" t="str">
        <f>IFERROR(__xludf.DUMMYFUNCTION("GOOGLETRANSLATE(C49,""fr"",""en"")"),"Fluidity of information, speed of the processing of the file, best value for money, remains attentive to the customer. I recommend to my family")</f>
        <v>Fluidity of information, speed of the processing of the file, best value for money, remains attentive to the customer. I recommend to my family</v>
      </c>
    </row>
    <row r="50" ht="15.75" customHeight="1">
      <c r="A50" s="2">
        <v>1.0</v>
      </c>
      <c r="B50" s="2" t="s">
        <v>198</v>
      </c>
      <c r="C50" s="2" t="s">
        <v>199</v>
      </c>
      <c r="D50" s="2" t="s">
        <v>200</v>
      </c>
      <c r="E50" s="2" t="s">
        <v>21</v>
      </c>
      <c r="F50" s="2" t="s">
        <v>15</v>
      </c>
      <c r="G50" s="2" t="s">
        <v>201</v>
      </c>
      <c r="H50" s="2" t="s">
        <v>112</v>
      </c>
      <c r="I50" s="2" t="str">
        <f>IFERROR(__xludf.DUMMYFUNCTION("GOOGLETRANSLATE(C50,""fr"",""en"")"),"It's a shame, I will not even call it insurance. Insure them for 6 months: at first no problem. And then a day after 6 months without worries, not seeing the sample being made I call them and there I fall from the naked. He announces that we stop the cont"&amp;"ract for no reason and that in addition he will not provide me with a statement of information. What is it to say? At least have I really been insured? Did he eat to take me into the void? Never subscribe they are in danger of people's lives. I intend to "&amp;"file a complaint against them.")</f>
        <v>It's a shame, I will not even call it insurance. Insure them for 6 months: at first no problem. And then a day after 6 months without worries, not seeing the sample being made I call them and there I fall from the naked. He announces that we stop the contract for no reason and that in addition he will not provide me with a statement of information. What is it to say? At least have I really been insured? Did he eat to take me into the void? Never subscribe they are in danger of people's lives. I intend to file a complaint against them.</v>
      </c>
    </row>
    <row r="51" ht="15.75" customHeight="1">
      <c r="A51" s="2">
        <v>4.0</v>
      </c>
      <c r="B51" s="2" t="s">
        <v>202</v>
      </c>
      <c r="C51" s="2" t="s">
        <v>203</v>
      </c>
      <c r="D51" s="2" t="s">
        <v>64</v>
      </c>
      <c r="E51" s="2" t="s">
        <v>21</v>
      </c>
      <c r="F51" s="2" t="s">
        <v>15</v>
      </c>
      <c r="G51" s="2" t="s">
        <v>16</v>
      </c>
      <c r="H51" s="2" t="s">
        <v>17</v>
      </c>
      <c r="I51" s="2" t="str">
        <f>IFERROR(__xludf.DUMMYFUNCTION("GOOGLETRANSLATE(C51,""fr"",""en"")"),"Very satisfied listening insurance of C is customer. I have always had a listening and answer to the question. The olive tree is satisfying it customers.")</f>
        <v>Very satisfied listening insurance of C is customer. I have always had a listening and answer to the question. The olive tree is satisfying it customers.</v>
      </c>
    </row>
    <row r="52" ht="15.75" customHeight="1">
      <c r="A52" s="2">
        <v>2.0</v>
      </c>
      <c r="B52" s="2" t="s">
        <v>204</v>
      </c>
      <c r="C52" s="2" t="s">
        <v>205</v>
      </c>
      <c r="D52" s="2" t="s">
        <v>206</v>
      </c>
      <c r="E52" s="2" t="s">
        <v>207</v>
      </c>
      <c r="F52" s="2" t="s">
        <v>15</v>
      </c>
      <c r="G52" s="2" t="s">
        <v>208</v>
      </c>
      <c r="H52" s="2" t="s">
        <v>209</v>
      </c>
      <c r="I52" s="2" t="str">
        <f>IFERROR(__xludf.DUMMYFUNCTION("GOOGLETRANSLATE(C52,""fr"",""en"")"),"Where is your aura of previous years?
A member of MAIF for over 30 years I have been extremely disappointed to see what it is currently becoming. I explain myself I just declared a habitation disaster caused by EDF which by cutting a pole sparked a fir"&amp;"e in the neighborhood. As my fabrics of blinds were burned by flameches I had a quote established to replace them. La Maif no longer having her own experts she delegated this work to Elex who lowered the amount of 1925 euros to 1277 euros. I therefore con"&amp;"tact this expertise logically asking for the address of a craftsman who can make this repair for this price and in response I obtain that it is the prices of the market in wholesalers circulate, there is nothing to see. This expertise firm being located m"&amp;"ore than 300 km I do not know if the prices are lower in its region but here I cannot find. Furthermore, although I am for nothing in this disaster it is deducted 125 euros in franchise plus 280 euros which will be reimbursed to me when the work is done. "&amp;"If we add the difference in the estimation of EXX I must immediately spend about half of the price of the initial quote. As I have nothing to do with it I dare to imagine the turn of events if I was entirely responsible. It is not all the MAIF asks me to "&amp;"contact the town hall of the municipality in charge of the fire file for a possible appeal to reimburse me the franchise. It is not to understand anything about it: who does what is the insured to assume the work of the insurer himself? I do not hide that"&amp;" despite a certain nostalgia I am looking elsewhere.")</f>
        <v>Where is your aura of previous years?
A member of MAIF for over 30 years I have been extremely disappointed to see what it is currently becoming. I explain myself I just declared a habitation disaster caused by EDF which by cutting a pole sparked a fire in the neighborhood. As my fabrics of blinds were burned by flameches I had a quote established to replace them. La Maif no longer having her own experts she delegated this work to Elex who lowered the amount of 1925 euros to 1277 euros. I therefore contact this expertise logically asking for the address of a craftsman who can make this repair for this price and in response I obtain that it is the prices of the market in wholesalers circulate, there is nothing to see. This expertise firm being located more than 300 km I do not know if the prices are lower in its region but here I cannot find. Furthermore, although I am for nothing in this disaster it is deducted 125 euros in franchise plus 280 euros which will be reimbursed to me when the work is done. If we add the difference in the estimation of EXX I must immediately spend about half of the price of the initial quote. As I have nothing to do with it I dare to imagine the turn of events if I was entirely responsible. It is not all the MAIF asks me to contact the town hall of the municipality in charge of the fire file for a possible appeal to reimburse me the franchise. It is not to understand anything about it: who does what is the insured to assume the work of the insurer himself? I do not hide that despite a certain nostalgia I am looking elsewhere.</v>
      </c>
    </row>
    <row r="53" ht="15.75" customHeight="1">
      <c r="A53" s="2">
        <v>4.0</v>
      </c>
      <c r="B53" s="2" t="s">
        <v>210</v>
      </c>
      <c r="C53" s="2" t="s">
        <v>211</v>
      </c>
      <c r="D53" s="2" t="s">
        <v>87</v>
      </c>
      <c r="E53" s="2" t="s">
        <v>79</v>
      </c>
      <c r="F53" s="2" t="s">
        <v>15</v>
      </c>
      <c r="G53" s="2" t="s">
        <v>143</v>
      </c>
      <c r="H53" s="2" t="s">
        <v>45</v>
      </c>
      <c r="I53" s="2" t="str">
        <f>IFERROR(__xludf.DUMMYFUNCTION("GOOGLETRANSLATE(C53,""fr"",""en"")"),"Always as satisfied with your services and your efficiency thank you for 2 -wheeled drivers and have such competitive prices thank you thank you")</f>
        <v>Always as satisfied with your services and your efficiency thank you for 2 -wheeled drivers and have such competitive prices thank you thank you</v>
      </c>
    </row>
    <row r="54" ht="15.75" customHeight="1">
      <c r="A54" s="2">
        <v>4.0</v>
      </c>
      <c r="B54" s="2" t="s">
        <v>212</v>
      </c>
      <c r="C54" s="2" t="s">
        <v>213</v>
      </c>
      <c r="D54" s="2" t="s">
        <v>68</v>
      </c>
      <c r="E54" s="2" t="s">
        <v>14</v>
      </c>
      <c r="F54" s="2" t="s">
        <v>15</v>
      </c>
      <c r="G54" s="2" t="s">
        <v>214</v>
      </c>
      <c r="H54" s="2" t="s">
        <v>178</v>
      </c>
      <c r="I54" s="2" t="str">
        <f>IFERROR(__xludf.DUMMYFUNCTION("GOOGLETRANSLATE(C54,""fr"",""en"")"),"Good contact with the listening advisor and she offered me good guarantees following my requests.
Proposed contract adapted to my needs and that of my family.
Very good price report I saved on the old mutual.
I recommend Santiane with whom I have just "&amp;"taken out my second mutual contract.
")</f>
        <v>Good contact with the listening advisor and she offered me good guarantees following my requests.
Proposed contract adapted to my needs and that of my family.
Very good price report I saved on the old mutual.
I recommend Santiane with whom I have just taken out my second mutual contract.
</v>
      </c>
    </row>
    <row r="55" ht="15.75" customHeight="1">
      <c r="A55" s="2">
        <v>3.0</v>
      </c>
      <c r="B55" s="2" t="s">
        <v>215</v>
      </c>
      <c r="C55" s="2" t="s">
        <v>216</v>
      </c>
      <c r="D55" s="2" t="s">
        <v>64</v>
      </c>
      <c r="E55" s="2" t="s">
        <v>21</v>
      </c>
      <c r="F55" s="2" t="s">
        <v>15</v>
      </c>
      <c r="G55" s="2" t="s">
        <v>70</v>
      </c>
      <c r="H55" s="2" t="s">
        <v>70</v>
      </c>
      <c r="I55" s="2" t="str">
        <f>IFERROR(__xludf.DUMMYFUNCTION("GOOGLETRANSLATE(C55,""fr"",""en"")"),"I am satisfied, advised comic, relatively correct price in view of my insurance, reactive and good advisor with the EU advisor.")</f>
        <v>I am satisfied, advised comic, relatively correct price in view of my insurance, reactive and good advisor with the EU advisor.</v>
      </c>
    </row>
    <row r="56" ht="15.75" customHeight="1">
      <c r="A56" s="2">
        <v>4.0</v>
      </c>
      <c r="B56" s="2" t="s">
        <v>217</v>
      </c>
      <c r="C56" s="2" t="s">
        <v>218</v>
      </c>
      <c r="D56" s="2" t="s">
        <v>68</v>
      </c>
      <c r="E56" s="2" t="s">
        <v>14</v>
      </c>
      <c r="F56" s="2" t="s">
        <v>15</v>
      </c>
      <c r="G56" s="2" t="s">
        <v>219</v>
      </c>
      <c r="H56" s="2" t="s">
        <v>186</v>
      </c>
      <c r="I56" s="2" t="str">
        <f>IFERROR(__xludf.DUMMYFUNCTION("GOOGLETRANSLATE(C56,""fr"",""en"")"),"After the chronic absence of an interlocutor of the CPAM to untie my file (my mutual is not backed by my account), it is a great pleasure to be able to exchange with Erika who is very clear in her explanations and advice. You can guess your smile in the t"&amp;"imbre of his voice. On time everything is robotic and outsourced, this human approach is a real +")</f>
        <v>After the chronic absence of an interlocutor of the CPAM to untie my file (my mutual is not backed by my account), it is a great pleasure to be able to exchange with Erika who is very clear in her explanations and advice. You can guess your smile in the timbre of his voice. On time everything is robotic and outsourced, this human approach is a real +</v>
      </c>
    </row>
    <row r="57" ht="15.75" customHeight="1">
      <c r="A57" s="2">
        <v>3.0</v>
      </c>
      <c r="B57" s="2" t="s">
        <v>220</v>
      </c>
      <c r="C57" s="2" t="s">
        <v>221</v>
      </c>
      <c r="D57" s="2" t="s">
        <v>35</v>
      </c>
      <c r="E57" s="2" t="s">
        <v>21</v>
      </c>
      <c r="F57" s="2" t="s">
        <v>15</v>
      </c>
      <c r="G57" s="2" t="s">
        <v>222</v>
      </c>
      <c r="H57" s="2" t="s">
        <v>209</v>
      </c>
      <c r="I57" s="2" t="str">
        <f>IFERROR(__xludf.DUMMYFUNCTION("GOOGLETRANSLATE(C57,""fr"",""en"")"),"Interesting insurance company but beware:
- significantly increased prices for non -officials
- Display of an eco all risk warranty does not cover claims if the vehicle is not in motion !!!
So if you are caught your car in parking you will not be cover"&amp;"ed even if you are insured to the third party.
The quotes do not mention this point to display competitive prices.
")</f>
        <v>Interesting insurance company but beware:
- significantly increased prices for non -officials
- Display of an eco all risk warranty does not cover claims if the vehicle is not in motion !!!
So if you are caught your car in parking you will not be covered even if you are insured to the third party.
The quotes do not mention this point to display competitive prices.
</v>
      </c>
    </row>
    <row r="58" ht="15.75" customHeight="1">
      <c r="A58" s="2">
        <v>1.0</v>
      </c>
      <c r="B58" s="2" t="s">
        <v>223</v>
      </c>
      <c r="C58" s="2" t="s">
        <v>224</v>
      </c>
      <c r="D58" s="2" t="s">
        <v>225</v>
      </c>
      <c r="E58" s="2" t="s">
        <v>74</v>
      </c>
      <c r="F58" s="2" t="s">
        <v>15</v>
      </c>
      <c r="G58" s="2" t="s">
        <v>226</v>
      </c>
      <c r="H58" s="2" t="s">
        <v>227</v>
      </c>
      <c r="I58" s="2" t="str">
        <f>IFERROR(__xludf.DUMMYFUNCTION("GOOGLETRANSLATE(C58,""fr"",""en"")"),"Hello,
I am very unhappy with the funeral contract contracted by my mother over 10 years ago. She had made this choice thinking to avoid the payment of her funeral ... She died in August and although the contract mentions a payment within 48 hours, we fi"&amp;"nd ourselves in a dead end in June. After claiming us different documents from each of our calls, and after having provided each of them by email and registered mail, today customer service has confirmed to us for two and a half months that all the parts "&amp;"are gathered and that they do not Do not understand why the financial service does not pay the sum. However, this service can only be reached by email and remains unanswered. What to think of such practices?
Do we have to move to meet our interlocutors w"&amp;"ho abuse the confidence of the provoying elderly, should we take action with consumer associations?")</f>
        <v>Hello,
I am very unhappy with the funeral contract contracted by my mother over 10 years ago. She had made this choice thinking to avoid the payment of her funeral ... She died in August and although the contract mentions a payment within 48 hours, we find ourselves in a dead end in June. After claiming us different documents from each of our calls, and after having provided each of them by email and registered mail, today customer service has confirmed to us for two and a half months that all the parts are gathered and that they do not Do not understand why the financial service does not pay the sum. However, this service can only be reached by email and remains unanswered. What to think of such practices?
Do we have to move to meet our interlocutors who abuse the confidence of the provoying elderly, should we take action with consumer associations?</v>
      </c>
    </row>
    <row r="59" ht="15.75" customHeight="1">
      <c r="A59" s="2">
        <v>4.0</v>
      </c>
      <c r="B59" s="2" t="s">
        <v>228</v>
      </c>
      <c r="C59" s="2" t="s">
        <v>229</v>
      </c>
      <c r="D59" s="2" t="s">
        <v>20</v>
      </c>
      <c r="E59" s="2" t="s">
        <v>21</v>
      </c>
      <c r="F59" s="2" t="s">
        <v>15</v>
      </c>
      <c r="G59" s="2" t="s">
        <v>230</v>
      </c>
      <c r="H59" s="2" t="s">
        <v>45</v>
      </c>
      <c r="I59" s="2" t="str">
        <f>IFERROR(__xludf.DUMMYFUNCTION("GOOGLETRANSLATE(C59,""fr"",""en"")"),"I am satisfied with the service and the price of direct insurance I hope not to have problems with my vehicle which is no longer very young (like me)
Thank you for your patience and your information.")</f>
        <v>I am satisfied with the service and the price of direct insurance I hope not to have problems with my vehicle which is no longer very young (like me)
Thank you for your patience and your information.</v>
      </c>
    </row>
    <row r="60" ht="15.75" customHeight="1">
      <c r="A60" s="2">
        <v>5.0</v>
      </c>
      <c r="B60" s="2" t="s">
        <v>231</v>
      </c>
      <c r="C60" s="2" t="s">
        <v>232</v>
      </c>
      <c r="D60" s="2" t="s">
        <v>20</v>
      </c>
      <c r="E60" s="2" t="s">
        <v>21</v>
      </c>
      <c r="F60" s="2" t="s">
        <v>15</v>
      </c>
      <c r="G60" s="2" t="s">
        <v>233</v>
      </c>
      <c r="H60" s="2" t="s">
        <v>45</v>
      </c>
      <c r="I60" s="2" t="str">
        <f>IFERROR(__xludf.DUMMYFUNCTION("GOOGLETRANSLATE(C60,""fr"",""en"")"),"Cheap nickel, satisfied for the moment as long as I have no worries I cannot give my opinion for a service in the event of a claim or problems")</f>
        <v>Cheap nickel, satisfied for the moment as long as I have no worries I cannot give my opinion for a service in the event of a claim or problems</v>
      </c>
    </row>
    <row r="61" ht="15.75" customHeight="1">
      <c r="A61" s="2">
        <v>1.0</v>
      </c>
      <c r="B61" s="2" t="s">
        <v>234</v>
      </c>
      <c r="C61" s="2" t="s">
        <v>235</v>
      </c>
      <c r="D61" s="2" t="s">
        <v>64</v>
      </c>
      <c r="E61" s="2" t="s">
        <v>21</v>
      </c>
      <c r="F61" s="2" t="s">
        <v>15</v>
      </c>
      <c r="G61" s="2" t="s">
        <v>236</v>
      </c>
      <c r="H61" s="2" t="s">
        <v>237</v>
      </c>
      <c r="I61" s="2" t="str">
        <f>IFERROR(__xludf.DUMMYFUNCTION("GOOGLETRANSLATE(C61,""fr"",""en"")"),"very decu because nothing is done during a dispute
Lost observation, claims procedure 4 months and still not finish ... It's unacceptable")</f>
        <v>very decu because nothing is done during a dispute
Lost observation, claims procedure 4 months and still not finish ... It's unacceptable</v>
      </c>
    </row>
    <row r="62" ht="15.75" customHeight="1">
      <c r="A62" s="2">
        <v>4.0</v>
      </c>
      <c r="B62" s="2" t="s">
        <v>238</v>
      </c>
      <c r="C62" s="2" t="s">
        <v>239</v>
      </c>
      <c r="D62" s="2" t="s">
        <v>64</v>
      </c>
      <c r="E62" s="2" t="s">
        <v>21</v>
      </c>
      <c r="F62" s="2" t="s">
        <v>15</v>
      </c>
      <c r="G62" s="2" t="s">
        <v>240</v>
      </c>
      <c r="H62" s="2" t="s">
        <v>58</v>
      </c>
      <c r="I62" s="2" t="str">
        <f>IFERROR(__xludf.DUMMYFUNCTION("GOOGLETRANSLATE(C62,""fr"",""en"")"),"I am satisfied with the very fast and simple service for subscription The price suits me
we just had a concern for subscription to insurance with the sales line of the sales service")</f>
        <v>I am satisfied with the very fast and simple service for subscription The price suits me
we just had a concern for subscription to insurance with the sales line of the sales service</v>
      </c>
    </row>
    <row r="63" ht="15.75" customHeight="1">
      <c r="A63" s="2">
        <v>2.0</v>
      </c>
      <c r="B63" s="2" t="s">
        <v>241</v>
      </c>
      <c r="C63" s="2" t="s">
        <v>242</v>
      </c>
      <c r="D63" s="2" t="s">
        <v>35</v>
      </c>
      <c r="E63" s="2" t="s">
        <v>21</v>
      </c>
      <c r="F63" s="2" t="s">
        <v>15</v>
      </c>
      <c r="G63" s="2" t="s">
        <v>243</v>
      </c>
      <c r="H63" s="2" t="s">
        <v>139</v>
      </c>
      <c r="I63" s="2" t="str">
        <f>IFERROR(__xludf.DUMMYFUNCTION("GOOGLETRANSLATE(C63,""fr"",""en"")"),"GMF customer since I was old enough to have a car, I had never encountered a problem (whether in the event of an accident or assistance following breakdown) before today. Indeed I had the misfortune to break down in a completely ""lost"" place 70 km from "&amp;"the 5th city of France which happens to be also my place of domicile.
In short, I broke down in the morning at 9:30 am, I advised the audience around 10 a.m. and I arrived at home around 6 p.m.….
So I galled 8 hours to send me a troubleshooting and repa"&amp;"triation solution when I was 70 km from my home. And the height is that I went on vacation with the car (large scenic), with a full roof box and two bikes on the bike door and that they rented me a Fiat 500. As much to say that 90% From our business staye"&amp;"d in the car and that they are still currently at the mechanic.
Ah yes when I arrived at the car rental company to recover the Fiat 500, the rental request made by GMF had not even been made in the right agency, I had to recall them for the 20th time of "&amp;"the day so that they transmit it to the right agency.
So plan if you are at the GMF to break down only in the city center and arrange to be alone in your car and with a single luggage.
I am really not satisfied with their performance on this one.")</f>
        <v>GMF customer since I was old enough to have a car, I had never encountered a problem (whether in the event of an accident or assistance following breakdown) before today. Indeed I had the misfortune to break down in a completely "lost" place 70 km from the 5th city of France which happens to be also my place of domicile.
In short, I broke down in the morning at 9:30 am, I advised the audience around 10 a.m. and I arrived at home around 6 p.m.….
So I galled 8 hours to send me a troubleshooting and repatriation solution when I was 70 km from my home. And the height is that I went on vacation with the car (large scenic), with a full roof box and two bikes on the bike door and that they rented me a Fiat 500. As much to say that 90% From our business stayed in the car and that they are still currently at the mechanic.
Ah yes when I arrived at the car rental company to recover the Fiat 500, the rental request made by GMF had not even been made in the right agency, I had to recall them for the 20th time of the day so that they transmit it to the right agency.
So plan if you are at the GMF to break down only in the city center and arrange to be alone in your car and with a single luggage.
I am really not satisfied with their performance on this one.</v>
      </c>
    </row>
    <row r="64" ht="15.75" customHeight="1">
      <c r="A64" s="2">
        <v>5.0</v>
      </c>
      <c r="B64" s="2" t="s">
        <v>244</v>
      </c>
      <c r="C64" s="2" t="s">
        <v>245</v>
      </c>
      <c r="D64" s="2" t="s">
        <v>64</v>
      </c>
      <c r="E64" s="2" t="s">
        <v>21</v>
      </c>
      <c r="F64" s="2" t="s">
        <v>15</v>
      </c>
      <c r="G64" s="2" t="s">
        <v>246</v>
      </c>
      <c r="H64" s="2" t="s">
        <v>37</v>
      </c>
      <c r="I64" s="2" t="str">
        <f>IFERROR(__xludf.DUMMYFUNCTION("GOOGLETRANSLATE(C64,""fr"",""en"")"),". Contacting the olive assurance car, I found a very friendly and very respectful welcome, a rapidity of execution in the aid I needed and in the contract executed as it suited me ... I advise people who seek Competient and rapid insurance, the olive assu"&amp;"rance ... some minutes are enough to put you in the rule ...")</f>
        <v>. Contacting the olive assurance car, I found a very friendly and very respectful welcome, a rapidity of execution in the aid I needed and in the contract executed as it suited me ... I advise people who seek Competient and rapid insurance, the olive assurance ... some minutes are enough to put you in the rule ...</v>
      </c>
    </row>
    <row r="65" ht="15.75" customHeight="1">
      <c r="A65" s="2">
        <v>2.0</v>
      </c>
      <c r="B65" s="2" t="s">
        <v>247</v>
      </c>
      <c r="C65" s="2" t="s">
        <v>248</v>
      </c>
      <c r="D65" s="2" t="s">
        <v>35</v>
      </c>
      <c r="E65" s="2" t="s">
        <v>21</v>
      </c>
      <c r="F65" s="2" t="s">
        <v>15</v>
      </c>
      <c r="G65" s="2" t="s">
        <v>249</v>
      </c>
      <c r="H65" s="2" t="s">
        <v>250</v>
      </c>
      <c r="I65" s="2" t="str">
        <f>IFERROR(__xludf.DUMMYFUNCTION("GOOGLETRANSLATE(C65,""fr"",""en"")"),"Good evening
I am very disappointed with the Auto club, I had signed a mandate and asked for a car credit.
The auto credit file because it was missing the order form. The secretary could not manage lack of professionalism (she sent a pro-formal invoice "&amp;"and I remember having put the BC + pro format invoice again) ... the fact of having several interlocutors and each time, he must say his pedigree (name name first name date of birth the place and number of the file etc. It is too long !!!! Finally I have "&amp;"canceled the contract and my credit which was not sure to be granted (now , I have to recover the sums that I paid € 200, acceptance of the order form + 2038 € per deposit) Too bad for GMF there is a lot of work!")</f>
        <v>Good evening
I am very disappointed with the Auto club, I had signed a mandate and asked for a car credit.
The auto credit file because it was missing the order form. The secretary could not manage lack of professionalism (she sent a pro-formal invoice and I remember having put the BC + pro format invoice again) ... the fact of having several interlocutors and each time, he must say his pedigree (name name first name date of birth the place and number of the file etc. It is too long !!!! Finally I have canceled the contract and my credit which was not sure to be granted (now , I have to recover the sums that I paid € 200, acceptance of the order form + 2038 € per deposit) Too bad for GMF there is a lot of work!</v>
      </c>
    </row>
    <row r="66" ht="15.75" customHeight="1">
      <c r="A66" s="2">
        <v>4.0</v>
      </c>
      <c r="B66" s="2" t="s">
        <v>251</v>
      </c>
      <c r="C66" s="2" t="s">
        <v>252</v>
      </c>
      <c r="D66" s="2" t="s">
        <v>64</v>
      </c>
      <c r="E66" s="2" t="s">
        <v>21</v>
      </c>
      <c r="F66" s="2" t="s">
        <v>15</v>
      </c>
      <c r="G66" s="2" t="s">
        <v>253</v>
      </c>
      <c r="H66" s="2" t="s">
        <v>178</v>
      </c>
      <c r="I66" s="2" t="str">
        <f>IFERROR(__xludf.DUMMYFUNCTION("GOOGLETRANSLATE(C66,""fr"",""en"")"),"I am satisfied with the customer service, they answer quickly and very well in all the questions you can ask yourself. Price are affordable and being a student it suits me perfectly.")</f>
        <v>I am satisfied with the customer service, they answer quickly and very well in all the questions you can ask yourself. Price are affordable and being a student it suits me perfectly.</v>
      </c>
    </row>
    <row r="67" ht="15.75" customHeight="1">
      <c r="A67" s="2">
        <v>2.0</v>
      </c>
      <c r="B67" s="2" t="s">
        <v>254</v>
      </c>
      <c r="C67" s="2" t="s">
        <v>255</v>
      </c>
      <c r="D67" s="2" t="s">
        <v>256</v>
      </c>
      <c r="E67" s="2" t="s">
        <v>21</v>
      </c>
      <c r="F67" s="2" t="s">
        <v>15</v>
      </c>
      <c r="G67" s="2" t="s">
        <v>257</v>
      </c>
      <c r="H67" s="2" t="s">
        <v>227</v>
      </c>
      <c r="I67" s="2" t="str">
        <f>IFERROR(__xludf.DUMMYFUNCTION("GOOGLETRANSLATE(C67,""fr"",""en"")"),"On the occasion of a vehicle flight. SUP value at € 20,000")</f>
        <v>On the occasion of a vehicle flight. SUP value at € 20,000</v>
      </c>
    </row>
    <row r="68" ht="15.75" customHeight="1">
      <c r="A68" s="2">
        <v>1.0</v>
      </c>
      <c r="B68" s="2" t="s">
        <v>258</v>
      </c>
      <c r="C68" s="2" t="s">
        <v>259</v>
      </c>
      <c r="D68" s="2" t="s">
        <v>260</v>
      </c>
      <c r="E68" s="2" t="s">
        <v>261</v>
      </c>
      <c r="F68" s="2" t="s">
        <v>15</v>
      </c>
      <c r="G68" s="2" t="s">
        <v>262</v>
      </c>
      <c r="H68" s="2" t="s">
        <v>263</v>
      </c>
      <c r="I68" s="2" t="str">
        <f>IFERROR(__xludf.DUMMYFUNCTION("GOOGLETRANSLATE(C68,""fr"",""en"")"),"Hello my dad has taken out a cardif life insurance since 2003 at 8.50 euros per month then later at 9.90 /month to date! Then died this Monday 08/14/2017 of a fall and followed by a heart discomfort! Following telephone calls no support from you why ??! O"&amp;"r 40,000 euros provided by your organization! Because he wanted to cover us! By giving you so many samples given his little retirement! And there is nothing more in the blink of an eye! Will it be seign for nothing? When you have to give the contributions"&amp;" no worries but when you have to give the money you have to do on the other hand there is always a little thing (a heart discomfort is not tolerated in life insurance) so as not to pay the due ! I hope you read my message and try to do something! Especial"&amp;"ly for those who want to take out such a contract! It's a shame ...... pending great responsiveness from you")</f>
        <v>Hello my dad has taken out a cardif life insurance since 2003 at 8.50 euros per month then later at 9.90 /month to date! Then died this Monday 08/14/2017 of a fall and followed by a heart discomfort! Following telephone calls no support from you why ??! Or 40,000 euros provided by your organization! Because he wanted to cover us! By giving you so many samples given his little retirement! And there is nothing more in the blink of an eye! Will it be seign for nothing? When you have to give the contributions no worries but when you have to give the money you have to do on the other hand there is always a little thing (a heart discomfort is not tolerated in life insurance) so as not to pay the due ! I hope you read my message and try to do something! Especially for those who want to take out such a contract! It's a shame ...... pending great responsiveness from you</v>
      </c>
    </row>
    <row r="69" ht="15.75" customHeight="1">
      <c r="A69" s="2">
        <v>4.0</v>
      </c>
      <c r="B69" s="2" t="s">
        <v>264</v>
      </c>
      <c r="C69" s="2" t="s">
        <v>265</v>
      </c>
      <c r="D69" s="2" t="s">
        <v>35</v>
      </c>
      <c r="E69" s="2" t="s">
        <v>21</v>
      </c>
      <c r="F69" s="2" t="s">
        <v>15</v>
      </c>
      <c r="G69" s="2" t="s">
        <v>266</v>
      </c>
      <c r="H69" s="2" t="s">
        <v>139</v>
      </c>
      <c r="I69" s="2" t="str">
        <f>IFERROR(__xludf.DUMMYFUNCTION("GOOGLETRANSLATE(C69,""fr"",""en"")"),"Practical satisfied price good monitoring of in progress invoices Possibility to print all demands on demand;
Top for the claims declaration.")</f>
        <v>Practical satisfied price good monitoring of in progress invoices Possibility to print all demands on demand;
Top for the claims declaration.</v>
      </c>
    </row>
    <row r="70" ht="15.75" customHeight="1">
      <c r="A70" s="2">
        <v>1.0</v>
      </c>
      <c r="B70" s="2" t="s">
        <v>267</v>
      </c>
      <c r="C70" s="2" t="s">
        <v>268</v>
      </c>
      <c r="D70" s="2" t="s">
        <v>269</v>
      </c>
      <c r="E70" s="2" t="s">
        <v>207</v>
      </c>
      <c r="F70" s="2" t="s">
        <v>15</v>
      </c>
      <c r="G70" s="2" t="s">
        <v>270</v>
      </c>
      <c r="H70" s="2" t="s">
        <v>128</v>
      </c>
      <c r="I70" s="2" t="str">
        <f>IFERROR(__xludf.DUMMYFUNCTION("GOOGLETRANSLATE(C70,""fr"",""en"")"),"Having a fireplace with a dangerous pellet stove for carbon monoxide all has been declary and no news today the sinister has been declary on January 9 today still no heating with two children at home and between expert and insurance This is the insurance "&amp;"file to flee")</f>
        <v>Having a fireplace with a dangerous pellet stove for carbon monoxide all has been declary and no news today the sinister has been declary on January 9 today still no heating with two children at home and between expert and insurance This is the insurance file to flee</v>
      </c>
    </row>
    <row r="71" ht="15.75" customHeight="1">
      <c r="A71" s="2">
        <v>1.0</v>
      </c>
      <c r="B71" s="2" t="s">
        <v>271</v>
      </c>
      <c r="C71" s="2" t="s">
        <v>272</v>
      </c>
      <c r="D71" s="2" t="s">
        <v>142</v>
      </c>
      <c r="E71" s="2" t="s">
        <v>21</v>
      </c>
      <c r="F71" s="2" t="s">
        <v>15</v>
      </c>
      <c r="G71" s="2" t="s">
        <v>273</v>
      </c>
      <c r="H71" s="2" t="s">
        <v>274</v>
      </c>
      <c r="I71" s="2" t="str">
        <f>IFERROR(__xludf.DUMMYFUNCTION("GOOGLETRANSLATE(C71,""fr"",""en"")"),"It's been 1 year since I had a car accident, my file does not advance despite my various telephone reminders.
No news from my insurer and the expert who examines the left wing of my vehicle when I highlighted many times that it is the right wing, althoug"&amp;"h it has been specified in the observation.
In addition, victim of an accident for which I am not responsible, victim of dishonesty of the one who came back to me, I was able to have a testimony of a person who saw the accident of his window before my pl"&amp;"ace as work. My insurer refused to take this element into account on the pretext that I did not specify the presence of this witness on the observation. How do you want me to specify this info when the witness saw the accident of his office window while t"&amp;"he incident takes place in the street at the bottom of the building ... Pure mockery and contempt for your client, right?
The insurers are there to debit our account of contributions but as soon as it is a question of using our rights, they parade ...
I"&amp;" am too disappointed with the Macif, it is not worth more than anxa and other ""crooks insurers"". I left them thinking that a brand with such notoriety would be more serious and loyal to its customers.
 I will terminate all of my Macif insurance (Immo +"&amp;" Cars), and assign you before 60 million consumers, UFC Que Choisir and the competent court for non -compliance with your contractual commitments.
1 year seriously, it's fucking mouth and theft, not to mention your telephone tray with incompetent agents "&amp;"who take your customers for puppets.
Mrs. Hardat")</f>
        <v>It's been 1 year since I had a car accident, my file does not advance despite my various telephone reminders.
No news from my insurer and the expert who examines the left wing of my vehicle when I highlighted many times that it is the right wing, although it has been specified in the observation.
In addition, victim of an accident for which I am not responsible, victim of dishonesty of the one who came back to me, I was able to have a testimony of a person who saw the accident of his window before my place as work. My insurer refused to take this element into account on the pretext that I did not specify the presence of this witness on the observation. How do you want me to specify this info when the witness saw the accident of his office window while the incident takes place in the street at the bottom of the building ... Pure mockery and contempt for your client, right?
The insurers are there to debit our account of contributions but as soon as it is a question of using our rights, they parade ...
I am too disappointed with the Macif, it is not worth more than anxa and other "crooks insurers". I left them thinking that a brand with such notoriety would be more serious and loyal to its customers.
 I will terminate all of my Macif insurance (Immo + Cars), and assign you before 60 million consumers, UFC Que Choisir and the competent court for non -compliance with your contractual commitments.
1 year seriously, it's fucking mouth and theft, not to mention your telephone tray with incompetent agents who take your customers for puppets.
Mrs. Hardat</v>
      </c>
    </row>
    <row r="72" ht="15.75" customHeight="1">
      <c r="A72" s="2">
        <v>2.0</v>
      </c>
      <c r="B72" s="2" t="s">
        <v>275</v>
      </c>
      <c r="C72" s="2" t="s">
        <v>276</v>
      </c>
      <c r="D72" s="2" t="s">
        <v>277</v>
      </c>
      <c r="E72" s="2" t="s">
        <v>207</v>
      </c>
      <c r="F72" s="2" t="s">
        <v>15</v>
      </c>
      <c r="G72" s="2" t="s">
        <v>278</v>
      </c>
      <c r="H72" s="2" t="s">
        <v>28</v>
      </c>
      <c r="I72" s="2" t="str">
        <f>IFERROR(__xludf.DUMMYFUNCTION("GOOGLETRANSLATE(C72,""fr"",""en"")"),"contract of my son terminated when he had had no siniister and was up to date with these contributions !!! We were also assured for our home, what was not our surprise when we learn that our apartment was assured but not the walls or the roof, assurance z"&amp;"ero to absolutely avoid
")</f>
        <v>contract of my son terminated when he had had no siniister and was up to date with these contributions !!! We were also assured for our home, what was not our surprise when we learn that our apartment was assured but not the walls or the roof, assurance zero to absolutely avoid
</v>
      </c>
    </row>
    <row r="73" ht="15.75" customHeight="1">
      <c r="A73" s="2">
        <v>1.0</v>
      </c>
      <c r="B73" s="2" t="s">
        <v>279</v>
      </c>
      <c r="C73" s="2" t="s">
        <v>280</v>
      </c>
      <c r="D73" s="2" t="s">
        <v>281</v>
      </c>
      <c r="E73" s="2" t="s">
        <v>261</v>
      </c>
      <c r="F73" s="2" t="s">
        <v>15</v>
      </c>
      <c r="G73" s="2" t="s">
        <v>282</v>
      </c>
      <c r="H73" s="2" t="s">
        <v>283</v>
      </c>
      <c r="I73" s="2" t="str">
        <f>IFERROR(__xludf.DUMMYFUNCTION("GOOGLETRANSLATE(C73,""fr"",""en"")"),"Request for amendment to be repo SE for over a month despite reminders.
Qd vs threaten to terminate everything, there the customer service vs answer but vs requests a delai from 3 weeks to 2 months to treat your reclamation ...
Allianz makes fun of its "&amp;"customers or it is such a of theirganization in their services that they are no longer able to manage")</f>
        <v>Request for amendment to be repo SE for over a month despite reminders.
Qd vs threaten to terminate everything, there the customer service vs answer but vs requests a delai from 3 weeks to 2 months to treat your reclamation ...
Allianz makes fun of its customers or it is such a of theirganization in their services that they are no longer able to manage</v>
      </c>
    </row>
    <row r="74" ht="15.75" customHeight="1">
      <c r="A74" s="2">
        <v>5.0</v>
      </c>
      <c r="B74" s="2" t="s">
        <v>284</v>
      </c>
      <c r="C74" s="2" t="s">
        <v>285</v>
      </c>
      <c r="D74" s="2" t="s">
        <v>64</v>
      </c>
      <c r="E74" s="2" t="s">
        <v>21</v>
      </c>
      <c r="F74" s="2" t="s">
        <v>15</v>
      </c>
      <c r="G74" s="2" t="s">
        <v>286</v>
      </c>
      <c r="H74" s="2" t="s">
        <v>178</v>
      </c>
      <c r="I74" s="2" t="str">
        <f>IFERROR(__xludf.DUMMYFUNCTION("GOOGLETRANSLATE(C74,""fr"",""en"")"),"I am advised BNP Paribas (cardif insurance) and despite this on this vehicle your prices are lower with it is true superior deductible. By telephonne.
indeed simple and effective/ a smiling person on the end of the wire is a big difference")</f>
        <v>I am advised BNP Paribas (cardif insurance) and despite this on this vehicle your prices are lower with it is true superior deductible. By telephonne.
indeed simple and effective/ a smiling person on the end of the wire is a big difference</v>
      </c>
    </row>
    <row r="75" ht="15.75" customHeight="1">
      <c r="A75" s="2">
        <v>2.0</v>
      </c>
      <c r="B75" s="2" t="s">
        <v>287</v>
      </c>
      <c r="C75" s="2" t="s">
        <v>288</v>
      </c>
      <c r="D75" s="2" t="s">
        <v>20</v>
      </c>
      <c r="E75" s="2" t="s">
        <v>21</v>
      </c>
      <c r="F75" s="2" t="s">
        <v>15</v>
      </c>
      <c r="G75" s="2" t="s">
        <v>289</v>
      </c>
      <c r="H75" s="2" t="s">
        <v>290</v>
      </c>
      <c r="I75" s="2" t="str">
        <f>IFERROR(__xludf.DUMMYFUNCTION("GOOGLETRANSLATE(C75,""fr"",""en"")"),"After a loss with a flight offense which destroyed my parking vehicle, Direct Insurance reimburses me only half the price of the vehicle and counts me a deductible when I am 0% responsible and that I am at all risks !!!")</f>
        <v>After a loss with a flight offense which destroyed my parking vehicle, Direct Insurance reimburses me only half the price of the vehicle and counts me a deductible when I am 0% responsible and that I am at all risks !!!</v>
      </c>
    </row>
    <row r="76" ht="15.75" customHeight="1">
      <c r="A76" s="2">
        <v>3.0</v>
      </c>
      <c r="B76" s="2" t="s">
        <v>291</v>
      </c>
      <c r="C76" s="2" t="s">
        <v>292</v>
      </c>
      <c r="D76" s="2" t="s">
        <v>20</v>
      </c>
      <c r="E76" s="2" t="s">
        <v>21</v>
      </c>
      <c r="F76" s="2" t="s">
        <v>15</v>
      </c>
      <c r="G76" s="2" t="s">
        <v>293</v>
      </c>
      <c r="H76" s="2" t="s">
        <v>178</v>
      </c>
      <c r="I76" s="2" t="str">
        <f>IFERROR(__xludf.DUMMYFUNCTION("GOOGLETRANSLATE(C76,""fr"",""en"")"),"Price regularly up without explanations and reasons (less traffic due to covid = fewer accidents!). Services at the height of expectations as well as the guarantees but the prices remain expensive even if competitive. Would like a stabilization of these c"&amp;"ontributions")</f>
        <v>Price regularly up without explanations and reasons (less traffic due to covid = fewer accidents!). Services at the height of expectations as well as the guarantees but the prices remain expensive even if competitive. Would like a stabilization of these contributions</v>
      </c>
    </row>
    <row r="77" ht="15.75" customHeight="1">
      <c r="A77" s="2">
        <v>4.0</v>
      </c>
      <c r="B77" s="2" t="s">
        <v>294</v>
      </c>
      <c r="C77" s="2" t="s">
        <v>295</v>
      </c>
      <c r="D77" s="2" t="s">
        <v>87</v>
      </c>
      <c r="E77" s="2" t="s">
        <v>79</v>
      </c>
      <c r="F77" s="2" t="s">
        <v>15</v>
      </c>
      <c r="G77" s="2" t="s">
        <v>45</v>
      </c>
      <c r="H77" s="2" t="s">
        <v>45</v>
      </c>
      <c r="I77" s="2" t="str">
        <f>IFERROR(__xludf.DUMMYFUNCTION("GOOGLETRANSLATE(C77,""fr"",""en"")"),"Good note for your site to ensure us via the same time it is good to ensure online and it gives the ease of insurance and help us contact you easily")</f>
        <v>Good note for your site to ensure us via the same time it is good to ensure online and it gives the ease of insurance and help us contact you easily</v>
      </c>
    </row>
    <row r="78" ht="15.75" customHeight="1">
      <c r="A78" s="2">
        <v>2.0</v>
      </c>
      <c r="B78" s="2" t="s">
        <v>296</v>
      </c>
      <c r="C78" s="2" t="s">
        <v>297</v>
      </c>
      <c r="D78" s="2" t="s">
        <v>119</v>
      </c>
      <c r="E78" s="2" t="s">
        <v>21</v>
      </c>
      <c r="F78" s="2" t="s">
        <v>15</v>
      </c>
      <c r="G78" s="2" t="s">
        <v>298</v>
      </c>
      <c r="H78" s="2" t="s">
        <v>58</v>
      </c>
      <c r="I78" s="2" t="str">
        <f>IFERROR(__xludf.DUMMYFUNCTION("GOOGLETRANSLATE(C78,""fr"",""en"")"),"What to say about this insurance that takes a bank? Not all staff are competent. Employees push to take insurance, open accounts, and do not even know the conditions not to pay the card. And what can we say about the behavior of the agency director when w"&amp;"e ask why our two checks for the opening of our account for almost 500 euros are still not conceded, that this one sends us for a walk when he has other things to do. When it is pointed out to him that to make videos that are not watched on FB there he ha"&amp;"s time we are insulted (sexist words) and threaten. I was kind I had not filed a complaint but that did not prevent the director from file a complaint for non -public defamation is a shame.
Take an online Boursorama bank, at least the card is free ...")</f>
        <v>What to say about this insurance that takes a bank? Not all staff are competent. Employees push to take insurance, open accounts, and do not even know the conditions not to pay the card. And what can we say about the behavior of the agency director when we ask why our two checks for the opening of our account for almost 500 euros are still not conceded, that this one sends us for a walk when he has other things to do. When it is pointed out to him that to make videos that are not watched on FB there he has time we are insulted (sexist words) and threaten. I was kind I had not filed a complaint but that did not prevent the director from file a complaint for non -public defamation is a shame.
Take an online Boursorama bank, at least the card is free ...</v>
      </c>
    </row>
    <row r="79" ht="15.75" customHeight="1">
      <c r="A79" s="2">
        <v>5.0</v>
      </c>
      <c r="B79" s="2" t="s">
        <v>299</v>
      </c>
      <c r="C79" s="2" t="s">
        <v>300</v>
      </c>
      <c r="D79" s="2" t="s">
        <v>68</v>
      </c>
      <c r="E79" s="2" t="s">
        <v>14</v>
      </c>
      <c r="F79" s="2" t="s">
        <v>15</v>
      </c>
      <c r="G79" s="2" t="s">
        <v>301</v>
      </c>
      <c r="H79" s="2" t="s">
        <v>237</v>
      </c>
      <c r="I79" s="2" t="str">
        <f>IFERROR(__xludf.DUMMYFUNCTION("GOOGLETRANSLATE(C79,""fr"",""en"")"),"I had known Santian health for a while and I came back, I am happy.")</f>
        <v>I had known Santian health for a while and I came back, I am happy.</v>
      </c>
    </row>
    <row r="80" ht="15.75" customHeight="1">
      <c r="A80" s="2">
        <v>4.0</v>
      </c>
      <c r="B80" s="2" t="s">
        <v>302</v>
      </c>
      <c r="C80" s="2" t="s">
        <v>303</v>
      </c>
      <c r="D80" s="2" t="s">
        <v>20</v>
      </c>
      <c r="E80" s="2" t="s">
        <v>21</v>
      </c>
      <c r="F80" s="2" t="s">
        <v>15</v>
      </c>
      <c r="G80" s="2" t="s">
        <v>304</v>
      </c>
      <c r="H80" s="2" t="s">
        <v>178</v>
      </c>
      <c r="I80" s="2" t="str">
        <f>IFERROR(__xludf.DUMMYFUNCTION("GOOGLETRANSLATE(C80,""fr"",""en"")"),"I am satisfied with the Direct Insurance Service for Housing I have nothing else add in my opinion on this insurance good day you are noticed")</f>
        <v>I am satisfied with the Direct Insurance Service for Housing I have nothing else add in my opinion on this insurance good day you are noticed</v>
      </c>
    </row>
    <row r="81" ht="15.75" customHeight="1">
      <c r="A81" s="2">
        <v>5.0</v>
      </c>
      <c r="B81" s="2" t="s">
        <v>305</v>
      </c>
      <c r="C81" s="2" t="s">
        <v>306</v>
      </c>
      <c r="D81" s="2" t="s">
        <v>64</v>
      </c>
      <c r="E81" s="2" t="s">
        <v>21</v>
      </c>
      <c r="F81" s="2" t="s">
        <v>15</v>
      </c>
      <c r="G81" s="2" t="s">
        <v>307</v>
      </c>
      <c r="H81" s="2" t="s">
        <v>23</v>
      </c>
      <c r="I81" s="2" t="str">
        <f>IFERROR(__xludf.DUMMYFUNCTION("GOOGLETRANSLATE(C81,""fr"",""en"")"),"Simple and intuitive online procedure from the quote edition to contractualization through a telephone interview with a clear and pragmatic advisor.
Speed ​​of the opening of the online customer area and simplicity of navigation and access to documents a"&amp;"nd internal messaging.")</f>
        <v>Simple and intuitive online procedure from the quote edition to contractualization through a telephone interview with a clear and pragmatic advisor.
Speed ​​of the opening of the online customer area and simplicity of navigation and access to documents and internal messaging.</v>
      </c>
    </row>
    <row r="82" ht="15.75" customHeight="1">
      <c r="A82" s="2">
        <v>1.0</v>
      </c>
      <c r="B82" s="2" t="s">
        <v>308</v>
      </c>
      <c r="C82" s="2" t="s">
        <v>309</v>
      </c>
      <c r="D82" s="2" t="s">
        <v>269</v>
      </c>
      <c r="E82" s="2" t="s">
        <v>207</v>
      </c>
      <c r="F82" s="2" t="s">
        <v>15</v>
      </c>
      <c r="G82" s="2" t="s">
        <v>310</v>
      </c>
      <c r="H82" s="2" t="s">
        <v>209</v>
      </c>
      <c r="I82" s="2" t="str">
        <f>IFERROR(__xludf.DUMMYFUNCTION("GOOGLETRANSLATE(C82,""fr"",""en"")"),"To flee because no seriousness! I think they protect the opposing part at the risk of disappointing their customers. I had a fire at the counter level, EDF was 200% responsible for 2 years I only touched part of the reimbursement. There is no file follow "&amp;"-up. I am aware of nothing, and no one is able to inform me. This time I will take a lawyer, and maybe even open a petition that will bring people together with big reimbursement problems. Which is intolerable! Really I do not recommend this insurance. I "&amp;"can provide the evidence of what I put forward to anyone.")</f>
        <v>To flee because no seriousness! I think they protect the opposing part at the risk of disappointing their customers. I had a fire at the counter level, EDF was 200% responsible for 2 years I only touched part of the reimbursement. There is no file follow -up. I am aware of nothing, and no one is able to inform me. This time I will take a lawyer, and maybe even open a petition that will bring people together with big reimbursement problems. Which is intolerable! Really I do not recommend this insurance. I can provide the evidence of what I put forward to anyone.</v>
      </c>
    </row>
    <row r="83" ht="15.75" customHeight="1">
      <c r="A83" s="2">
        <v>4.0</v>
      </c>
      <c r="B83" s="2" t="s">
        <v>311</v>
      </c>
      <c r="C83" s="2" t="s">
        <v>312</v>
      </c>
      <c r="D83" s="2" t="s">
        <v>20</v>
      </c>
      <c r="E83" s="2" t="s">
        <v>21</v>
      </c>
      <c r="F83" s="2" t="s">
        <v>15</v>
      </c>
      <c r="G83" s="2" t="s">
        <v>313</v>
      </c>
      <c r="H83" s="2" t="s">
        <v>23</v>
      </c>
      <c r="I83" s="2" t="str">
        <f>IFERROR(__xludf.DUMMYFUNCTION("GOOGLETRANSLATE(C83,""fr"",""en"")"),"I am very satisfied, listening and dynamic advisers.
Very reasonable price level with a good driver guarantee.
It just lacks the guarantee of passengers damage.
")</f>
        <v>I am very satisfied, listening and dynamic advisers.
Very reasonable price level with a good driver guarantee.
It just lacks the guarantee of passengers damage.
</v>
      </c>
    </row>
    <row r="84" ht="15.75" customHeight="1">
      <c r="A84" s="2">
        <v>1.0</v>
      </c>
      <c r="B84" s="2" t="s">
        <v>314</v>
      </c>
      <c r="C84" s="2" t="s">
        <v>315</v>
      </c>
      <c r="D84" s="2" t="s">
        <v>35</v>
      </c>
      <c r="E84" s="2" t="s">
        <v>21</v>
      </c>
      <c r="F84" s="2" t="s">
        <v>15</v>
      </c>
      <c r="G84" s="2" t="s">
        <v>316</v>
      </c>
      <c r="H84" s="2" t="s">
        <v>317</v>
      </c>
      <c r="I84" s="2" t="str">
        <f>IFERROR(__xludf.DUMMYFUNCTION("GOOGLETRANSLATE(C84,""fr"",""en"")"),"I declared a disaster of damage to the waters on September 11, 2020 ... after having had several interlocutors who went back to the file, I had the visit of a technician who was the origin of the leak that I had already located At the level of the toilet "&amp;"outlet seal, as planned I have given a check for 178 euros to this person. Since no news, the claims department never responds to: 0540543550, no receipt of the check given? This same service contacted by: 0970809809, must remind me and never recall .. fo"&amp;"rtunately, that I have changed my toilets alone if not imagine my situation ... In this situation I think that the GMF is incompetent, despise its customers, in Consequence, I plan to change my mutual, to ensure my 5 apartments, my 3 cars .. etc ... I hop"&amp;"e to be welcomed elsewhere")</f>
        <v>I declared a disaster of damage to the waters on September 11, 2020 ... after having had several interlocutors who went back to the file, I had the visit of a technician who was the origin of the leak that I had already located At the level of the toilet outlet seal, as planned I have given a check for 178 euros to this person. Since no news, the claims department never responds to: 0540543550, no receipt of the check given? This same service contacted by: 0970809809, must remind me and never recall .. fortunately, that I have changed my toilets alone if not imagine my situation ... In this situation I think that the GMF is incompetent, despise its customers, in Consequence, I plan to change my mutual, to ensure my 5 apartments, my 3 cars .. etc ... I hope to be welcomed elsewhere</v>
      </c>
    </row>
    <row r="85" ht="15.75" customHeight="1">
      <c r="A85" s="2">
        <v>1.0</v>
      </c>
      <c r="B85" s="2" t="s">
        <v>318</v>
      </c>
      <c r="C85" s="2" t="s">
        <v>319</v>
      </c>
      <c r="D85" s="2" t="s">
        <v>95</v>
      </c>
      <c r="E85" s="2" t="s">
        <v>207</v>
      </c>
      <c r="F85" s="2" t="s">
        <v>15</v>
      </c>
      <c r="G85" s="2" t="s">
        <v>320</v>
      </c>
      <c r="H85" s="2" t="s">
        <v>321</v>
      </c>
      <c r="I85" s="2" t="str">
        <f>IFERROR(__xludf.DUMMYFUNCTION("GOOGLETRANSLATE(C85,""fr"",""en"")"),"Following a glass breakage (domicile) (double glazing of 85 x 183 in 4/16/4) and due to the period of Cavid 19, and without any return from the Matmut I used an emergency to a glazier who billed me after visit an amount of € 1381. Matumut pays me a deriso"&amp;"ry amount of 342.05 Euro PFF They have workers who do the work almost free ...")</f>
        <v>Following a glass breakage (domicile) (double glazing of 85 x 183 in 4/16/4) and due to the period of Cavid 19, and without any return from the Matmut I used an emergency to a glazier who billed me after visit an amount of € 1381. Matumut pays me a derisory amount of 342.05 Euro PFF They have workers who do the work almost free ...</v>
      </c>
    </row>
    <row r="86" ht="15.75" customHeight="1">
      <c r="A86" s="2">
        <v>5.0</v>
      </c>
      <c r="B86" s="2" t="s">
        <v>322</v>
      </c>
      <c r="C86" s="2" t="s">
        <v>323</v>
      </c>
      <c r="D86" s="2" t="s">
        <v>20</v>
      </c>
      <c r="E86" s="2" t="s">
        <v>21</v>
      </c>
      <c r="F86" s="2" t="s">
        <v>15</v>
      </c>
      <c r="G86" s="2" t="s">
        <v>324</v>
      </c>
      <c r="H86" s="2" t="s">
        <v>23</v>
      </c>
      <c r="I86" s="2" t="str">
        <f>IFERROR(__xludf.DUMMYFUNCTION("GOOGLETRANSLATE(C86,""fr"",""en"")"),"Satisfied for the prices which are practiced but having never had sinister I cannot say for the monitoring of claims and it is so much the better.")</f>
        <v>Satisfied for the prices which are practiced but having never had sinister I cannot say for the monitoring of claims and it is so much the better.</v>
      </c>
    </row>
    <row r="87" ht="15.75" customHeight="1">
      <c r="A87" s="2">
        <v>1.0</v>
      </c>
      <c r="B87" s="2" t="s">
        <v>325</v>
      </c>
      <c r="C87" s="2" t="s">
        <v>326</v>
      </c>
      <c r="D87" s="2" t="s">
        <v>142</v>
      </c>
      <c r="E87" s="2" t="s">
        <v>74</v>
      </c>
      <c r="F87" s="2" t="s">
        <v>15</v>
      </c>
      <c r="G87" s="2" t="s">
        <v>327</v>
      </c>
      <c r="H87" s="2" t="s">
        <v>317</v>
      </c>
      <c r="I87" s="2" t="str">
        <f>IFERROR(__xludf.DUMMYFUNCTION("GOOGLETRANSLATE(C87,""fr"",""en"")"),"Provident taken as an option in the context of my insurance, the seller was but the advice absent ... The price is attractive but after having assessed it with a broker, it does not cover much and a lot of reasons for exclusion
")</f>
        <v>Provident taken as an option in the context of my insurance, the seller was but the advice absent ... The price is attractive but after having assessed it with a broker, it does not cover much and a lot of reasons for exclusion
</v>
      </c>
    </row>
    <row r="88" ht="15.75" customHeight="1">
      <c r="A88" s="2">
        <v>3.0</v>
      </c>
      <c r="B88" s="2" t="s">
        <v>328</v>
      </c>
      <c r="C88" s="2" t="s">
        <v>329</v>
      </c>
      <c r="D88" s="2" t="s">
        <v>64</v>
      </c>
      <c r="E88" s="2" t="s">
        <v>21</v>
      </c>
      <c r="F88" s="2" t="s">
        <v>15</v>
      </c>
      <c r="G88" s="2" t="s">
        <v>214</v>
      </c>
      <c r="H88" s="2" t="s">
        <v>178</v>
      </c>
      <c r="I88" s="2" t="str">
        <f>IFERROR(__xludf.DUMMYFUNCTION("GOOGLETRANSLATE(C88,""fr"",""en"")"),"Satisfied with the contract and the reception by phone of the interlocutor. Pending to take out a home contract in the near future.
Cordially")</f>
        <v>Satisfied with the contract and the reception by phone of the interlocutor. Pending to take out a home contract in the near future.
Cordially</v>
      </c>
    </row>
    <row r="89" ht="15.75" customHeight="1">
      <c r="A89" s="2">
        <v>4.0</v>
      </c>
      <c r="B89" s="2" t="s">
        <v>330</v>
      </c>
      <c r="C89" s="2" t="s">
        <v>331</v>
      </c>
      <c r="D89" s="2" t="s">
        <v>78</v>
      </c>
      <c r="E89" s="2" t="s">
        <v>79</v>
      </c>
      <c r="F89" s="2" t="s">
        <v>15</v>
      </c>
      <c r="G89" s="2" t="s">
        <v>332</v>
      </c>
      <c r="H89" s="2" t="s">
        <v>45</v>
      </c>
      <c r="I89" s="2" t="str">
        <f>IFERROR(__xludf.DUMMYFUNCTION("GOOGLETRANSLATE(C89,""fr"",""en"")"),"I am satisfied with my insurance for my scooter your cheap prices I really recommend thank you very much for my insurance for my two -wheel scooter")</f>
        <v>I am satisfied with my insurance for my scooter your cheap prices I really recommend thank you very much for my insurance for my two -wheel scooter</v>
      </c>
    </row>
    <row r="90" ht="15.75" customHeight="1">
      <c r="A90" s="2">
        <v>5.0</v>
      </c>
      <c r="B90" s="2" t="s">
        <v>333</v>
      </c>
      <c r="C90" s="2" t="s">
        <v>334</v>
      </c>
      <c r="D90" s="2" t="s">
        <v>64</v>
      </c>
      <c r="E90" s="2" t="s">
        <v>21</v>
      </c>
      <c r="F90" s="2" t="s">
        <v>15</v>
      </c>
      <c r="G90" s="2" t="s">
        <v>335</v>
      </c>
      <c r="H90" s="2" t="s">
        <v>23</v>
      </c>
      <c r="I90" s="2" t="str">
        <f>IFERROR(__xludf.DUMMYFUNCTION("GOOGLETRANSLATE(C90,""fr"",""en"")"),"The price is very competitive.
Rapid quote
Insurance card received quickly
Termination of my car insurance made by the new insurer
Very happy with the service")</f>
        <v>The price is very competitive.
Rapid quote
Insurance card received quickly
Termination of my car insurance made by the new insurer
Very happy with the service</v>
      </c>
    </row>
    <row r="91" ht="15.75" customHeight="1">
      <c r="A91" s="2">
        <v>4.0</v>
      </c>
      <c r="B91" s="2" t="s">
        <v>336</v>
      </c>
      <c r="C91" s="2" t="s">
        <v>337</v>
      </c>
      <c r="D91" s="2" t="s">
        <v>64</v>
      </c>
      <c r="E91" s="2" t="s">
        <v>21</v>
      </c>
      <c r="F91" s="2" t="s">
        <v>15</v>
      </c>
      <c r="G91" s="2" t="s">
        <v>338</v>
      </c>
      <c r="H91" s="2" t="s">
        <v>17</v>
      </c>
      <c r="I91" s="2" t="str">
        <f>IFERROR(__xludf.DUMMYFUNCTION("GOOGLETRANSLATE(C91,""fr"",""en"")"),"Simple and practical, in a few minutes I was insured on a Saturday afternoon. The prices are a little higher than the competition but it is only the olive tree that was able to process my request")</f>
        <v>Simple and practical, in a few minutes I was insured on a Saturday afternoon. The prices are a little higher than the competition but it is only the olive tree that was able to process my request</v>
      </c>
    </row>
    <row r="92" ht="15.75" customHeight="1">
      <c r="A92" s="2">
        <v>5.0</v>
      </c>
      <c r="B92" s="2" t="s">
        <v>339</v>
      </c>
      <c r="C92" s="2" t="s">
        <v>340</v>
      </c>
      <c r="D92" s="2" t="s">
        <v>64</v>
      </c>
      <c r="E92" s="2" t="s">
        <v>21</v>
      </c>
      <c r="F92" s="2" t="s">
        <v>15</v>
      </c>
      <c r="G92" s="2" t="s">
        <v>341</v>
      </c>
      <c r="H92" s="2" t="s">
        <v>45</v>
      </c>
      <c r="I92" s="2" t="str">
        <f>IFERROR(__xludf.DUMMYFUNCTION("GOOGLETRANSLATE(C92,""fr"",""en"")"),"Responsive and attentive service. Punctual as a reminder on RV.
Clear explanations.
Easy to constitute.
Competent interlocutors.
No particular difficulty.")</f>
        <v>Responsive and attentive service. Punctual as a reminder on RV.
Clear explanations.
Easy to constitute.
Competent interlocutors.
No particular difficulty.</v>
      </c>
    </row>
    <row r="93" ht="15.75" customHeight="1">
      <c r="A93" s="2">
        <v>4.0</v>
      </c>
      <c r="B93" s="2" t="s">
        <v>342</v>
      </c>
      <c r="C93" s="2" t="s">
        <v>343</v>
      </c>
      <c r="D93" s="2" t="s">
        <v>64</v>
      </c>
      <c r="E93" s="2" t="s">
        <v>21</v>
      </c>
      <c r="F93" s="2" t="s">
        <v>15</v>
      </c>
      <c r="G93" s="2" t="s">
        <v>298</v>
      </c>
      <c r="H93" s="2" t="s">
        <v>58</v>
      </c>
      <c r="I93" s="2" t="str">
        <f>IFERROR(__xludf.DUMMYFUNCTION("GOOGLETRANSLATE(C93,""fr"",""en"")"),"I am satisfied with the price and I find that you ensure well and quickly and again thank you very much for your intention and also the service and very correct.")</f>
        <v>I am satisfied with the price and I find that you ensure well and quickly and again thank you very much for your intention and also the service and very correct.</v>
      </c>
    </row>
    <row r="94" ht="15.75" customHeight="1">
      <c r="A94" s="2">
        <v>1.0</v>
      </c>
      <c r="B94" s="2" t="s">
        <v>344</v>
      </c>
      <c r="C94" s="2" t="s">
        <v>345</v>
      </c>
      <c r="D94" s="2" t="s">
        <v>20</v>
      </c>
      <c r="E94" s="2" t="s">
        <v>21</v>
      </c>
      <c r="F94" s="2" t="s">
        <v>15</v>
      </c>
      <c r="G94" s="2" t="s">
        <v>346</v>
      </c>
      <c r="H94" s="2" t="s">
        <v>37</v>
      </c>
      <c r="I94" s="2" t="str">
        <f>IFERROR(__xludf.DUMMYFUNCTION("GOOGLETRANSLATE(C94,""fr"",""en"")"),"Very disappointed with this insurance which is said to be cheaper than the others. I stayed for 5 years with them. With a bonus at 0.8 when arriving, 5 years after my bonus was 0.6 and despite everything over the 5 years my subscription did not stop incre"&amp;"asing. I was in third party for a polo shirt and I paid 58 per month !! Inadmissible. No decreases of prices over the 5 years. So I left for Wilov and there I really save 200 to 250 € per year.")</f>
        <v>Very disappointed with this insurance which is said to be cheaper than the others. I stayed for 5 years with them. With a bonus at 0.8 when arriving, 5 years after my bonus was 0.6 and despite everything over the 5 years my subscription did not stop increasing. I was in third party for a polo shirt and I paid 58 per month !! Inadmissible. No decreases of prices over the 5 years. So I left for Wilov and there I really save 200 to 250 € per year.</v>
      </c>
    </row>
    <row r="95" ht="15.75" customHeight="1">
      <c r="A95" s="2">
        <v>4.0</v>
      </c>
      <c r="B95" s="2" t="s">
        <v>347</v>
      </c>
      <c r="C95" s="2" t="s">
        <v>348</v>
      </c>
      <c r="D95" s="2" t="s">
        <v>78</v>
      </c>
      <c r="E95" s="2" t="s">
        <v>79</v>
      </c>
      <c r="F95" s="2" t="s">
        <v>15</v>
      </c>
      <c r="G95" s="2" t="s">
        <v>152</v>
      </c>
      <c r="H95" s="2" t="s">
        <v>89</v>
      </c>
      <c r="I95" s="2" t="str">
        <f>IFERROR(__xludf.DUMMYFUNCTION("GOOGLETRANSLATE(C95,""fr"",""en"")"),"Very happy with this very attractive price. I recommend it. Find on the lynx.I recommend this insurance has all the bikers. A low price for my pretty 125")</f>
        <v>Very happy with this very attractive price. I recommend it. Find on the lynx.I recommend this insurance has all the bikers. A low price for my pretty 125</v>
      </c>
    </row>
    <row r="96" ht="15.75" customHeight="1">
      <c r="A96" s="2">
        <v>1.0</v>
      </c>
      <c r="B96" s="2" t="s">
        <v>349</v>
      </c>
      <c r="C96" s="2" t="s">
        <v>350</v>
      </c>
      <c r="D96" s="2" t="s">
        <v>351</v>
      </c>
      <c r="E96" s="2" t="s">
        <v>261</v>
      </c>
      <c r="F96" s="2" t="s">
        <v>15</v>
      </c>
      <c r="G96" s="2" t="s">
        <v>352</v>
      </c>
      <c r="H96" s="2" t="s">
        <v>353</v>
      </c>
      <c r="I96" s="2" t="str">
        <f>IFERROR(__xludf.DUMMYFUNCTION("GOOGLETRANSLATE(C96,""fr"",""en"")"),"Contact with the broker is correct, but catastrophic as soon as you have to do at the headquarters for transactions particularly today in the face of life insurance regulations. Avoid to protect your loved ones for whom it will be the obstacle course to y"&amp;"our death")</f>
        <v>Contact with the broker is correct, but catastrophic as soon as you have to do at the headquarters for transactions particularly today in the face of life insurance regulations. Avoid to protect your loved ones for whom it will be the obstacle course to your death</v>
      </c>
    </row>
    <row r="97" ht="15.75" customHeight="1">
      <c r="A97" s="2">
        <v>1.0</v>
      </c>
      <c r="B97" s="2" t="s">
        <v>354</v>
      </c>
      <c r="C97" s="2" t="s">
        <v>355</v>
      </c>
      <c r="D97" s="2" t="s">
        <v>155</v>
      </c>
      <c r="E97" s="2" t="s">
        <v>21</v>
      </c>
      <c r="F97" s="2" t="s">
        <v>15</v>
      </c>
      <c r="G97" s="2" t="s">
        <v>356</v>
      </c>
      <c r="H97" s="2" t="s">
        <v>17</v>
      </c>
      <c r="I97" s="2" t="str">
        <f>IFERROR(__xludf.DUMMYFUNCTION("GOOGLETRANSLATE(C97,""fr"",""en"")"),"I have just received this day a breach of the risk inadequacy to watch the policy of acceptance of the company knowing that I had a big accident certainly but it was not my fault I made myself myself Physically attacked and my car too is shameful for insu"&amp;"rance knowing that I have been there for several years and I paid any really complete risk at all risk")</f>
        <v>I have just received this day a breach of the risk inadequacy to watch the policy of acceptance of the company knowing that I had a big accident certainly but it was not my fault I made myself myself Physically attacked and my car too is shameful for insurance knowing that I have been there for several years and I paid any really complete risk at all risk</v>
      </c>
    </row>
    <row r="98" ht="15.75" customHeight="1">
      <c r="A98" s="2">
        <v>5.0</v>
      </c>
      <c r="B98" s="2" t="s">
        <v>357</v>
      </c>
      <c r="C98" s="2" t="s">
        <v>358</v>
      </c>
      <c r="D98" s="2" t="s">
        <v>20</v>
      </c>
      <c r="E98" s="2" t="s">
        <v>21</v>
      </c>
      <c r="F98" s="2" t="s">
        <v>15</v>
      </c>
      <c r="G98" s="2" t="s">
        <v>230</v>
      </c>
      <c r="H98" s="2" t="s">
        <v>45</v>
      </c>
      <c r="I98" s="2" t="str">
        <f>IFERROR(__xludf.DUMMYFUNCTION("GOOGLETRANSLATE(C98,""fr"",""en"")"),"The subscription is simple and quick, listening interlocutor, attractive price, I highly recommend. The application is itself easy to use")</f>
        <v>The subscription is simple and quick, listening interlocutor, attractive price, I highly recommend. The application is itself easy to use</v>
      </c>
    </row>
    <row r="99" ht="15.75" customHeight="1">
      <c r="A99" s="2">
        <v>2.0</v>
      </c>
      <c r="B99" s="2" t="s">
        <v>359</v>
      </c>
      <c r="C99" s="2" t="s">
        <v>360</v>
      </c>
      <c r="D99" s="2" t="s">
        <v>64</v>
      </c>
      <c r="E99" s="2" t="s">
        <v>21</v>
      </c>
      <c r="F99" s="2" t="s">
        <v>15</v>
      </c>
      <c r="G99" s="2" t="s">
        <v>361</v>
      </c>
      <c r="H99" s="2" t="s">
        <v>362</v>
      </c>
      <c r="I99" s="2" t="str">
        <f>IFERROR(__xludf.DUMMYFUNCTION("GOOGLETRANSLATE(C99,""fr"",""en"")"),"To flee absolutely!
Accident on August 26, we are on October 19 and still neither reimbursement nor knowledge of the amount of reimbursement in a non -responsible accident. I no longer have a car and an insurer who delays (voluntarily? ... It's my impres"&amp;"sion) procedures.
The wreckage was sold on October 2 following tenders and must be removed removed tomorrow, the garage refuses to deliver the vehicle because the olive assurances has still not sent them to take charge for the work requested by their exp"&amp;"ert.
After payment of the wreckage he will remain for the insurer to reimburse around € 13,000 (which will be reimbursed by the insurer of the opposing party) for a vehicle which was provided on the value of € 30,000 there is 4 months. The manager tells "&amp;"me that the procedure is long given the amount! The Gibraltar insurer has no money so much?
In fact, to date I do not know who is to question, the olive tree insurance or the manager of my file which promises me that it keeps my file under the elbow. She"&amp;" may be asleep on her elbow because she remains unreachable, despite the promises of the standard who tells me that she will remind me. No response either to my emails, it's absurd!
If I want to buy a new car, I feel that I will have to go up a gear beca"&amp;"use the weeks go by and nothing moves, soft !!!")</f>
        <v>To flee absolutely!
Accident on August 26, we are on October 19 and still neither reimbursement nor knowledge of the amount of reimbursement in a non -responsible accident. I no longer have a car and an insurer who delays (voluntarily? ... It's my impression) procedures.
The wreckage was sold on October 2 following tenders and must be removed removed tomorrow, the garage refuses to deliver the vehicle because the olive assurances has still not sent them to take charge for the work requested by their expert.
After payment of the wreckage he will remain for the insurer to reimburse around € 13,000 (which will be reimbursed by the insurer of the opposing party) for a vehicle which was provided on the value of € 30,000 there is 4 months. The manager tells me that the procedure is long given the amount! The Gibraltar insurer has no money so much?
In fact, to date I do not know who is to question, the olive tree insurance or the manager of my file which promises me that it keeps my file under the elbow. She may be asleep on her elbow because she remains unreachable, despite the promises of the standard who tells me that she will remind me. No response either to my emails, it's absurd!
If I want to buy a new car, I feel that I will have to go up a gear because the weeks go by and nothing moves, soft !!!</v>
      </c>
    </row>
    <row r="100" ht="15.75" customHeight="1">
      <c r="A100" s="2">
        <v>5.0</v>
      </c>
      <c r="B100" s="2" t="s">
        <v>363</v>
      </c>
      <c r="C100" s="2" t="s">
        <v>364</v>
      </c>
      <c r="D100" s="2" t="s">
        <v>20</v>
      </c>
      <c r="E100" s="2" t="s">
        <v>21</v>
      </c>
      <c r="F100" s="2" t="s">
        <v>15</v>
      </c>
      <c r="G100" s="2" t="s">
        <v>365</v>
      </c>
      <c r="H100" s="2" t="s">
        <v>89</v>
      </c>
      <c r="I100" s="2" t="str">
        <f>IFERROR(__xludf.DUMMYFUNCTION("GOOGLETRANSLATE(C100,""fr"",""en"")"),"I am extremely satisfied with the service offered. The online service is extremely practical, efficient and well done. The prices are very competitive with other companies;")</f>
        <v>I am extremely satisfied with the service offered. The online service is extremely practical, efficient and well done. The prices are very competitive with other companies;</v>
      </c>
    </row>
    <row r="101" ht="15.75" customHeight="1">
      <c r="A101" s="2">
        <v>1.0</v>
      </c>
      <c r="B101" s="2" t="s">
        <v>366</v>
      </c>
      <c r="C101" s="2" t="s">
        <v>367</v>
      </c>
      <c r="D101" s="2" t="s">
        <v>256</v>
      </c>
      <c r="E101" s="2" t="s">
        <v>21</v>
      </c>
      <c r="F101" s="2" t="s">
        <v>15</v>
      </c>
      <c r="G101" s="2" t="s">
        <v>368</v>
      </c>
      <c r="H101" s="2" t="s">
        <v>195</v>
      </c>
      <c r="I101" s="2" t="str">
        <f>IFERROR(__xludf.DUMMYFUNCTION("GOOGLETRANSLATE(C101,""fr"",""en"")"),"Following a scooter accident of my son, we had to take the guilt of the opposing party to them, while a gendarmerie process had been carried out against the second vehicle implicated (prohibition of a vehicle a vehicle in urban areas ). It is still a sham"&amp;"e to have to do the work in their place and to pay the subscriptions over the market. I would say incompetent")</f>
        <v>Following a scooter accident of my son, we had to take the guilt of the opposing party to them, while a gendarmerie process had been carried out against the second vehicle implicated (prohibition of a vehicle a vehicle in urban areas ). It is still a shame to have to do the work in their place and to pay the subscriptions over the market. I would say incompetent</v>
      </c>
    </row>
    <row r="102" ht="15.75" customHeight="1">
      <c r="A102" s="2">
        <v>1.0</v>
      </c>
      <c r="B102" s="2" t="s">
        <v>369</v>
      </c>
      <c r="C102" s="2" t="s">
        <v>370</v>
      </c>
      <c r="D102" s="2" t="s">
        <v>371</v>
      </c>
      <c r="E102" s="2" t="s">
        <v>74</v>
      </c>
      <c r="F102" s="2" t="s">
        <v>15</v>
      </c>
      <c r="G102" s="2" t="s">
        <v>372</v>
      </c>
      <c r="H102" s="2" t="s">
        <v>97</v>
      </c>
      <c r="I102" s="2" t="str">
        <f>IFERROR(__xludf.DUMMYFUNCTION("GOOGLETRANSLATE(C102,""fr"",""en"")"),"Hello,
I am very angry with AG2R La Mondiale because I have been on sick leave for more than 3 months. Provident should take over for the additional salary. But I have the impression that leading me by boat.
I called their service yesterday, I am told a"&amp;"fter identification that there is a computer bug and that you have to remember the next day. I recall the next day, the advisor answers me each time next. I ask where it is the processing of the file that I sent on the end of July, she tells me that she s"&amp;"ees that treatment is blocked because they are waiting for the reception of my mail and that they have received nothing, except that I have it in a letter followed and that I have proof that it happened within the organization. After I am told that it tak"&amp;"es more than one month for the processing of a file and that it does not have a range to communicate to me. I told him that we are going to fall in precariousness because the bank directors continue. She asked me if I have a reclamation, you have to appro"&amp;"ach my employer to do it. It's really lamentable.
I will start a procedure. It is as if that is not enough the disease we must add financial concerns.")</f>
        <v>Hello,
I am very angry with AG2R La Mondiale because I have been on sick leave for more than 3 months. Provident should take over for the additional salary. But I have the impression that leading me by boat.
I called their service yesterday, I am told after identification that there is a computer bug and that you have to remember the next day. I recall the next day, the advisor answers me each time next. I ask where it is the processing of the file that I sent on the end of July, she tells me that she sees that treatment is blocked because they are waiting for the reception of my mail and that they have received nothing, except that I have it in a letter followed and that I have proof that it happened within the organization. After I am told that it takes more than one month for the processing of a file and that it does not have a range to communicate to me. I told him that we are going to fall in precariousness because the bank directors continue. She asked me if I have a reclamation, you have to approach my employer to do it. It's really lamentable.
I will start a procedure. It is as if that is not enough the disease we must add financial concerns.</v>
      </c>
    </row>
    <row r="103" ht="15.75" customHeight="1">
      <c r="A103" s="2">
        <v>5.0</v>
      </c>
      <c r="B103" s="2" t="s">
        <v>373</v>
      </c>
      <c r="C103" s="2" t="s">
        <v>374</v>
      </c>
      <c r="D103" s="2" t="s">
        <v>375</v>
      </c>
      <c r="E103" s="2" t="s">
        <v>14</v>
      </c>
      <c r="F103" s="2" t="s">
        <v>15</v>
      </c>
      <c r="G103" s="2" t="s">
        <v>376</v>
      </c>
      <c r="H103" s="2" t="s">
        <v>23</v>
      </c>
      <c r="I103" s="2" t="str">
        <f>IFERROR(__xludf.DUMMYFUNCTION("GOOGLETRANSLATE(C103,""fr"",""en"")"),"Thank you especially to the advisor I had online which was very pleasant, professional and smiling.
I have already had to call for other requests and each time, I feel listening, kindness, competence, and professionalism.")</f>
        <v>Thank you especially to the advisor I had online which was very pleasant, professional and smiling.
I have already had to call for other requests and each time, I feel listening, kindness, competence, and professionalism.</v>
      </c>
    </row>
    <row r="104" ht="15.75" customHeight="1">
      <c r="A104" s="2">
        <v>1.0</v>
      </c>
      <c r="B104" s="2" t="s">
        <v>377</v>
      </c>
      <c r="C104" s="2" t="s">
        <v>378</v>
      </c>
      <c r="D104" s="2" t="s">
        <v>119</v>
      </c>
      <c r="E104" s="2" t="s">
        <v>21</v>
      </c>
      <c r="F104" s="2" t="s">
        <v>15</v>
      </c>
      <c r="G104" s="2" t="s">
        <v>379</v>
      </c>
      <c r="H104" s="2" t="s">
        <v>380</v>
      </c>
      <c r="I104" s="2" t="str">
        <f>IFERROR(__xludf.DUMMYFUNCTION("GOOGLETRANSLATE(C104,""fr"",""en"")"),"Fush this insurance
He invents you loss then when he sagits to remove them he takes the ball between service and claims
Total incompetence !!!")</f>
        <v>Fush this insurance
He invents you loss then when he sagits to remove them he takes the ball between service and claims
Total incompetence !!!</v>
      </c>
    </row>
    <row r="105" ht="15.75" customHeight="1">
      <c r="A105" s="2">
        <v>1.0</v>
      </c>
      <c r="B105" s="2" t="s">
        <v>381</v>
      </c>
      <c r="C105" s="2" t="s">
        <v>382</v>
      </c>
      <c r="D105" s="2" t="s">
        <v>383</v>
      </c>
      <c r="E105" s="2" t="s">
        <v>110</v>
      </c>
      <c r="F105" s="2" t="s">
        <v>15</v>
      </c>
      <c r="G105" s="2" t="s">
        <v>384</v>
      </c>
      <c r="H105" s="2" t="s">
        <v>81</v>
      </c>
      <c r="I105" s="2" t="str">
        <f>IFERROR(__xludf.DUMMYFUNCTION("GOOGLETRANSLATE(C105,""fr"",""en"")"),"To run away absolutely .. at no time the deficiency period is mentioned at the time of subscription. I just got caught for more than 250 euros !! To run away absolutely")</f>
        <v>To run away absolutely .. at no time the deficiency period is mentioned at the time of subscription. I just got caught for more than 250 euros !! To run away absolutely</v>
      </c>
    </row>
    <row r="106" ht="15.75" customHeight="1">
      <c r="A106" s="2">
        <v>1.0</v>
      </c>
      <c r="B106" s="2" t="s">
        <v>385</v>
      </c>
      <c r="C106" s="2" t="s">
        <v>386</v>
      </c>
      <c r="D106" s="2" t="s">
        <v>371</v>
      </c>
      <c r="E106" s="2" t="s">
        <v>74</v>
      </c>
      <c r="F106" s="2" t="s">
        <v>15</v>
      </c>
      <c r="G106" s="2" t="s">
        <v>89</v>
      </c>
      <c r="H106" s="2" t="s">
        <v>89</v>
      </c>
      <c r="I106" s="2" t="str">
        <f>IFERROR(__xludf.DUMMYFUNCTION("GOOGLETRANSLATE(C106,""fr"",""en"")"),"I want to warn the potential customers of AG2R.
For 18 months in second category disability, licensed and declared unfit, my wife has not affected a penny. Because at AG2R La Mondiale, you do not dispute the decisions of your attending physician, your sp"&amp;"ecialist doctor, occupational physician, specialized commissions, health insurance doctor.
No, at AG2R La Mondiale, we simply have ""other criteria for assessing guarantees"". It's written black on white in their last mail ...
So ... flee this company.")</f>
        <v>I want to warn the potential customers of AG2R.
For 18 months in second category disability, licensed and declared unfit, my wife has not affected a penny. Because at AG2R La Mondiale, you do not dispute the decisions of your attending physician, your specialist doctor, occupational physician, specialized commissions, health insurance doctor.
No, at AG2R La Mondiale, we simply have "other criteria for assessing guarantees". It's written black on white in their last mail ...
So ... flee this company.</v>
      </c>
    </row>
    <row r="107" ht="15.75" customHeight="1">
      <c r="A107" s="2">
        <v>2.0</v>
      </c>
      <c r="B107" s="2" t="s">
        <v>387</v>
      </c>
      <c r="C107" s="2" t="s">
        <v>388</v>
      </c>
      <c r="D107" s="2" t="s">
        <v>200</v>
      </c>
      <c r="E107" s="2" t="s">
        <v>21</v>
      </c>
      <c r="F107" s="2" t="s">
        <v>15</v>
      </c>
      <c r="G107" s="2" t="s">
        <v>389</v>
      </c>
      <c r="H107" s="2" t="s">
        <v>121</v>
      </c>
      <c r="I107" s="2" t="str">
        <f>IFERROR(__xludf.DUMMYFUNCTION("GOOGLETRANSLATE(C107,""fr"",""en"")"),"Scandalous! Several emails sent and no answer! To take your bank details and cashed the money they answer present and do not hesitate to recall but when it comes to knowing why I have still not received my insurance green card there anymore. My month and "&amp;"finished and still had nothing, inadmissible if it is not too late, never take out active insurance I will have warned you.")</f>
        <v>Scandalous! Several emails sent and no answer! To take your bank details and cashed the money they answer present and do not hesitate to recall but when it comes to knowing why I have still not received my insurance green card there anymore. My month and finished and still had nothing, inadmissible if it is not too late, never take out active insurance I will have warned you.</v>
      </c>
    </row>
    <row r="108" ht="15.75" customHeight="1">
      <c r="A108" s="2">
        <v>2.0</v>
      </c>
      <c r="B108" s="2" t="s">
        <v>390</v>
      </c>
      <c r="C108" s="2" t="s">
        <v>391</v>
      </c>
      <c r="D108" s="2" t="s">
        <v>392</v>
      </c>
      <c r="E108" s="2" t="s">
        <v>110</v>
      </c>
      <c r="F108" s="2" t="s">
        <v>15</v>
      </c>
      <c r="G108" s="2" t="s">
        <v>393</v>
      </c>
      <c r="H108" s="2" t="s">
        <v>394</v>
      </c>
      <c r="I108" s="2" t="str">
        <f>IFERROR(__xludf.DUMMYFUNCTION("GOOGLETRANSLATE(C108,""fr"",""en"")"),"Insurance far too expensive unjustified increase
I regret not having taken the time to compare with other insurance
It was a friend who had given me the contact details
I am stuck because now my female dog is 11 years old
")</f>
        <v>Insurance far too expensive unjustified increase
I regret not having taken the time to compare with other insurance
It was a friend who had given me the contact details
I am stuck because now my female dog is 11 years old
</v>
      </c>
    </row>
    <row r="109" ht="15.75" customHeight="1">
      <c r="A109" s="2">
        <v>1.0</v>
      </c>
      <c r="B109" s="2" t="s">
        <v>395</v>
      </c>
      <c r="C109" s="2" t="s">
        <v>396</v>
      </c>
      <c r="D109" s="2" t="s">
        <v>20</v>
      </c>
      <c r="E109" s="2" t="s">
        <v>21</v>
      </c>
      <c r="F109" s="2" t="s">
        <v>15</v>
      </c>
      <c r="G109" s="2" t="s">
        <v>397</v>
      </c>
      <c r="H109" s="2" t="s">
        <v>398</v>
      </c>
      <c r="I109" s="2" t="str">
        <f>IFERROR(__xludf.DUMMYFUNCTION("GOOGLETRANSLATE(C109,""fr"",""en"")"),"Well, I would say it's a good offer if I didn't know your policy well.
There I want to share my experience with those who are trying to take the plunge:
I was the happy naive insured who paid much and insured at the third party.
1- I had a break of ice"&amp;" following vandalism for an unfortunate 25cm2 deflector, I had to pay 140 € deductible knowing that without insurance is what I would have paid at a car center. In short, I was pigeoned.
2- The secondary driver had a non-responsible accident supported "&amp;"by Direct Official Insurance 100%. Cool for a small scratch visible on the door.
To conclude,
I was quite happy despite everything with a direct insurance, but;
I decide to make a quote for a second vehicle that we wanted to acquire, less powerful an"&amp;"d the same year and for the same guarantees, and there !!!!!!! the drama !!! I discover that I would pay 30 see 35% more expensive than what I pay now !!!! Anyway, I am lucky to be insured, because I read in forums that they even managed to terminate insu"&amp;"red who were in my case, 2 non -responsible claims!
And to have the information statement, we apply online and then we receive an email to ask us to call them !! No but it's not serious there !!")</f>
        <v>Well, I would say it's a good offer if I didn't know your policy well.
There I want to share my experience with those who are trying to take the plunge:
I was the happy naive insured who paid much and insured at the third party.
1- I had a break of ice following vandalism for an unfortunate 25cm2 deflector, I had to pay 140 € deductible knowing that without insurance is what I would have paid at a car center. In short, I was pigeoned.
2- The secondary driver had a non-responsible accident supported by Direct Official Insurance 100%. Cool for a small scratch visible on the door.
To conclude,
I was quite happy despite everything with a direct insurance, but;
I decide to make a quote for a second vehicle that we wanted to acquire, less powerful and the same year and for the same guarantees, and there !!!!!!! the drama !!! I discover that I would pay 30 see 35% more expensive than what I pay now !!!! Anyway, I am lucky to be insured, because I read in forums that they even managed to terminate insured who were in my case, 2 non -responsible claims!
And to have the information statement, we apply online and then we receive an email to ask us to call them !! No but it's not serious there !!</v>
      </c>
    </row>
    <row r="110" ht="15.75" customHeight="1">
      <c r="A110" s="2">
        <v>1.0</v>
      </c>
      <c r="B110" s="2" t="s">
        <v>399</v>
      </c>
      <c r="C110" s="2" t="s">
        <v>400</v>
      </c>
      <c r="D110" s="2" t="s">
        <v>206</v>
      </c>
      <c r="E110" s="2" t="s">
        <v>21</v>
      </c>
      <c r="F110" s="2" t="s">
        <v>15</v>
      </c>
      <c r="G110" s="2" t="s">
        <v>401</v>
      </c>
      <c r="H110" s="2" t="s">
        <v>168</v>
      </c>
      <c r="I110" s="2" t="str">
        <f>IFERROR(__xludf.DUMMYFUNCTION("GOOGLETRANSLATE(C110,""fr"",""en"")"),"Current customer ... and future former customer ... everything is fine, the maif is ""militant insurer"" ... as long as you ask them nothing ... I have a vehicle on a plenitude contract with them (in short, the Max) ... Pigning at home ... it's covered by"&amp;" the contract. I appeal to the IMA assistance whose number is on my maif card ... Departmentaling covered by the maif ... The charter destroys my gearbox (and recognizes 100% his wrongs!) ... Expertise, against expertise , the expert calls me, the wrongs "&amp;"of the Depanneurs are recognized by him and by the opposing expert ... but my vehicle is not repairable because the cost of repair is more high than the venale value of the vehicle. I accept the thing. As stipulates on my maif contract, I ask if I will be"&amp;"nefit from the 20% increase beyond the value of expert ... Answer of the MAIF, in the text ""La Maif is not intended to intervene, It is between you and inter -mutual assistance "". And I am criticized for not having made a declaration of a claim to the M"&amp;"AIF (while I had them on the phone many times ... thinking that having called their assistance, that everything would be gere ... but good ... and they were careful not to advise me to do so!). I ask for a temporary replacement vehicle, the immobilization"&amp;" of my car being the responsibility of the assistance that I contacted via the maif (and its for a chart), I am told initially no, because it is not a accident ! I rale a little, and as the assurance of the Depanneur agrees to pay for a rental vehicle, th"&amp;"en all of a cost, my insurance accepts (so with the maif, if it does not cost them anything, everything goes well! A weekly cost announced by the car rental company of 170 euros)! But it's not over ... I am asked (IMA) not to buy vehicle as long as the pa"&amp;"pers are not finished and valid (it's been more than 15 days), we refuse to tell me, once That it will be (perhaps, they do not commit to anything) valid, how long I will have to buy a vehicle, the maif does not answer my emails (although I said to them t"&amp;"o be assured to the maif, not to IMA), IMA has been extremely designed ... and the pompom: IMA not buying the Epaves (even if my car has been declaree following their intervention!), They make a tender so that A company redeem my vehicle, and they, if it "&amp;"is valid, will reimburse me the difference and this will be my responsibility to go and contact the company which will have bought my ""EPAVE"" to recover the rest of the sum ... in short ... after 20 years at La Maif (in which I really did not ask them f"&amp;"or much. No accident is in charge), the maif and her assistance bring me back in A complicated situation for 7000 euros (value of the car, validated by the discomfort of the Depanner who is OK to pay), + 1,400 euros of increase (which should come from Mai"&amp;"f if they ever respect the closings of their contract instead of Find all the possible means to tell me that it is not their problem but that of IMA!). How, for such a sum, given the disposability of the charter set up by Maif/Ima that should have happene"&amp;"d, if the maif had been good insurance? The MAIF should have taken matters into hand, quickly repay me from the amount and the contractual increase, and then, it, to manage with the assurance of the Depanneur etc to determine who pays what. It should have"&amp;" been transparent and fast for me, and if the maif had managed this in this way, I would have said to myself: it is good insurance, when I have a problem (no responsible) they are very good for that Or the fastest and simple for me. They are well ""milita"&amp;"nt insurers"". But that is not the case, it is simply false. Maif does everything to pay nothing.")</f>
        <v>Current customer ... and future former customer ... everything is fine, the maif is "militant insurer" ... as long as you ask them nothing ... I have a vehicle on a plenitude contract with them (in short, the Max) ... Pigning at home ... it's covered by the contract. I appeal to the IMA assistance whose number is on my maif card ... Departmentaling covered by the maif ... The charter destroys my gearbox (and recognizes 100% his wrongs!) ... Expertise, against expertise , the expert calls me, the wrongs of the Depanneurs are recognized by him and by the opposing expert ... but my vehicle is not repairable because the cost of repair is more high than the venale value of the vehicle. I accept the thing. As stipulates on my maif contract, I ask if I will benefit from the 20% increase beyond the value of expert ... Answer of the MAIF, in the text "La Maif is not intended to intervene, It is between you and inter -mutual assistance ". And I am criticized for not having made a declaration of a claim to the MAIF (while I had them on the phone many times ... thinking that having called their assistance, that everything would be gere ... but good ... and they were careful not to advise me to do so!). I ask for a temporary replacement vehicle, the immobilization of my car being the responsibility of the assistance that I contacted via the maif (and its for a chart), I am told initially no, because it is not a accident ! I rale a little, and as the assurance of the Depanneur agrees to pay for a rental vehicle, then all of a cost, my insurance accepts (so with the maif, if it does not cost them anything, everything goes well! A weekly cost announced by the car rental company of 170 euros)! But it's not over ... I am asked (IMA) not to buy vehicle as long as the papers are not finished and valid (it's been more than 15 days), we refuse to tell me, once That it will be (perhaps, they do not commit to anything) valid, how long I will have to buy a vehicle, the maif does not answer my emails (although I said to them to be assured to the maif, not to IMA), IMA has been extremely designed ... and the pompom: IMA not buying the Epaves (even if my car has been declaree following their intervention!), They make a tender so that A company redeem my vehicle, and they, if it is valid, will reimburse me the difference and this will be my responsibility to go and contact the company which will have bought my "EPAVE" to recover the rest of the sum ... in short ... after 20 years at La Maif (in which I really did not ask them for much. No accident is in charge), the maif and her assistance bring me back in A complicated situation for 7000 euros (value of the car, validated by the discomfort of the Depanner who is OK to pay), + 1,400 euros of increase (which should come from Maif if they ever respect the closings of their contract instead of Find all the possible means to tell me that it is not their problem but that of IMA!). How, for such a sum, given the disposability of the charter set up by Maif/Ima that should have happened, if the maif had been good insurance? The MAIF should have taken matters into hand, quickly repay me from the amount and the contractual increase, and then, it, to manage with the assurance of the Depanneur etc to determine who pays what. It should have been transparent and fast for me, and if the maif had managed this in this way, I would have said to myself: it is good insurance, when I have a problem (no responsible) they are very good for that Or the fastest and simple for me. They are well "militant insurers". But that is not the case, it is simply false. Maif does everything to pay nothing.</v>
      </c>
    </row>
    <row r="111" ht="15.75" customHeight="1">
      <c r="A111" s="2">
        <v>1.0</v>
      </c>
      <c r="B111" s="2" t="s">
        <v>402</v>
      </c>
      <c r="C111" s="2" t="s">
        <v>403</v>
      </c>
      <c r="D111" s="2" t="s">
        <v>20</v>
      </c>
      <c r="E111" s="2" t="s">
        <v>21</v>
      </c>
      <c r="F111" s="2" t="s">
        <v>15</v>
      </c>
      <c r="G111" s="2" t="s">
        <v>404</v>
      </c>
      <c r="H111" s="2" t="s">
        <v>178</v>
      </c>
      <c r="I111" s="2" t="str">
        <f>IFERROR(__xludf.DUMMYFUNCTION("GOOGLETRANSLATE(C111,""fr"",""en"")"),"Very unhappy h bouju no information service listening lying advertising deception bad faith especially to avoid not engaging before having a clear and written proposal before making a decision")</f>
        <v>Very unhappy h bouju no information service listening lying advertising deception bad faith especially to avoid not engaging before having a clear and written proposal before making a decision</v>
      </c>
    </row>
    <row r="112" ht="15.75" customHeight="1">
      <c r="A112" s="2">
        <v>5.0</v>
      </c>
      <c r="B112" s="2" t="s">
        <v>405</v>
      </c>
      <c r="C112" s="2" t="s">
        <v>406</v>
      </c>
      <c r="D112" s="2" t="s">
        <v>200</v>
      </c>
      <c r="E112" s="2" t="s">
        <v>21</v>
      </c>
      <c r="F112" s="2" t="s">
        <v>15</v>
      </c>
      <c r="G112" s="2" t="s">
        <v>407</v>
      </c>
      <c r="H112" s="2" t="s">
        <v>408</v>
      </c>
      <c r="I112" s="2" t="str">
        <f>IFERROR(__xludf.DUMMYFUNCTION("GOOGLETRANSLATE(C112,""fr"",""en"")"),"No problem to make sure I efficient effective the samples are as planned and I am notified by email before the sample, so I recommend good value for money by cons the black point it is customer service I intend to ensure a second vehicle soon and I joined"&amp;" customer service 2 times or I am promised the recall of an advisor to establish 2 quotes since I hesitate between 2 models suddenly I asked for an information statement by email in case I would be Obliged to make sure elsewhere")</f>
        <v>No problem to make sure I efficient effective the samples are as planned and I am notified by email before the sample, so I recommend good value for money by cons the black point it is customer service I intend to ensure a second vehicle soon and I joined customer service 2 times or I am promised the recall of an advisor to establish 2 quotes since I hesitate between 2 models suddenly I asked for an information statement by email in case I would be Obliged to make sure elsewhere</v>
      </c>
    </row>
    <row r="113" ht="15.75" customHeight="1">
      <c r="A113" s="2">
        <v>5.0</v>
      </c>
      <c r="B113" s="2" t="s">
        <v>409</v>
      </c>
      <c r="C113" s="2" t="s">
        <v>410</v>
      </c>
      <c r="D113" s="2" t="s">
        <v>20</v>
      </c>
      <c r="E113" s="2" t="s">
        <v>21</v>
      </c>
      <c r="F113" s="2" t="s">
        <v>15</v>
      </c>
      <c r="G113" s="2" t="s">
        <v>411</v>
      </c>
      <c r="H113" s="2" t="s">
        <v>89</v>
      </c>
      <c r="I113" s="2" t="str">
        <f>IFERROR(__xludf.DUMMYFUNCTION("GOOGLETRANSLATE(C113,""fr"",""en"")"),"I am satisfied with the Direct Insurance Support site to ensure my vehicle
It is rather fast, clear and simple.")</f>
        <v>I am satisfied with the Direct Insurance Support site to ensure my vehicle
It is rather fast, clear and simple.</v>
      </c>
    </row>
    <row r="114" ht="15.75" customHeight="1">
      <c r="A114" s="2">
        <v>5.0</v>
      </c>
      <c r="B114" s="2" t="s">
        <v>412</v>
      </c>
      <c r="C114" s="2" t="s">
        <v>413</v>
      </c>
      <c r="D114" s="2" t="s">
        <v>64</v>
      </c>
      <c r="E114" s="2" t="s">
        <v>21</v>
      </c>
      <c r="F114" s="2" t="s">
        <v>15</v>
      </c>
      <c r="G114" s="2" t="s">
        <v>414</v>
      </c>
      <c r="H114" s="2" t="s">
        <v>58</v>
      </c>
      <c r="I114" s="2" t="str">
        <f>IFERROR(__xludf.DUMMYFUNCTION("GOOGLETRANSLATE(C114,""fr"",""en"")"),"I am delighted, quick, inexpensive, efficient quote. I will not hesitate to talk about your services to my contacts. Best regards. Philippe Cargou ........")</f>
        <v>I am delighted, quick, inexpensive, efficient quote. I will not hesitate to talk about your services to my contacts. Best regards. Philippe Cargou ........</v>
      </c>
    </row>
    <row r="115" ht="15.75" customHeight="1">
      <c r="A115" s="2">
        <v>3.0</v>
      </c>
      <c r="B115" s="2" t="s">
        <v>415</v>
      </c>
      <c r="C115" s="2" t="s">
        <v>416</v>
      </c>
      <c r="D115" s="2" t="s">
        <v>20</v>
      </c>
      <c r="E115" s="2" t="s">
        <v>21</v>
      </c>
      <c r="F115" s="2" t="s">
        <v>15</v>
      </c>
      <c r="G115" s="2" t="s">
        <v>417</v>
      </c>
      <c r="H115" s="2" t="s">
        <v>418</v>
      </c>
      <c r="I115" s="2" t="str">
        <f>IFERROR(__xludf.DUMMYFUNCTION("GOOGLETRANSLATE(C115,""fr"",""en"")"),"I was satisfied until 2019, when I was immobilized in Spain. Being at the time at the third party ""Maxi"", Direct Assurance had to - and have my vehicle put in safety - and send us a taxi to follow the tray to transport the vehicle. The tray arrived 3 ho"&amp;"urs later, but no taxi. It was impossible for us to let our vehicle go by everything without following it. The tray waited for 1/2 hour, then left. A reminder to Direct Assurance, where an advisor replied that the file was classified since we had refused "&amp;"the set! Our explanation on the absence of a taxi: they had nothing to do with it. This cost us € 600 tray that we chose with a taxi chartered by us. Of course when we got back from vacation we terminated this insurance which reminded us by offering us co"&amp;"mpensation of € 60 ... enough to laugh.")</f>
        <v>I was satisfied until 2019, when I was immobilized in Spain. Being at the time at the third party "Maxi", Direct Assurance had to - and have my vehicle put in safety - and send us a taxi to follow the tray to transport the vehicle. The tray arrived 3 hours later, but no taxi. It was impossible for us to let our vehicle go by everything without following it. The tray waited for 1/2 hour, then left. A reminder to Direct Assurance, where an advisor replied that the file was classified since we had refused the set! Our explanation on the absence of a taxi: they had nothing to do with it. This cost us € 600 tray that we chose with a taxi chartered by us. Of course when we got back from vacation we terminated this insurance which reminded us by offering us compensation of € 60 ... enough to laugh.</v>
      </c>
    </row>
    <row r="116" ht="15.75" customHeight="1">
      <c r="A116" s="2">
        <v>3.0</v>
      </c>
      <c r="B116" s="2" t="s">
        <v>419</v>
      </c>
      <c r="C116" s="2" t="s">
        <v>420</v>
      </c>
      <c r="D116" s="2" t="s">
        <v>68</v>
      </c>
      <c r="E116" s="2" t="s">
        <v>14</v>
      </c>
      <c r="F116" s="2" t="s">
        <v>15</v>
      </c>
      <c r="G116" s="2" t="s">
        <v>421</v>
      </c>
      <c r="H116" s="2" t="s">
        <v>178</v>
      </c>
      <c r="I116" s="2" t="str">
        <f>IFERROR(__xludf.DUMMYFUNCTION("GOOGLETRANSLATE(C116,""fr"",""en"")"),"Impossible to go to the site because it refuses the member number when we have the card since January 2021. It is incomprehensible especially since it needs it. Why ??????")</f>
        <v>Impossible to go to the site because it refuses the member number when we have the card since January 2021. It is incomprehensible especially since it needs it. Why ??????</v>
      </c>
    </row>
    <row r="117" ht="15.75" customHeight="1">
      <c r="A117" s="2">
        <v>5.0</v>
      </c>
      <c r="B117" s="2" t="s">
        <v>422</v>
      </c>
      <c r="C117" s="2" t="s">
        <v>423</v>
      </c>
      <c r="D117" s="2" t="s">
        <v>20</v>
      </c>
      <c r="E117" s="2" t="s">
        <v>21</v>
      </c>
      <c r="F117" s="2" t="s">
        <v>15</v>
      </c>
      <c r="G117" s="2" t="s">
        <v>424</v>
      </c>
      <c r="H117" s="2" t="s">
        <v>45</v>
      </c>
      <c r="I117" s="2" t="str">
        <f>IFERROR(__xludf.DUMMYFUNCTION("GOOGLETRANSLATE(C117,""fr"",""en"")"),"satisfied with the quote and its simplicity as well as the price and the options offered by the company ... much cheaper than elsewhere compared to the old assurrance")</f>
        <v>satisfied with the quote and its simplicity as well as the price and the options offered by the company ... much cheaper than elsewhere compared to the old assurrance</v>
      </c>
    </row>
    <row r="118" ht="15.75" customHeight="1">
      <c r="A118" s="2">
        <v>2.0</v>
      </c>
      <c r="B118" s="2" t="s">
        <v>425</v>
      </c>
      <c r="C118" s="2" t="s">
        <v>426</v>
      </c>
      <c r="D118" s="2" t="s">
        <v>13</v>
      </c>
      <c r="E118" s="2" t="s">
        <v>14</v>
      </c>
      <c r="F118" s="2" t="s">
        <v>15</v>
      </c>
      <c r="G118" s="2" t="s">
        <v>427</v>
      </c>
      <c r="H118" s="2" t="s">
        <v>428</v>
      </c>
      <c r="I118" s="2" t="str">
        <f>IFERROR(__xludf.DUMMYFUNCTION("GOOGLETRANSLATE(C118,""fr"",""en"")"),"First of all, I would like to thank Erika who was able to quickly solve my problem and especially with great kindness and notice. By cons I am not satisfied at all at the level of reimbursements and customer follow -up from Santiane. I applied for care on"&amp;" March 30 for hospitalizations on April 26 and May 3. I did not get any response even after 2 reminders by email. Only Erika was able to react quickly and I thank her my operation being for tomorrow.")</f>
        <v>First of all, I would like to thank Erika who was able to quickly solve my problem and especially with great kindness and notice. By cons I am not satisfied at all at the level of reimbursements and customer follow -up from Santiane. I applied for care on March 30 for hospitalizations on April 26 and May 3. I did not get any response even after 2 reminders by email. Only Erika was able to react quickly and I thank her my operation being for tomorrow.</v>
      </c>
    </row>
    <row r="119" ht="15.75" customHeight="1">
      <c r="A119" s="2">
        <v>2.0</v>
      </c>
      <c r="B119" s="2" t="s">
        <v>429</v>
      </c>
      <c r="C119" s="2" t="s">
        <v>430</v>
      </c>
      <c r="D119" s="2" t="s">
        <v>20</v>
      </c>
      <c r="E119" s="2" t="s">
        <v>21</v>
      </c>
      <c r="F119" s="2" t="s">
        <v>15</v>
      </c>
      <c r="G119" s="2" t="s">
        <v>431</v>
      </c>
      <c r="H119" s="2" t="s">
        <v>353</v>
      </c>
      <c r="I119" s="2" t="str">
        <f>IFERROR(__xludf.DUMMYFUNCTION("GOOGLETRANSLATE(C119,""fr"",""en"")"),"Very good in prices, however not having a disaster even not responsible. 5 months to be reimbursed. I advise against. Better to take insurance with an interlocutor opposite.")</f>
        <v>Very good in prices, however not having a disaster even not responsible. 5 months to be reimbursed. I advise against. Better to take insurance with an interlocutor opposite.</v>
      </c>
    </row>
    <row r="120" ht="15.75" customHeight="1">
      <c r="A120" s="2">
        <v>4.0</v>
      </c>
      <c r="B120" s="2" t="s">
        <v>432</v>
      </c>
      <c r="C120" s="2" t="s">
        <v>433</v>
      </c>
      <c r="D120" s="2" t="s">
        <v>68</v>
      </c>
      <c r="E120" s="2" t="s">
        <v>14</v>
      </c>
      <c r="F120" s="2" t="s">
        <v>15</v>
      </c>
      <c r="G120" s="2" t="s">
        <v>434</v>
      </c>
      <c r="H120" s="2" t="s">
        <v>290</v>
      </c>
      <c r="I120" s="2" t="str">
        <f>IFERROR(__xludf.DUMMYFUNCTION("GOOGLETRANSLATE(C120,""fr"",""en"")"),"Good guarantees for an self -employed worker is rather rare and especially the price is very correct")</f>
        <v>Good guarantees for an self -employed worker is rather rare and especially the price is very correct</v>
      </c>
    </row>
    <row r="121" ht="15.75" customHeight="1">
      <c r="A121" s="2">
        <v>2.0</v>
      </c>
      <c r="B121" s="2" t="s">
        <v>435</v>
      </c>
      <c r="C121" s="2" t="s">
        <v>436</v>
      </c>
      <c r="D121" s="2" t="s">
        <v>437</v>
      </c>
      <c r="E121" s="2" t="s">
        <v>79</v>
      </c>
      <c r="F121" s="2" t="s">
        <v>15</v>
      </c>
      <c r="G121" s="2" t="s">
        <v>438</v>
      </c>
      <c r="H121" s="2" t="s">
        <v>439</v>
      </c>
      <c r="I121" s="2" t="str">
        <f>IFERROR(__xludf.DUMMYFUNCTION("GOOGLETRANSLATE(C121,""fr"",""en"")"),"Company in Furais, insured at all risk, accident that occurred in October, since I have always been reimbursing my franchise and my accessories 1400, impossible to have a document confirming whether or not I am responsible ...")</f>
        <v>Company in Furais, insured at all risk, accident that occurred in October, since I have always been reimbursing my franchise and my accessories 1400, impossible to have a document confirming whether or not I am responsible ...</v>
      </c>
    </row>
    <row r="122" ht="15.75" customHeight="1">
      <c r="A122" s="2">
        <v>4.0</v>
      </c>
      <c r="B122" s="2" t="s">
        <v>440</v>
      </c>
      <c r="C122" s="2" t="s">
        <v>441</v>
      </c>
      <c r="D122" s="2" t="s">
        <v>13</v>
      </c>
      <c r="E122" s="2" t="s">
        <v>14</v>
      </c>
      <c r="F122" s="2" t="s">
        <v>15</v>
      </c>
      <c r="G122" s="2" t="s">
        <v>442</v>
      </c>
      <c r="H122" s="2" t="s">
        <v>23</v>
      </c>
      <c r="I122" s="2" t="str">
        <f>IFERROR(__xludf.DUMMYFUNCTION("GOOGLETRANSLATE(C122,""fr"",""en"")"),"My interlocutor responded very well to my very professional and listening request, for me an insurance (mutual) which corresponds to my expectations and which can evolve.")</f>
        <v>My interlocutor responded very well to my very professional and listening request, for me an insurance (mutual) which corresponds to my expectations and which can evolve.</v>
      </c>
    </row>
    <row r="123" ht="15.75" customHeight="1">
      <c r="A123" s="2">
        <v>5.0</v>
      </c>
      <c r="B123" s="2" t="s">
        <v>443</v>
      </c>
      <c r="C123" s="2" t="s">
        <v>444</v>
      </c>
      <c r="D123" s="2" t="s">
        <v>20</v>
      </c>
      <c r="E123" s="2" t="s">
        <v>21</v>
      </c>
      <c r="F123" s="2" t="s">
        <v>15</v>
      </c>
      <c r="G123" s="2" t="s">
        <v>104</v>
      </c>
      <c r="H123" s="2" t="s">
        <v>89</v>
      </c>
      <c r="I123" s="2" t="str">
        <f>IFERROR(__xludf.DUMMYFUNCTION("GOOGLETRANSLATE(C123,""fr"",""en"")"),"Satisfied with the service and the practical price to ensure on the internet I thank direct insurance I await the contract facilitated on the internet")</f>
        <v>Satisfied with the service and the practical price to ensure on the internet I thank direct insurance I await the contract facilitated on the internet</v>
      </c>
    </row>
    <row r="124" ht="15.75" customHeight="1">
      <c r="A124" s="2">
        <v>5.0</v>
      </c>
      <c r="B124" s="2" t="s">
        <v>445</v>
      </c>
      <c r="C124" s="2" t="s">
        <v>446</v>
      </c>
      <c r="D124" s="2" t="s">
        <v>20</v>
      </c>
      <c r="E124" s="2" t="s">
        <v>21</v>
      </c>
      <c r="F124" s="2" t="s">
        <v>15</v>
      </c>
      <c r="G124" s="2" t="s">
        <v>447</v>
      </c>
      <c r="H124" s="2" t="s">
        <v>58</v>
      </c>
      <c r="I124" s="2" t="str">
        <f>IFERROR(__xludf.DUMMYFUNCTION("GOOGLETRANSLATE(C124,""fr"",""en"")"),"I am satisfied with direct insurance services and the level of response speed
It's been over 10 years I am at Direct Assurance.
I want to sponsor new customers.")</f>
        <v>I am satisfied with direct insurance services and the level of response speed
It's been over 10 years I am at Direct Assurance.
I want to sponsor new customers.</v>
      </c>
    </row>
    <row r="125" ht="15.75" customHeight="1">
      <c r="A125" s="2">
        <v>1.0</v>
      </c>
      <c r="B125" s="2" t="s">
        <v>448</v>
      </c>
      <c r="C125" s="2" t="s">
        <v>449</v>
      </c>
      <c r="D125" s="2" t="s">
        <v>260</v>
      </c>
      <c r="E125" s="2" t="s">
        <v>450</v>
      </c>
      <c r="F125" s="2" t="s">
        <v>15</v>
      </c>
      <c r="G125" s="2" t="s">
        <v>451</v>
      </c>
      <c r="H125" s="2" t="s">
        <v>97</v>
      </c>
      <c r="I125" s="2" t="str">
        <f>IFERROR(__xludf.DUMMYFUNCTION("GOOGLETRANSLATE(C125,""fr"",""en"")"),"Following a prolonged stop I requested the coverage of my advanced credit insurance
By my legal advisor excluding after a long wait a simple letter telling me that my work stoppage enters the contracts of exclusion from the contract without other explana"&amp;"tions. At the request of my advisor I returned a letter requesting the exact clause of the refusal and to send me the general conditions of my credit no longer having them that makes them 3 weeks without return on September 2 I must review my adviser with"&amp;"out the papers nor The explanation? Is it a no voluntary cardif response ???? Or it is not authorized to know the accused clause ???? I relaunch this week by mail unanswered I will commit what he should do")</f>
        <v>Following a prolonged stop I requested the coverage of my advanced credit insurance
By my legal advisor excluding after a long wait a simple letter telling me that my work stoppage enters the contracts of exclusion from the contract without other explanations. At the request of my advisor I returned a letter requesting the exact clause of the refusal and to send me the general conditions of my credit no longer having them that makes them 3 weeks without return on September 2 I must review my adviser without the papers nor The explanation? Is it a no voluntary cardif response ???? Or it is not authorized to know the accused clause ???? I relaunch this week by mail unanswered I will commit what he should do</v>
      </c>
    </row>
    <row r="126" ht="15.75" customHeight="1">
      <c r="A126" s="2">
        <v>2.0</v>
      </c>
      <c r="B126" s="2" t="s">
        <v>452</v>
      </c>
      <c r="C126" s="2" t="s">
        <v>453</v>
      </c>
      <c r="D126" s="2" t="s">
        <v>20</v>
      </c>
      <c r="E126" s="2" t="s">
        <v>21</v>
      </c>
      <c r="F126" s="2" t="s">
        <v>15</v>
      </c>
      <c r="G126" s="2" t="s">
        <v>112</v>
      </c>
      <c r="H126" s="2" t="s">
        <v>112</v>
      </c>
      <c r="I126" s="2" t="str">
        <f>IFERROR(__xludf.DUMMYFUNCTION("GOOGLETRANSLATE(C126,""fr"",""en"")"),"Unjustified increase in fees (more than 200 euros) this year without reason, without a sinister year previous, when I called them Mont says general increase in all customers. I chose this insurance because it was the cheapest so why stay there now that it"&amp;" is more ........")</f>
        <v>Unjustified increase in fees (more than 200 euros) this year without reason, without a sinister year previous, when I called them Mont says general increase in all customers. I chose this insurance because it was the cheapest so why stay there now that it is more ........</v>
      </c>
    </row>
    <row r="127" ht="15.75" customHeight="1">
      <c r="A127" s="2">
        <v>1.0</v>
      </c>
      <c r="B127" s="2" t="s">
        <v>454</v>
      </c>
      <c r="C127" s="2" t="s">
        <v>455</v>
      </c>
      <c r="D127" s="2" t="s">
        <v>20</v>
      </c>
      <c r="E127" s="2" t="s">
        <v>21</v>
      </c>
      <c r="F127" s="2" t="s">
        <v>15</v>
      </c>
      <c r="G127" s="2" t="s">
        <v>456</v>
      </c>
      <c r="H127" s="2" t="s">
        <v>23</v>
      </c>
      <c r="I127" s="2" t="str">
        <f>IFERROR(__xludf.DUMMYFUNCTION("GOOGLETRANSLATE(C127,""fr"",""en"")"),"Authorization of auto insurance of € 5 per month compared to 2020. It is huge. I go to competition on April 12, 2021.")</f>
        <v>Authorization of auto insurance of € 5 per month compared to 2020. It is huge. I go to competition on April 12, 2021.</v>
      </c>
    </row>
    <row r="128" ht="15.75" customHeight="1">
      <c r="A128" s="2">
        <v>5.0</v>
      </c>
      <c r="B128" s="2" t="s">
        <v>457</v>
      </c>
      <c r="C128" s="2" t="s">
        <v>458</v>
      </c>
      <c r="D128" s="2" t="s">
        <v>40</v>
      </c>
      <c r="E128" s="2" t="s">
        <v>74</v>
      </c>
      <c r="F128" s="2" t="s">
        <v>15</v>
      </c>
      <c r="G128" s="2" t="s">
        <v>253</v>
      </c>
      <c r="H128" s="2" t="s">
        <v>178</v>
      </c>
      <c r="I128" s="2" t="str">
        <f>IFERROR(__xludf.DUMMYFUNCTION("GOOGLETRANSLATE(C128,""fr"",""en"")"),"I have been a mutualist since 1984 I have always had the answers to my requests from qualified people The services offered suit me and the prices remain reasonable")</f>
        <v>I have been a mutualist since 1984 I have always had the answers to my requests from qualified people The services offered suit me and the prices remain reasonable</v>
      </c>
    </row>
    <row r="129" ht="15.75" customHeight="1">
      <c r="A129" s="2">
        <v>2.0</v>
      </c>
      <c r="B129" s="2" t="s">
        <v>459</v>
      </c>
      <c r="C129" s="2" t="s">
        <v>460</v>
      </c>
      <c r="D129" s="2" t="s">
        <v>35</v>
      </c>
      <c r="E129" s="2" t="s">
        <v>21</v>
      </c>
      <c r="F129" s="2" t="s">
        <v>15</v>
      </c>
      <c r="G129" s="2" t="s">
        <v>461</v>
      </c>
      <c r="H129" s="2" t="s">
        <v>380</v>
      </c>
      <c r="I129" s="2" t="str">
        <f>IFERROR(__xludf.DUMMYFUNCTION("GOOGLETRANSLATE(C129,""fr"",""en"")"),"Hello, I have never had any problems at the local Niveau Agency of Narbonne, on the other hand, avoid calling the national number or some people do anything: yesterday I called the sinister service just to know if the break in Glass of a baking sheet coul"&amp;"d be supported, answer no, so I said: Goodbye, thank you. A moment later I received an email informing me that I had declared a disaster, (closed the same day). It is really anything, I would like to know why a simple request for information has turned in"&amp;"to a can of a disaster is to artificially inflate the number of claims ???.")</f>
        <v>Hello, I have never had any problems at the local Niveau Agency of Narbonne, on the other hand, avoid calling the national number or some people do anything: yesterday I called the sinister service just to know if the break in Glass of a baking sheet could be supported, answer no, so I said: Goodbye, thank you. A moment later I received an email informing me that I had declared a disaster, (closed the same day). It is really anything, I would like to know why a simple request for information has turned into a can of a disaster is to artificially inflate the number of claims ???.</v>
      </c>
    </row>
    <row r="130" ht="15.75" customHeight="1">
      <c r="A130" s="2">
        <v>3.0</v>
      </c>
      <c r="B130" s="2" t="s">
        <v>462</v>
      </c>
      <c r="C130" s="2" t="s">
        <v>463</v>
      </c>
      <c r="D130" s="2" t="s">
        <v>64</v>
      </c>
      <c r="E130" s="2" t="s">
        <v>21</v>
      </c>
      <c r="F130" s="2" t="s">
        <v>15</v>
      </c>
      <c r="G130" s="2" t="s">
        <v>464</v>
      </c>
      <c r="H130" s="2" t="s">
        <v>139</v>
      </c>
      <c r="I130" s="2" t="str">
        <f>IFERROR(__xludf.DUMMYFUNCTION("GOOGLETRANSLATE(C130,""fr"",""en"")"),"Satisfied with the prices but a shame to pay before finalizing the contract! Too long for the green card, unfortunately we discover it too late, too bad")</f>
        <v>Satisfied with the prices but a shame to pay before finalizing the contract! Too long for the green card, unfortunately we discover it too late, too bad</v>
      </c>
    </row>
    <row r="131" ht="15.75" customHeight="1">
      <c r="A131" s="2">
        <v>3.0</v>
      </c>
      <c r="B131" s="2" t="s">
        <v>465</v>
      </c>
      <c r="C131" s="2" t="s">
        <v>466</v>
      </c>
      <c r="D131" s="2" t="s">
        <v>260</v>
      </c>
      <c r="E131" s="2" t="s">
        <v>450</v>
      </c>
      <c r="F131" s="2" t="s">
        <v>15</v>
      </c>
      <c r="G131" s="2" t="s">
        <v>467</v>
      </c>
      <c r="H131" s="2" t="s">
        <v>468</v>
      </c>
      <c r="I131" s="2" t="str">
        <f>IFERROR(__xludf.DUMMYFUNCTION("GOOGLETRANSLATE(C131,""fr"",""en"")"),"Request to delete the surprise of 75% following decree February 2017 Drive
Recovery of cardif on tumor questionnaire which is not compulsory to fill out")</f>
        <v>Request to delete the surprise of 75% following decree February 2017 Drive
Recovery of cardif on tumor questionnaire which is not compulsory to fill out</v>
      </c>
    </row>
    <row r="132" ht="15.75" customHeight="1">
      <c r="A132" s="2">
        <v>1.0</v>
      </c>
      <c r="B132" s="2" t="s">
        <v>469</v>
      </c>
      <c r="C132" s="2" t="s">
        <v>470</v>
      </c>
      <c r="D132" s="2" t="s">
        <v>471</v>
      </c>
      <c r="E132" s="2" t="s">
        <v>74</v>
      </c>
      <c r="F132" s="2" t="s">
        <v>15</v>
      </c>
      <c r="G132" s="2" t="s">
        <v>472</v>
      </c>
      <c r="H132" s="2" t="s">
        <v>473</v>
      </c>
      <c r="I132" s="2" t="str">
        <f>IFERROR(__xludf.DUMMYFUNCTION("GOOGLETRANSLATE(C132,""fr"",""en"")"),"I have been waiting for a year my compensation following a sinstre")</f>
        <v>I have been waiting for a year my compensation following a sinstre</v>
      </c>
    </row>
    <row r="133" ht="15.75" customHeight="1">
      <c r="A133" s="2">
        <v>3.0</v>
      </c>
      <c r="B133" s="2" t="s">
        <v>474</v>
      </c>
      <c r="C133" s="2" t="s">
        <v>475</v>
      </c>
      <c r="D133" s="2" t="s">
        <v>20</v>
      </c>
      <c r="E133" s="2" t="s">
        <v>21</v>
      </c>
      <c r="F133" s="2" t="s">
        <v>15</v>
      </c>
      <c r="G133" s="2" t="s">
        <v>476</v>
      </c>
      <c r="H133" s="2" t="s">
        <v>42</v>
      </c>
      <c r="I133" s="2" t="str">
        <f>IFERROR(__xludf.DUMMYFUNCTION("GOOGLETRANSLATE(C133,""fr"",""en"")"),"Really rotten insurance for these on the prices are interesting but when there is a concern it lights you more its fact 1 month and a half that I find myself without car so that I am assured all risk I have the loan car option but no you have not the righ"&amp;"t your vehicle is set up then we await a checkery of our car alor it is necessary to call them every day for almost the end oblige to return the check because the name is not even mine I light !!! Soon 2 months that I dermate myself to go and always have "&amp;"no refund I really decide this insurance !!!")</f>
        <v>Really rotten insurance for these on the prices are interesting but when there is a concern it lights you more its fact 1 month and a half that I find myself without car so that I am assured all risk I have the loan car option but no you have not the right your vehicle is set up then we await a checkery of our car alor it is necessary to call them every day for almost the end oblige to return the check because the name is not even mine I light !!! Soon 2 months that I dermate myself to go and always have no refund I really decide this insurance !!!</v>
      </c>
    </row>
    <row r="134" ht="15.75" customHeight="1">
      <c r="A134" s="2">
        <v>1.0</v>
      </c>
      <c r="B134" s="2" t="s">
        <v>477</v>
      </c>
      <c r="C134" s="2" t="s">
        <v>478</v>
      </c>
      <c r="D134" s="2" t="s">
        <v>119</v>
      </c>
      <c r="E134" s="2" t="s">
        <v>74</v>
      </c>
      <c r="F134" s="2" t="s">
        <v>15</v>
      </c>
      <c r="G134" s="2" t="s">
        <v>479</v>
      </c>
      <c r="H134" s="2" t="s">
        <v>473</v>
      </c>
      <c r="I134" s="2" t="str">
        <f>IFERROR(__xludf.DUMMYFUNCTION("GOOGLETRANSLATE(C134,""fr"",""en"")"),"Very mediocre service, zero telephone platform we are walking from numbers in numbers to obtain any information in not recommending very expensive in telephone costs it is a shame especially when you are in full distress!")</f>
        <v>Very mediocre service, zero telephone platform we are walking from numbers in numbers to obtain any information in not recommending very expensive in telephone costs it is a shame especially when you are in full distress!</v>
      </c>
    </row>
    <row r="135" ht="15.75" customHeight="1">
      <c r="A135" s="2">
        <v>5.0</v>
      </c>
      <c r="B135" s="2" t="s">
        <v>480</v>
      </c>
      <c r="C135" s="2" t="s">
        <v>481</v>
      </c>
      <c r="D135" s="2" t="s">
        <v>20</v>
      </c>
      <c r="E135" s="2" t="s">
        <v>21</v>
      </c>
      <c r="F135" s="2" t="s">
        <v>15</v>
      </c>
      <c r="G135" s="2" t="s">
        <v>482</v>
      </c>
      <c r="H135" s="2" t="s">
        <v>139</v>
      </c>
      <c r="I135" s="2" t="str">
        <f>IFERROR(__xludf.DUMMYFUNCTION("GOOGLETRANSLATE(C135,""fr"",""en"")"),"Very satisfied with the price and the ease of having a quote quickly! Too bad I couldn't have advisers on the phone but otherwise nothing to say")</f>
        <v>Very satisfied with the price and the ease of having a quote quickly! Too bad I couldn't have advisers on the phone but otherwise nothing to say</v>
      </c>
    </row>
    <row r="136" ht="15.75" customHeight="1">
      <c r="A136" s="2">
        <v>4.0</v>
      </c>
      <c r="B136" s="2" t="s">
        <v>483</v>
      </c>
      <c r="C136" s="2" t="s">
        <v>484</v>
      </c>
      <c r="D136" s="2" t="s">
        <v>87</v>
      </c>
      <c r="E136" s="2" t="s">
        <v>79</v>
      </c>
      <c r="F136" s="2" t="s">
        <v>15</v>
      </c>
      <c r="G136" s="2" t="s">
        <v>485</v>
      </c>
      <c r="H136" s="2" t="s">
        <v>182</v>
      </c>
      <c r="I136" s="2" t="str">
        <f>IFERROR(__xludf.DUMMYFUNCTION("GOOGLETRANSLATE(C136,""fr"",""en"")"),"Too bad the car rate is not competitive with the same guarantees for a luxury vehicle compared to the competition.
If there was a change, I will opt for AMV.")</f>
        <v>Too bad the car rate is not competitive with the same guarantees for a luxury vehicle compared to the competition.
If there was a change, I will opt for AMV.</v>
      </c>
    </row>
    <row r="137" ht="15.75" customHeight="1">
      <c r="A137" s="2">
        <v>3.0</v>
      </c>
      <c r="B137" s="2" t="s">
        <v>486</v>
      </c>
      <c r="C137" s="2" t="s">
        <v>487</v>
      </c>
      <c r="D137" s="2" t="s">
        <v>13</v>
      </c>
      <c r="E137" s="2" t="s">
        <v>14</v>
      </c>
      <c r="F137" s="2" t="s">
        <v>15</v>
      </c>
      <c r="G137" s="2" t="s">
        <v>488</v>
      </c>
      <c r="H137" s="2" t="s">
        <v>489</v>
      </c>
      <c r="I137" s="2" t="str">
        <f>IFERROR(__xludf.DUMMYFUNCTION("GOOGLETRANSLATE(C137,""fr"",""en"")"),"Member with her titanium since 2015")</f>
        <v>Member with her titanium since 2015</v>
      </c>
    </row>
    <row r="138" ht="15.75" customHeight="1">
      <c r="A138" s="2">
        <v>5.0</v>
      </c>
      <c r="B138" s="2" t="s">
        <v>490</v>
      </c>
      <c r="C138" s="2" t="s">
        <v>491</v>
      </c>
      <c r="D138" s="2" t="s">
        <v>64</v>
      </c>
      <c r="E138" s="2" t="s">
        <v>21</v>
      </c>
      <c r="F138" s="2" t="s">
        <v>15</v>
      </c>
      <c r="G138" s="2" t="s">
        <v>104</v>
      </c>
      <c r="H138" s="2" t="s">
        <v>89</v>
      </c>
      <c r="I138" s="2" t="str">
        <f>IFERROR(__xludf.DUMMYFUNCTION("GOOGLETRANSLATE(C138,""fr"",""en"")"),"Satisfied saving of 150 euros over the year with my old insurance I will therefore subscribe for all my vehicles and even the home insurance ..... what boys live the savings ........")</f>
        <v>Satisfied saving of 150 euros over the year with my old insurance I will therefore subscribe for all my vehicles and even the home insurance ..... what boys live the savings ........</v>
      </c>
    </row>
    <row r="139" ht="15.75" customHeight="1">
      <c r="A139" s="2">
        <v>5.0</v>
      </c>
      <c r="B139" s="2" t="s">
        <v>492</v>
      </c>
      <c r="C139" s="2" t="s">
        <v>493</v>
      </c>
      <c r="D139" s="2" t="s">
        <v>64</v>
      </c>
      <c r="E139" s="2" t="s">
        <v>21</v>
      </c>
      <c r="F139" s="2" t="s">
        <v>15</v>
      </c>
      <c r="G139" s="2" t="s">
        <v>494</v>
      </c>
      <c r="H139" s="2" t="s">
        <v>89</v>
      </c>
      <c r="I139" s="2" t="str">
        <f>IFERROR(__xludf.DUMMYFUNCTION("GOOGLETRANSLATE(C139,""fr"",""en"")"),"Perfect! Frankly for young driver these attractive and accommodating in front of the conceived there is nothing to say dark head down thank you for this efficiency")</f>
        <v>Perfect! Frankly for young driver these attractive and accommodating in front of the conceived there is nothing to say dark head down thank you for this efficiency</v>
      </c>
    </row>
    <row r="140" ht="15.75" customHeight="1">
      <c r="A140" s="2">
        <v>1.0</v>
      </c>
      <c r="B140" s="2" t="s">
        <v>495</v>
      </c>
      <c r="C140" s="2" t="s">
        <v>496</v>
      </c>
      <c r="D140" s="2" t="s">
        <v>20</v>
      </c>
      <c r="E140" s="2" t="s">
        <v>21</v>
      </c>
      <c r="F140" s="2" t="s">
        <v>15</v>
      </c>
      <c r="G140" s="2" t="s">
        <v>497</v>
      </c>
      <c r="H140" s="2" t="s">
        <v>89</v>
      </c>
      <c r="I140" s="2" t="str">
        <f>IFERROR(__xludf.DUMMYFUNCTION("GOOGLETRANSLATE(C140,""fr"",""en"")"),"Satisfied with your services price est quotes I will recommend insurance to other person I have several vehicles at home always ensure the service of your customers")</f>
        <v>Satisfied with your services price est quotes I will recommend insurance to other person I have several vehicles at home always ensure the service of your customers</v>
      </c>
    </row>
    <row r="141" ht="15.75" customHeight="1">
      <c r="A141" s="2">
        <v>2.0</v>
      </c>
      <c r="B141" s="2" t="s">
        <v>498</v>
      </c>
      <c r="C141" s="2" t="s">
        <v>499</v>
      </c>
      <c r="D141" s="2" t="s">
        <v>35</v>
      </c>
      <c r="E141" s="2" t="s">
        <v>21</v>
      </c>
      <c r="F141" s="2" t="s">
        <v>15</v>
      </c>
      <c r="G141" s="2" t="s">
        <v>500</v>
      </c>
      <c r="H141" s="2" t="s">
        <v>186</v>
      </c>
      <c r="I141" s="2" t="str">
        <f>IFERROR(__xludf.DUMMYFUNCTION("GOOGLETRANSLATE(C141,""fr"",""en"")"),"Good evening, I have almost 30 years of driving without any responsible accident.
Unfortunately this year, I have my first attachment of my fault.
Yesterday I received a registered letter from the MA GMF meant the termination of my contract.
I believe "&amp;"I was treated as a big road offender and I admit that it disgusts me")</f>
        <v>Good evening, I have almost 30 years of driving without any responsible accident.
Unfortunately this year, I have my first attachment of my fault.
Yesterday I received a registered letter from the MA GMF meant the termination of my contract.
I believe I was treated as a big road offender and I admit that it disgusts me</v>
      </c>
    </row>
    <row r="142" ht="15.75" customHeight="1">
      <c r="A142" s="2">
        <v>4.0</v>
      </c>
      <c r="B142" s="2" t="s">
        <v>501</v>
      </c>
      <c r="C142" s="2" t="s">
        <v>502</v>
      </c>
      <c r="D142" s="2" t="s">
        <v>64</v>
      </c>
      <c r="E142" s="2" t="s">
        <v>21</v>
      </c>
      <c r="F142" s="2" t="s">
        <v>15</v>
      </c>
      <c r="G142" s="2" t="s">
        <v>503</v>
      </c>
      <c r="H142" s="2" t="s">
        <v>178</v>
      </c>
      <c r="I142" s="2" t="str">
        <f>IFERROR(__xludf.DUMMYFUNCTION("GOOGLETRANSLATE(C142,""fr"",""en"")"),"I am satisfied with the service and the price suits me. The principle of sponsorship is very interesting in terms of price for the godfather and the sponsored")</f>
        <v>I am satisfied with the service and the price suits me. The principle of sponsorship is very interesting in terms of price for the godfather and the sponsored</v>
      </c>
    </row>
    <row r="143" ht="15.75" customHeight="1">
      <c r="A143" s="2">
        <v>5.0</v>
      </c>
      <c r="B143" s="2" t="s">
        <v>504</v>
      </c>
      <c r="C143" s="2" t="s">
        <v>505</v>
      </c>
      <c r="D143" s="2" t="s">
        <v>20</v>
      </c>
      <c r="E143" s="2" t="s">
        <v>21</v>
      </c>
      <c r="F143" s="2" t="s">
        <v>15</v>
      </c>
      <c r="G143" s="2" t="s">
        <v>506</v>
      </c>
      <c r="H143" s="2" t="s">
        <v>58</v>
      </c>
      <c r="I143" s="2" t="str">
        <f>IFERROR(__xludf.DUMMYFUNCTION("GOOGLETRANSLATE(C143,""fr"",""en"")"),"Simple and practical, prices suit me, good level of service and good responsiveness.
Simple and practical, prices suit me, good level of service and good responsiveness")</f>
        <v>Simple and practical, prices suit me, good level of service and good responsiveness.
Simple and practical, prices suit me, good level of service and good responsiveness</v>
      </c>
    </row>
    <row r="144" ht="15.75" customHeight="1">
      <c r="A144" s="2">
        <v>1.0</v>
      </c>
      <c r="B144" s="2" t="s">
        <v>507</v>
      </c>
      <c r="C144" s="2" t="s">
        <v>508</v>
      </c>
      <c r="D144" s="2" t="s">
        <v>383</v>
      </c>
      <c r="E144" s="2" t="s">
        <v>110</v>
      </c>
      <c r="F144" s="2" t="s">
        <v>15</v>
      </c>
      <c r="G144" s="2" t="s">
        <v>509</v>
      </c>
      <c r="H144" s="2" t="s">
        <v>182</v>
      </c>
      <c r="I144" s="2" t="str">
        <f>IFERROR(__xludf.DUMMYFUNCTION("GOOGLETRANSLATE(C144,""fr"",""en"")"),"I am very unhappy with this insurer. He always finds an excuse not to reimburse veterinary costs. Allows yourself to go against the medical opinions of the veterinarians. People on the phone are humiliating and without embarrassment.
He plays on words an"&amp;"d invents all the pretexts not to pay.
A word of advice: flee and above all read the general conditions of sale before all subscriptions. He plays on the words: sterilizations, invents diseases so -called due to the breed so as not to pay. It is ashame"&amp;"d to use the love of animals and our distress in the face of an animal suffering to get rich.
I terminated for 2021 but I had to pay everything suddenly to no longer have to do to them.
RUN AWAY !")</f>
        <v>I am very unhappy with this insurer. He always finds an excuse not to reimburse veterinary costs. Allows yourself to go against the medical opinions of the veterinarians. People on the phone are humiliating and without embarrassment.
He plays on words and invents all the pretexts not to pay.
A word of advice: flee and above all read the general conditions of sale before all subscriptions. He plays on the words: sterilizations, invents diseases so -called due to the breed so as not to pay. It is ashamed to use the love of animals and our distress in the face of an animal suffering to get rich.
I terminated for 2021 but I had to pay everything suddenly to no longer have to do to them.
RUN AWAY !</v>
      </c>
    </row>
    <row r="145" ht="15.75" customHeight="1">
      <c r="A145" s="2">
        <v>2.0</v>
      </c>
      <c r="B145" s="2" t="s">
        <v>510</v>
      </c>
      <c r="C145" s="2" t="s">
        <v>511</v>
      </c>
      <c r="D145" s="2" t="s">
        <v>277</v>
      </c>
      <c r="E145" s="2" t="s">
        <v>21</v>
      </c>
      <c r="F145" s="2" t="s">
        <v>15</v>
      </c>
      <c r="G145" s="2" t="s">
        <v>512</v>
      </c>
      <c r="H145" s="2" t="s">
        <v>186</v>
      </c>
      <c r="I145" s="2" t="str">
        <f>IFERROR(__xludf.DUMMYFUNCTION("GOOGLETRANSLATE(C145,""fr"",""en"")"),"Customer since 1983 a bonus vehicle for life 0.50 plus 0.02 and a vehicle has 0.62 suite accident without third parties 5000 euros damage and ice break 60 euros
He offers to terminate the contract at 0.62 of bonuses and place it at Jocker Assurances ??? "&amp;"With + 240 euros")</f>
        <v>Customer since 1983 a bonus vehicle for life 0.50 plus 0.02 and a vehicle has 0.62 suite accident without third parties 5000 euros damage and ice break 60 euros
He offers to terminate the contract at 0.62 of bonuses and place it at Jocker Assurances ??? With + 240 euros</v>
      </c>
    </row>
    <row r="146" ht="15.75" customHeight="1">
      <c r="A146" s="2">
        <v>5.0</v>
      </c>
      <c r="B146" s="2" t="s">
        <v>513</v>
      </c>
      <c r="C146" s="2" t="s">
        <v>514</v>
      </c>
      <c r="D146" s="2" t="s">
        <v>64</v>
      </c>
      <c r="E146" s="2" t="s">
        <v>21</v>
      </c>
      <c r="F146" s="2" t="s">
        <v>15</v>
      </c>
      <c r="G146" s="2" t="s">
        <v>515</v>
      </c>
      <c r="H146" s="2" t="s">
        <v>70</v>
      </c>
      <c r="I146" s="2" t="str">
        <f>IFERROR(__xludf.DUMMYFUNCTION("GOOGLETRANSLATE(C146,""fr"",""en"")"),"Satisfied with the service, pleasant and clear welcome in the information provided by the advisor, I highly recommend and the prices are interesting.")</f>
        <v>Satisfied with the service, pleasant and clear welcome in the information provided by the advisor, I highly recommend and the prices are interesting.</v>
      </c>
    </row>
    <row r="147" ht="15.75" customHeight="1">
      <c r="A147" s="2">
        <v>3.0</v>
      </c>
      <c r="B147" s="2" t="s">
        <v>516</v>
      </c>
      <c r="C147" s="2" t="s">
        <v>517</v>
      </c>
      <c r="D147" s="2" t="s">
        <v>26</v>
      </c>
      <c r="E147" s="2" t="s">
        <v>14</v>
      </c>
      <c r="F147" s="2" t="s">
        <v>15</v>
      </c>
      <c r="G147" s="2" t="s">
        <v>518</v>
      </c>
      <c r="H147" s="2" t="s">
        <v>182</v>
      </c>
      <c r="I147" s="2" t="str">
        <f>IFERROR(__xludf.DUMMYFUNCTION("GOOGLETRANSLATE(C147,""fr"",""en"")"),"April has no consideration for his customers in mutual health insurance ...
We applied to them a loan insurance, at 50 /50 % with my wife and .... they refused me because I did a heart attack 12 years ago !!
Even not offered to put insurance 100 % on my"&amp;" wife.
They took 1 week to refuse without reason and I had to wait 1 more week to have a letter from their advice doctor, exhibiting the reasons for their refusal.
And the Aeras Convention ?, They don't seem to know.
Not very commercial this, resul"&amp;"t: we will change mutual.")</f>
        <v>April has no consideration for his customers in mutual health insurance ...
We applied to them a loan insurance, at 50 /50 % with my wife and .... they refused me because I did a heart attack 12 years ago !!
Even not offered to put insurance 100 % on my wife.
They took 1 week to refuse without reason and I had to wait 1 more week to have a letter from their advice doctor, exhibiting the reasons for their refusal.
And the Aeras Convention ?, They don't seem to know.
Not very commercial this, result: we will change mutual.</v>
      </c>
    </row>
    <row r="148" ht="15.75" customHeight="1">
      <c r="A148" s="2">
        <v>2.0</v>
      </c>
      <c r="B148" s="2" t="s">
        <v>519</v>
      </c>
      <c r="C148" s="2" t="s">
        <v>520</v>
      </c>
      <c r="D148" s="2" t="s">
        <v>281</v>
      </c>
      <c r="E148" s="2" t="s">
        <v>21</v>
      </c>
      <c r="F148" s="2" t="s">
        <v>15</v>
      </c>
      <c r="G148" s="2" t="s">
        <v>338</v>
      </c>
      <c r="H148" s="2" t="s">
        <v>45</v>
      </c>
      <c r="I148" s="2" t="str">
        <f>IFERROR(__xludf.DUMMYFUNCTION("GOOGLETRANSLATE(C148,""fr"",""en"")"),"My parking vehicle was struck on August 6 by a vehicle whose driver was under the grip of a narcotic an observation was established our responsibility in no way engaged Allianz must buy our vehicle the file is in progress and we cannot obtain No informati"&amp;"on by phone we will remind you within 48 hours and of course no reminder No consideration for its very disappointed customers of Allianz ?? In addition a contract for any risk and having several contracts for many years")</f>
        <v>My parking vehicle was struck on August 6 by a vehicle whose driver was under the grip of a narcotic an observation was established our responsibility in no way engaged Allianz must buy our vehicle the file is in progress and we cannot obtain No information by phone we will remind you within 48 hours and of course no reminder No consideration for its very disappointed customers of Allianz ?? In addition a contract for any risk and having several contracts for many years</v>
      </c>
    </row>
    <row r="149" ht="15.75" customHeight="1">
      <c r="A149" s="2">
        <v>5.0</v>
      </c>
      <c r="B149" s="2" t="s">
        <v>521</v>
      </c>
      <c r="C149" s="2" t="s">
        <v>522</v>
      </c>
      <c r="D149" s="2" t="s">
        <v>523</v>
      </c>
      <c r="E149" s="2" t="s">
        <v>450</v>
      </c>
      <c r="F149" s="2" t="s">
        <v>15</v>
      </c>
      <c r="G149" s="2" t="s">
        <v>138</v>
      </c>
      <c r="H149" s="2" t="s">
        <v>139</v>
      </c>
      <c r="I149" s="2" t="str">
        <f>IFERROR(__xludf.DUMMYFUNCTION("GOOGLETRANSLATE(C149,""fr"",""en"")"),"I am satisfied with the contact with Imane Mansouri, very effective and the prices offered.
I will recommend this insurance with my knowledge")</f>
        <v>I am satisfied with the contact with Imane Mansouri, very effective and the prices offered.
I will recommend this insurance with my knowledge</v>
      </c>
    </row>
    <row r="150" ht="15.75" customHeight="1">
      <c r="A150" s="2">
        <v>4.0</v>
      </c>
      <c r="B150" s="2" t="s">
        <v>524</v>
      </c>
      <c r="C150" s="2" t="s">
        <v>525</v>
      </c>
      <c r="D150" s="2" t="s">
        <v>35</v>
      </c>
      <c r="E150" s="2" t="s">
        <v>21</v>
      </c>
      <c r="F150" s="2" t="s">
        <v>15</v>
      </c>
      <c r="G150" s="2" t="s">
        <v>526</v>
      </c>
      <c r="H150" s="2" t="s">
        <v>394</v>
      </c>
      <c r="I150" s="2" t="str">
        <f>IFERROR(__xludf.DUMMYFUNCTION("GOOGLETRANSLATE(C150,""fr"",""en"")"),"I did not often deal with GMF, but when I had problems, their answers were ok.
They are not perfect: the waiting time on the phone is sometimes long, but compared to my other insurances, the GMF is above the lot (perhaps because other insurances deterior"&amp;"ate?).
Overall good!")</f>
        <v>I did not often deal with GMF, but when I had problems, their answers were ok.
They are not perfect: the waiting time on the phone is sometimes long, but compared to my other insurances, the GMF is above the lot (perhaps because other insurances deteriorate?).
Overall good!</v>
      </c>
    </row>
    <row r="151" ht="15.75" customHeight="1">
      <c r="A151" s="2">
        <v>1.0</v>
      </c>
      <c r="B151" s="2" t="s">
        <v>527</v>
      </c>
      <c r="C151" s="2" t="s">
        <v>528</v>
      </c>
      <c r="D151" s="2" t="s">
        <v>20</v>
      </c>
      <c r="E151" s="2" t="s">
        <v>21</v>
      </c>
      <c r="F151" s="2" t="s">
        <v>15</v>
      </c>
      <c r="G151" s="2" t="s">
        <v>529</v>
      </c>
      <c r="H151" s="2" t="s">
        <v>23</v>
      </c>
      <c r="I151" s="2" t="str">
        <f>IFERROR(__xludf.DUMMYFUNCTION("GOOGLETRANSLATE(C151,""fr"",""en"")"),"I would like a monthly payment and it seems to me that you have increased when I have practically not rolled. Thank you for doing the necessary. I would like to modify my contract")</f>
        <v>I would like a monthly payment and it seems to me that you have increased when I have practically not rolled. Thank you for doing the necessary. I would like to modify my contract</v>
      </c>
    </row>
    <row r="152" ht="15.75" customHeight="1">
      <c r="A152" s="2">
        <v>3.0</v>
      </c>
      <c r="B152" s="2" t="s">
        <v>530</v>
      </c>
      <c r="C152" s="2" t="s">
        <v>531</v>
      </c>
      <c r="D152" s="2" t="s">
        <v>20</v>
      </c>
      <c r="E152" s="2" t="s">
        <v>21</v>
      </c>
      <c r="F152" s="2" t="s">
        <v>15</v>
      </c>
      <c r="G152" s="2" t="s">
        <v>532</v>
      </c>
      <c r="H152" s="2" t="s">
        <v>32</v>
      </c>
      <c r="I152" s="2" t="str">
        <f>IFERROR(__xludf.DUMMYFUNCTION("GOOGLETRANSLATE(C152,""fr"",""en"")"),"Suitable price ... quick simulation ... just the three months to pay in advance which are a little complicated
I have nothing else to say.
Thank you Best regards
Have a nice week end")</f>
        <v>Suitable price ... quick simulation ... just the three months to pay in advance which are a little complicated
I have nothing else to say.
Thank you Best regards
Have a nice week end</v>
      </c>
    </row>
    <row r="153" ht="15.75" customHeight="1">
      <c r="A153" s="2">
        <v>3.0</v>
      </c>
      <c r="B153" s="2" t="s">
        <v>533</v>
      </c>
      <c r="C153" s="2" t="s">
        <v>534</v>
      </c>
      <c r="D153" s="2" t="s">
        <v>64</v>
      </c>
      <c r="E153" s="2" t="s">
        <v>21</v>
      </c>
      <c r="F153" s="2" t="s">
        <v>15</v>
      </c>
      <c r="G153" s="2" t="s">
        <v>214</v>
      </c>
      <c r="H153" s="2" t="s">
        <v>178</v>
      </c>
      <c r="I153" s="2" t="str">
        <f>IFERROR(__xludf.DUMMYFUNCTION("GOOGLETRANSLATE(C153,""fr"",""en"")"),"Welcome, lack of knowledge of the advisor who needed help to finalize the contract has several resumptions for different subjects and therefore put on hold but very polite.")</f>
        <v>Welcome, lack of knowledge of the advisor who needed help to finalize the contract has several resumptions for different subjects and therefore put on hold but very polite.</v>
      </c>
    </row>
    <row r="154" ht="15.75" customHeight="1">
      <c r="A154" s="2">
        <v>1.0</v>
      </c>
      <c r="B154" s="2" t="s">
        <v>535</v>
      </c>
      <c r="C154" s="2" t="s">
        <v>536</v>
      </c>
      <c r="D154" s="2" t="s">
        <v>256</v>
      </c>
      <c r="E154" s="2" t="s">
        <v>21</v>
      </c>
      <c r="F154" s="2" t="s">
        <v>15</v>
      </c>
      <c r="G154" s="2" t="s">
        <v>537</v>
      </c>
      <c r="H154" s="2" t="s">
        <v>182</v>
      </c>
      <c r="I154" s="2" t="str">
        <f>IFERROR(__xludf.DUMMYFUNCTION("GOOGLETRANSLATE(C154,""fr"",""en"")"),"Request € 1,200 insurance for a 15 -year -old car a shame! I realize with them I am asked for advances in the sum so that I can be reimbursed ???? No logic! No human side too bad that the 0 is not possible to flee urgently !!")</f>
        <v>Request € 1,200 insurance for a 15 -year -old car a shame! I realize with them I am asked for advances in the sum so that I can be reimbursed ???? No logic! No human side too bad that the 0 is not possible to flee urgently !!</v>
      </c>
    </row>
    <row r="155" ht="15.75" customHeight="1">
      <c r="A155" s="2">
        <v>4.0</v>
      </c>
      <c r="B155" s="2" t="s">
        <v>538</v>
      </c>
      <c r="C155" s="2" t="s">
        <v>539</v>
      </c>
      <c r="D155" s="2" t="s">
        <v>20</v>
      </c>
      <c r="E155" s="2" t="s">
        <v>21</v>
      </c>
      <c r="F155" s="2" t="s">
        <v>15</v>
      </c>
      <c r="G155" s="2" t="s">
        <v>313</v>
      </c>
      <c r="H155" s="2" t="s">
        <v>23</v>
      </c>
      <c r="I155" s="2" t="str">
        <f>IFERROR(__xludf.DUMMYFUNCTION("GOOGLETRANSLATE(C155,""fr"",""en"")"),"I find the services very responsive and the prices are competitive. The personal space is ergonomic and online help is effective. I cannot give my opinion on the care of a claim because I did not use this service")</f>
        <v>I find the services very responsive and the prices are competitive. The personal space is ergonomic and online help is effective. I cannot give my opinion on the care of a claim because I did not use this service</v>
      </c>
    </row>
    <row r="156" ht="15.75" customHeight="1">
      <c r="A156" s="2">
        <v>5.0</v>
      </c>
      <c r="B156" s="2" t="s">
        <v>540</v>
      </c>
      <c r="C156" s="2" t="s">
        <v>541</v>
      </c>
      <c r="D156" s="2" t="s">
        <v>64</v>
      </c>
      <c r="E156" s="2" t="s">
        <v>21</v>
      </c>
      <c r="F156" s="2" t="s">
        <v>15</v>
      </c>
      <c r="G156" s="2" t="s">
        <v>494</v>
      </c>
      <c r="H156" s="2" t="s">
        <v>89</v>
      </c>
      <c r="I156" s="2" t="str">
        <f>IFERROR(__xludf.DUMMYFUNCTION("GOOGLETRANSLATE(C156,""fr"",""en"")"),"Very satisfied with the prices you offer thank you and the speed with which you take care of your customers thank you very much for your understanding cordially Mr Motton")</f>
        <v>Very satisfied with the prices you offer thank you and the speed with which you take care of your customers thank you very much for your understanding cordially Mr Motton</v>
      </c>
    </row>
    <row r="157" ht="15.75" customHeight="1">
      <c r="A157" s="2">
        <v>4.0</v>
      </c>
      <c r="B157" s="2" t="s">
        <v>542</v>
      </c>
      <c r="C157" s="2" t="s">
        <v>543</v>
      </c>
      <c r="D157" s="2" t="s">
        <v>20</v>
      </c>
      <c r="E157" s="2" t="s">
        <v>21</v>
      </c>
      <c r="F157" s="2" t="s">
        <v>15</v>
      </c>
      <c r="G157" s="2" t="s">
        <v>75</v>
      </c>
      <c r="H157" s="2" t="s">
        <v>45</v>
      </c>
      <c r="I157" s="2" t="str">
        <f>IFERROR(__xludf.DUMMYFUNCTION("GOOGLETRANSLATE(C157,""fr"",""en"")"),"The prices are attractive but there are too many questions to fill out especially when I am already a customer at home. To improve because we do not feel recognized and favor")</f>
        <v>The prices are attractive but there are too many questions to fill out especially when I am already a customer at home. To improve because we do not feel recognized and favor</v>
      </c>
    </row>
    <row r="158" ht="15.75" customHeight="1">
      <c r="A158" s="2">
        <v>1.0</v>
      </c>
      <c r="B158" s="2" t="s">
        <v>544</v>
      </c>
      <c r="C158" s="2" t="s">
        <v>545</v>
      </c>
      <c r="D158" s="2" t="s">
        <v>73</v>
      </c>
      <c r="E158" s="2" t="s">
        <v>74</v>
      </c>
      <c r="F158" s="2" t="s">
        <v>15</v>
      </c>
      <c r="G158" s="2" t="s">
        <v>546</v>
      </c>
      <c r="H158" s="2" t="s">
        <v>45</v>
      </c>
      <c r="I158" s="2" t="str">
        <f>IFERROR(__xludf.DUMMYFUNCTION("GOOGLETRANSLATE(C158,""fr"",""en"")"),"No information on my contract, Min, advised told me that he had changed his address, that he has not done since! Unable to access my account! I call customer service for information, I am told I don't know Mr. Try to modify on your application! In short d"&amp;"isappointed and regrets having engaged in your home! I go up a file to terminate my counter")</f>
        <v>No information on my contract, Min, advised told me that he had changed his address, that he has not done since! Unable to access my account! I call customer service for information, I am told I don't know Mr. Try to modify on your application! In short disappointed and regrets having engaged in your home! I go up a file to terminate my counter</v>
      </c>
    </row>
    <row r="159" ht="15.75" customHeight="1">
      <c r="A159" s="2">
        <v>1.0</v>
      </c>
      <c r="B159" s="2" t="s">
        <v>547</v>
      </c>
      <c r="C159" s="2" t="s">
        <v>548</v>
      </c>
      <c r="D159" s="2" t="s">
        <v>549</v>
      </c>
      <c r="E159" s="2" t="s">
        <v>550</v>
      </c>
      <c r="F159" s="2" t="s">
        <v>15</v>
      </c>
      <c r="G159" s="2" t="s">
        <v>551</v>
      </c>
      <c r="H159" s="2" t="s">
        <v>32</v>
      </c>
      <c r="I159" s="2" t="str">
        <f>IFERROR(__xludf.DUMMYFUNCTION("GOOGLETRANSLATE(C159,""fr"",""en"")"),"In conflict for more than a year for a file of my children in ten -year guarantee on the construction of a wooden chalet. Structure woods are attacked everywhere and SMA rejects the file while the procedures respect the date before 10 years. Arguments To "&amp;"discourage the victims, pretend that the company has put the woods in compliance excluding the warranty. While the manufacturer's ten -year insurance is there to guarantee the unexpected, therefore the attack on verses.")</f>
        <v>In conflict for more than a year for a file of my children in ten -year guarantee on the construction of a wooden chalet. Structure woods are attacked everywhere and SMA rejects the file while the procedures respect the date before 10 years. Arguments To discourage the victims, pretend that the company has put the woods in compliance excluding the warranty. While the manufacturer's ten -year insurance is there to guarantee the unexpected, therefore the attack on verses.</v>
      </c>
    </row>
    <row r="160" ht="15.75" customHeight="1">
      <c r="A160" s="2">
        <v>1.0</v>
      </c>
      <c r="B160" s="2" t="s">
        <v>552</v>
      </c>
      <c r="C160" s="2" t="s">
        <v>553</v>
      </c>
      <c r="D160" s="2" t="s">
        <v>35</v>
      </c>
      <c r="E160" s="2" t="s">
        <v>21</v>
      </c>
      <c r="F160" s="2" t="s">
        <v>15</v>
      </c>
      <c r="G160" s="2" t="s">
        <v>554</v>
      </c>
      <c r="H160" s="2" t="s">
        <v>42</v>
      </c>
      <c r="I160" s="2" t="str">
        <f>IFERROR(__xludf.DUMMYFUNCTION("GOOGLETRANSLATE(C160,""fr"",""en"")"),"Accident not responsible on January 2, 2018, today on February 6, while the papers with the expert have been received by the claim service since January 17, I have not received compensation and by calling this ""sinister service ""Can't give me a concrete"&amp;" progress on my file, a band of incompetence!")</f>
        <v>Accident not responsible on January 2, 2018, today on February 6, while the papers with the expert have been received by the claim service since January 17, I have not received compensation and by calling this "sinister service "Can't give me a concrete progress on my file, a band of incompetence!</v>
      </c>
    </row>
    <row r="161" ht="15.75" customHeight="1">
      <c r="A161" s="2">
        <v>2.0</v>
      </c>
      <c r="B161" s="2" t="s">
        <v>555</v>
      </c>
      <c r="C161" s="2" t="s">
        <v>556</v>
      </c>
      <c r="D161" s="2" t="s">
        <v>20</v>
      </c>
      <c r="E161" s="2" t="s">
        <v>21</v>
      </c>
      <c r="F161" s="2" t="s">
        <v>15</v>
      </c>
      <c r="G161" s="2" t="s">
        <v>557</v>
      </c>
      <c r="H161" s="2" t="s">
        <v>23</v>
      </c>
      <c r="I161" s="2" t="str">
        <f>IFERROR(__xludf.DUMMYFUNCTION("GOOGLETRANSLATE(C161,""fr"",""en"")"),"It has been more than 4 years since I have moved this vehicle and no proposal is made to me to reduce the insurance premium. No device exists to adapt this amount.")</f>
        <v>It has been more than 4 years since I have moved this vehicle and no proposal is made to me to reduce the insurance premium. No device exists to adapt this amount.</v>
      </c>
    </row>
    <row r="162" ht="15.75" customHeight="1">
      <c r="A162" s="2">
        <v>4.0</v>
      </c>
      <c r="B162" s="2" t="s">
        <v>558</v>
      </c>
      <c r="C162" s="2" t="s">
        <v>559</v>
      </c>
      <c r="D162" s="2" t="s">
        <v>64</v>
      </c>
      <c r="E162" s="2" t="s">
        <v>21</v>
      </c>
      <c r="F162" s="2" t="s">
        <v>15</v>
      </c>
      <c r="G162" s="2" t="s">
        <v>560</v>
      </c>
      <c r="H162" s="2" t="s">
        <v>178</v>
      </c>
      <c r="I162" s="2" t="str">
        <f>IFERROR(__xludf.DUMMYFUNCTION("GOOGLETRANSLATE(C162,""fr"",""en"")"),"It refers only to the price and the quality of the advisers also the fact that it has been a time that I am there but they are very professional.")</f>
        <v>It refers only to the price and the quality of the advisers also the fact that it has been a time that I am there but they are very professional.</v>
      </c>
    </row>
    <row r="163" ht="15.75" customHeight="1">
      <c r="A163" s="2">
        <v>1.0</v>
      </c>
      <c r="B163" s="2" t="s">
        <v>561</v>
      </c>
      <c r="C163" s="2" t="s">
        <v>562</v>
      </c>
      <c r="D163" s="2" t="s">
        <v>563</v>
      </c>
      <c r="E163" s="2" t="s">
        <v>207</v>
      </c>
      <c r="F163" s="2" t="s">
        <v>15</v>
      </c>
      <c r="G163" s="2" t="s">
        <v>139</v>
      </c>
      <c r="H163" s="2" t="s">
        <v>139</v>
      </c>
      <c r="I163" s="2" t="str">
        <f>IFERROR(__xludf.DUMMYFUNCTION("GOOGLETRANSLATE(C163,""fr"",""en"")"),"10 calls for the contribution of the year 2020.
No one is able to process demand. I receive 10 accounting pieces for the year 2021 !!!
The worst is that each time I am told yes yes it is taken into account so that I hang up and then nothing !!!!
Sea se"&amp;"rvice **.
I'm waiting to have the certificate to find another more competent insurer")</f>
        <v>10 calls for the contribution of the year 2020.
No one is able to process demand. I receive 10 accounting pieces for the year 2021 !!!
The worst is that each time I am told yes yes it is taken into account so that I hang up and then nothing !!!!
Sea service **.
I'm waiting to have the certificate to find another more competent insurer</v>
      </c>
    </row>
    <row r="164" ht="15.75" customHeight="1">
      <c r="A164" s="2">
        <v>5.0</v>
      </c>
      <c r="B164" s="2" t="s">
        <v>564</v>
      </c>
      <c r="C164" s="2" t="s">
        <v>565</v>
      </c>
      <c r="D164" s="2" t="s">
        <v>64</v>
      </c>
      <c r="E164" s="2" t="s">
        <v>21</v>
      </c>
      <c r="F164" s="2" t="s">
        <v>15</v>
      </c>
      <c r="G164" s="2" t="s">
        <v>566</v>
      </c>
      <c r="H164" s="2" t="s">
        <v>17</v>
      </c>
      <c r="I164" s="2" t="str">
        <f>IFERROR(__xludf.DUMMYFUNCTION("GOOGLETRANSLATE(C164,""fr"",""en"")"),"I have just taken out my contract but on the other hand I can guarantee that the olive assurance is one of the cheapest on the market (RIP has every hour lost to establish quotes with competitors if I had started with the Olivier)")</f>
        <v>I have just taken out my contract but on the other hand I can guarantee that the olive assurance is one of the cheapest on the market (RIP has every hour lost to establish quotes with competitors if I had started with the Olivier)</v>
      </c>
    </row>
    <row r="165" ht="15.75" customHeight="1">
      <c r="A165" s="2">
        <v>3.0</v>
      </c>
      <c r="B165" s="2" t="s">
        <v>567</v>
      </c>
      <c r="C165" s="2" t="s">
        <v>568</v>
      </c>
      <c r="D165" s="2" t="s">
        <v>281</v>
      </c>
      <c r="E165" s="2" t="s">
        <v>21</v>
      </c>
      <c r="F165" s="2" t="s">
        <v>15</v>
      </c>
      <c r="G165" s="2" t="s">
        <v>447</v>
      </c>
      <c r="H165" s="2" t="s">
        <v>58</v>
      </c>
      <c r="I165" s="2" t="str">
        <f>IFERROR(__xludf.DUMMYFUNCTION("GOOGLETRANSLATE(C165,""fr"",""en"")"),"To avoid this will soon be 2 years that I am waiting for the call of my disaster manager to make me compensate. I call almost every week and I always have the same song of the advisers The loss managers will remind me of 48 hours maximum")</f>
        <v>To avoid this will soon be 2 years that I am waiting for the call of my disaster manager to make me compensate. I call almost every week and I always have the same song of the advisers The loss managers will remind me of 48 hours maximum</v>
      </c>
    </row>
    <row r="166" ht="15.75" customHeight="1">
      <c r="A166" s="2">
        <v>4.0</v>
      </c>
      <c r="B166" s="2" t="s">
        <v>569</v>
      </c>
      <c r="C166" s="2" t="s">
        <v>570</v>
      </c>
      <c r="D166" s="2" t="s">
        <v>64</v>
      </c>
      <c r="E166" s="2" t="s">
        <v>21</v>
      </c>
      <c r="F166" s="2" t="s">
        <v>15</v>
      </c>
      <c r="G166" s="2" t="s">
        <v>149</v>
      </c>
      <c r="H166" s="2" t="s">
        <v>139</v>
      </c>
      <c r="I166" s="2" t="str">
        <f>IFERROR(__xludf.DUMMYFUNCTION("GOOGLETRANSLATE(C166,""fr"",""en"")"),"Very satisfied at the moment (only 1 month). Competitive price, simplicity of engagement, satisfactory customer support, to be confirmed in the long term.")</f>
        <v>Very satisfied at the moment (only 1 month). Competitive price, simplicity of engagement, satisfactory customer support, to be confirmed in the long term.</v>
      </c>
    </row>
    <row r="167" ht="15.75" customHeight="1">
      <c r="A167" s="2">
        <v>5.0</v>
      </c>
      <c r="B167" s="2" t="s">
        <v>571</v>
      </c>
      <c r="C167" s="2" t="s">
        <v>572</v>
      </c>
      <c r="D167" s="2" t="s">
        <v>20</v>
      </c>
      <c r="E167" s="2" t="s">
        <v>21</v>
      </c>
      <c r="F167" s="2" t="s">
        <v>15</v>
      </c>
      <c r="G167" s="2" t="s">
        <v>48</v>
      </c>
      <c r="H167" s="2" t="s">
        <v>45</v>
      </c>
      <c r="I167" s="2" t="str">
        <f>IFERROR(__xludf.DUMMYFUNCTION("GOOGLETRANSLATE(C167,""fr"",""en"")"),"Fast and good prices everything is perfect
Ease of subscription as well as the choice of formulas which are always adapted to our needs. I recommend")</f>
        <v>Fast and good prices everything is perfect
Ease of subscription as well as the choice of formulas which are always adapted to our needs. I recommend</v>
      </c>
    </row>
    <row r="168" ht="15.75" customHeight="1">
      <c r="A168" s="2">
        <v>1.0</v>
      </c>
      <c r="B168" s="2" t="s">
        <v>573</v>
      </c>
      <c r="C168" s="2" t="s">
        <v>574</v>
      </c>
      <c r="D168" s="2" t="s">
        <v>20</v>
      </c>
      <c r="E168" s="2" t="s">
        <v>21</v>
      </c>
      <c r="F168" s="2" t="s">
        <v>15</v>
      </c>
      <c r="G168" s="2" t="s">
        <v>575</v>
      </c>
      <c r="H168" s="2" t="s">
        <v>576</v>
      </c>
      <c r="I168" s="2" t="str">
        <f>IFERROR(__xludf.DUMMYFUNCTION("GOOGLETRANSLATE(C168,""fr"",""en"")"),"They increase their price each year. Even with the bonus, you will pay more and more expensive. Flee this insurance. Almost 500 euros per year with 32% bonuses in third mini for a vehicle of 7 CV which is over 12 years old ... !!!")</f>
        <v>They increase their price each year. Even with the bonus, you will pay more and more expensive. Flee this insurance. Almost 500 euros per year with 32% bonuses in third mini for a vehicle of 7 CV which is over 12 years old ... !!!</v>
      </c>
    </row>
    <row r="169" ht="15.75" customHeight="1">
      <c r="A169" s="2">
        <v>2.0</v>
      </c>
      <c r="B169" s="2" t="s">
        <v>577</v>
      </c>
      <c r="C169" s="2" t="s">
        <v>578</v>
      </c>
      <c r="D169" s="2" t="s">
        <v>119</v>
      </c>
      <c r="E169" s="2" t="s">
        <v>21</v>
      </c>
      <c r="F169" s="2" t="s">
        <v>15</v>
      </c>
      <c r="G169" s="2" t="s">
        <v>579</v>
      </c>
      <c r="H169" s="2" t="s">
        <v>473</v>
      </c>
      <c r="I169" s="2" t="str">
        <f>IFERROR(__xludf.DUMMYFUNCTION("GOOGLETRANSLATE(C169,""fr"",""en"")"),"Suitable guarantees at prices similar to the MAAF for example but deplorable customer service and a total absence of advice.")</f>
        <v>Suitable guarantees at prices similar to the MAAF for example but deplorable customer service and a total absence of advice.</v>
      </c>
    </row>
    <row r="170" ht="15.75" customHeight="1">
      <c r="A170" s="2">
        <v>4.0</v>
      </c>
      <c r="B170" s="2" t="s">
        <v>580</v>
      </c>
      <c r="C170" s="2" t="s">
        <v>581</v>
      </c>
      <c r="D170" s="2" t="s">
        <v>64</v>
      </c>
      <c r="E170" s="2" t="s">
        <v>21</v>
      </c>
      <c r="F170" s="2" t="s">
        <v>15</v>
      </c>
      <c r="G170" s="2" t="s">
        <v>582</v>
      </c>
      <c r="H170" s="2" t="s">
        <v>45</v>
      </c>
      <c r="I170" s="2" t="str">
        <f>IFERROR(__xludf.DUMMYFUNCTION("GOOGLETRANSLATE(C170,""fr"",""en"")"),"Fast, sympathetic advisor, reasonable price. I was looking for a third party insurance for my car and completely done quickly and simply ... Efficient service.")</f>
        <v>Fast, sympathetic advisor, reasonable price. I was looking for a third party insurance for my car and completely done quickly and simply ... Efficient service.</v>
      </c>
    </row>
    <row r="171" ht="15.75" customHeight="1">
      <c r="A171" s="2">
        <v>1.0</v>
      </c>
      <c r="B171" s="2" t="s">
        <v>583</v>
      </c>
      <c r="C171" s="2" t="s">
        <v>584</v>
      </c>
      <c r="D171" s="2" t="s">
        <v>585</v>
      </c>
      <c r="E171" s="2" t="s">
        <v>261</v>
      </c>
      <c r="F171" s="2" t="s">
        <v>15</v>
      </c>
      <c r="G171" s="2" t="s">
        <v>586</v>
      </c>
      <c r="H171" s="2" t="s">
        <v>186</v>
      </c>
      <c r="I171" s="2" t="str">
        <f>IFERROR(__xludf.DUMMYFUNCTION("GOOGLETRANSLATE(C171,""fr"",""en"")"),"After 4 months the death of my mom I am a benefit of the capital that I have been waiting for since to pay the funeral pumps. Each call the file is at the same point avoid this insurance. The 10 days are not in any case respected")</f>
        <v>After 4 months the death of my mom I am a benefit of the capital that I have been waiting for since to pay the funeral pumps. Each call the file is at the same point avoid this insurance. The 10 days are not in any case respected</v>
      </c>
    </row>
    <row r="172" ht="15.75" customHeight="1">
      <c r="A172" s="2">
        <v>2.0</v>
      </c>
      <c r="B172" s="2" t="s">
        <v>587</v>
      </c>
      <c r="C172" s="2" t="s">
        <v>588</v>
      </c>
      <c r="D172" s="2" t="s">
        <v>87</v>
      </c>
      <c r="E172" s="2" t="s">
        <v>79</v>
      </c>
      <c r="F172" s="2" t="s">
        <v>15</v>
      </c>
      <c r="G172" s="2" t="s">
        <v>589</v>
      </c>
      <c r="H172" s="2" t="s">
        <v>274</v>
      </c>
      <c r="I172" s="2" t="str">
        <f>IFERROR(__xludf.DUMMYFUNCTION("GOOGLETRANSLATE(C172,""fr"",""en"")"),"Motorcycle stolen on September 4. Always awaiting compensation. The most beautiful is to learn that I was terminated for the previous motorcycle because they did not receive the assignment cerfa. It's 1 year and a half after that I am told about it. Once "&amp;"the CERFA has been returned three services claiming me different amounts to close my contract. In the current state, managers do not seem to be inclined to follow up on my file at all.
I also wait for them to raise the shameful termination of which I hav"&amp;"e been the subject of my previous vehicle and which I penalize for years.")</f>
        <v>Motorcycle stolen on September 4. Always awaiting compensation. The most beautiful is to learn that I was terminated for the previous motorcycle because they did not receive the assignment cerfa. It's 1 year and a half after that I am told about it. Once the CERFA has been returned three services claiming me different amounts to close my contract. In the current state, managers do not seem to be inclined to follow up on my file at all.
I also wait for them to raise the shameful termination of which I have been the subject of my previous vehicle and which I penalize for years.</v>
      </c>
    </row>
    <row r="173" ht="15.75" customHeight="1">
      <c r="A173" s="2">
        <v>3.0</v>
      </c>
      <c r="B173" s="2" t="s">
        <v>590</v>
      </c>
      <c r="C173" s="2" t="s">
        <v>591</v>
      </c>
      <c r="D173" s="2" t="s">
        <v>20</v>
      </c>
      <c r="E173" s="2" t="s">
        <v>21</v>
      </c>
      <c r="F173" s="2" t="s">
        <v>15</v>
      </c>
      <c r="G173" s="2" t="s">
        <v>31</v>
      </c>
      <c r="H173" s="2" t="s">
        <v>32</v>
      </c>
      <c r="I173" s="2" t="str">
        <f>IFERROR(__xludf.DUMMYFUNCTION("GOOGLETRANSLATE(C173,""fr"",""en"")"),"Satisfied with your very complete site, with the site I had all my answers,")</f>
        <v>Satisfied with your very complete site, with the site I had all my answers,</v>
      </c>
    </row>
    <row r="174" ht="15.75" customHeight="1">
      <c r="A174" s="2">
        <v>3.0</v>
      </c>
      <c r="B174" s="2" t="s">
        <v>592</v>
      </c>
      <c r="C174" s="2" t="s">
        <v>593</v>
      </c>
      <c r="D174" s="2" t="s">
        <v>20</v>
      </c>
      <c r="E174" s="2" t="s">
        <v>21</v>
      </c>
      <c r="F174" s="2" t="s">
        <v>15</v>
      </c>
      <c r="G174" s="2" t="s">
        <v>482</v>
      </c>
      <c r="H174" s="2" t="s">
        <v>139</v>
      </c>
      <c r="I174" s="2" t="str">
        <f>IFERROR(__xludf.DUMMYFUNCTION("GOOGLETRANSLATE(C174,""fr"",""en"")")," Auto80 promo code refused ...
Would have appreciated a commercial gesture ...
The price remains attractive compared to my current insurance.
To see for the future ...")</f>
        <v> Auto80 promo code refused ...
Would have appreciated a commercial gesture ...
The price remains attractive compared to my current insurance.
To see for the future ...</v>
      </c>
    </row>
    <row r="175" ht="15.75" customHeight="1">
      <c r="A175" s="2">
        <v>1.0</v>
      </c>
      <c r="B175" s="2" t="s">
        <v>594</v>
      </c>
      <c r="C175" s="2" t="s">
        <v>595</v>
      </c>
      <c r="D175" s="2" t="s">
        <v>35</v>
      </c>
      <c r="E175" s="2" t="s">
        <v>21</v>
      </c>
      <c r="F175" s="2" t="s">
        <v>15</v>
      </c>
      <c r="G175" s="2" t="s">
        <v>596</v>
      </c>
      <c r="H175" s="2" t="s">
        <v>263</v>
      </c>
      <c r="I175" s="2" t="str">
        <f>IFERROR(__xludf.DUMMYFUNCTION("GOOGLETRANSLATE(C175,""fr"",""en"")"),"I just talked about my problem with the GMF, forgetting to put a note. It is a breakdown with non -existence of assistance. Two days to wait without a replacement vehicle as stipulated in the contract or accommodation.")</f>
        <v>I just talked about my problem with the GMF, forgetting to put a note. It is a breakdown with non -existence of assistance. Two days to wait without a replacement vehicle as stipulated in the contract or accommodation.</v>
      </c>
    </row>
    <row r="176" ht="15.75" customHeight="1">
      <c r="A176" s="2">
        <v>4.0</v>
      </c>
      <c r="B176" s="2" t="s">
        <v>597</v>
      </c>
      <c r="C176" s="2" t="s">
        <v>598</v>
      </c>
      <c r="D176" s="2" t="s">
        <v>64</v>
      </c>
      <c r="E176" s="2" t="s">
        <v>21</v>
      </c>
      <c r="F176" s="2" t="s">
        <v>15</v>
      </c>
      <c r="G176" s="2" t="s">
        <v>599</v>
      </c>
      <c r="H176" s="2" t="s">
        <v>17</v>
      </c>
      <c r="I176" s="2" t="str">
        <f>IFERROR(__xludf.DUMMYFUNCTION("GOOGLETRANSLATE(C176,""fr"",""en"")"),"I am satisfied with the price and the service when signing the contract. I will be fully satisfied if everything goes well throughout the contract and especially in the event of a claim ....")</f>
        <v>I am satisfied with the price and the service when signing the contract. I will be fully satisfied if everything goes well throughout the contract and especially in the event of a claim ....</v>
      </c>
    </row>
    <row r="177" ht="15.75" customHeight="1">
      <c r="A177" s="2">
        <v>4.0</v>
      </c>
      <c r="B177" s="2" t="s">
        <v>600</v>
      </c>
      <c r="C177" s="2" t="s">
        <v>601</v>
      </c>
      <c r="D177" s="2" t="s">
        <v>20</v>
      </c>
      <c r="E177" s="2" t="s">
        <v>21</v>
      </c>
      <c r="F177" s="2" t="s">
        <v>15</v>
      </c>
      <c r="G177" s="2" t="s">
        <v>602</v>
      </c>
      <c r="H177" s="2" t="s">
        <v>32</v>
      </c>
      <c r="I177" s="2" t="str">
        <f>IFERROR(__xludf.DUMMYFUNCTION("GOOGLETRANSLATE(C177,""fr"",""en"")"),"Clear and easy to access site.
Drafting of the simple and fast quote, attractive price even with the options.
I recommend without problem. To plan the house")</f>
        <v>Clear and easy to access site.
Drafting of the simple and fast quote, attractive price even with the options.
I recommend without problem. To plan the house</v>
      </c>
    </row>
    <row r="178" ht="15.75" customHeight="1">
      <c r="A178" s="2">
        <v>1.0</v>
      </c>
      <c r="B178" s="2" t="s">
        <v>603</v>
      </c>
      <c r="C178" s="2" t="s">
        <v>604</v>
      </c>
      <c r="D178" s="2" t="s">
        <v>471</v>
      </c>
      <c r="E178" s="2" t="s">
        <v>74</v>
      </c>
      <c r="F178" s="2" t="s">
        <v>15</v>
      </c>
      <c r="G178" s="2" t="s">
        <v>65</v>
      </c>
      <c r="H178" s="2" t="s">
        <v>23</v>
      </c>
      <c r="I178" s="2" t="str">
        <f>IFERROR(__xludf.DUMMYFUNCTION("GOOGLETRANSLATE(C178,""fr"",""en"")"),"More than a year not to succeed in obtaining a withdrawal on a GMO contract, no possible contact by E_Mail, everything goes by mail and puts weeks to be taken into account and treated. It's the Middle Ages!
To flee absolutely")</f>
        <v>More than a year not to succeed in obtaining a withdrawal on a GMO contract, no possible contact by E_Mail, everything goes by mail and puts weeks to be taken into account and treated. It's the Middle Ages!
To flee absolutely</v>
      </c>
    </row>
    <row r="179" ht="15.75" customHeight="1">
      <c r="A179" s="2">
        <v>2.0</v>
      </c>
      <c r="B179" s="2" t="s">
        <v>605</v>
      </c>
      <c r="C179" s="2" t="s">
        <v>606</v>
      </c>
      <c r="D179" s="2" t="s">
        <v>155</v>
      </c>
      <c r="E179" s="2" t="s">
        <v>21</v>
      </c>
      <c r="F179" s="2" t="s">
        <v>15</v>
      </c>
      <c r="G179" s="2" t="s">
        <v>589</v>
      </c>
      <c r="H179" s="2" t="s">
        <v>274</v>
      </c>
      <c r="I179" s="2" t="str">
        <f>IFERROR(__xludf.DUMMYFUNCTION("GOOGLETRANSLATE(C179,""fr"",""en"")"),"A lure: Eurofil is a money pump.
From the first claim, even derisory and after more than ten years of good and loyal payments, Eurofil you turn.")</f>
        <v>A lure: Eurofil is a money pump.
From the first claim, even derisory and after more than ten years of good and loyal payments, Eurofil you turn.</v>
      </c>
    </row>
    <row r="180" ht="15.75" customHeight="1">
      <c r="A180" s="2">
        <v>3.0</v>
      </c>
      <c r="B180" s="2" t="s">
        <v>607</v>
      </c>
      <c r="C180" s="2" t="s">
        <v>608</v>
      </c>
      <c r="D180" s="2" t="s">
        <v>20</v>
      </c>
      <c r="E180" s="2" t="s">
        <v>21</v>
      </c>
      <c r="F180" s="2" t="s">
        <v>15</v>
      </c>
      <c r="G180" s="2" t="s">
        <v>609</v>
      </c>
      <c r="H180" s="2" t="s">
        <v>89</v>
      </c>
      <c r="I180" s="2" t="str">
        <f>IFERROR(__xludf.DUMMYFUNCTION("GOOGLETRANSLATE(C180,""fr"",""en"")"),"Very well? Perfect I hope not to be mistaken about you I was ASSU 2000 but it remains very expensive? At home it is simple and quick I will see")</f>
        <v>Very well? Perfect I hope not to be mistaken about you I was ASSU 2000 but it remains very expensive? At home it is simple and quick I will see</v>
      </c>
    </row>
    <row r="181" ht="15.75" customHeight="1">
      <c r="A181" s="2">
        <v>2.0</v>
      </c>
      <c r="B181" s="2" t="s">
        <v>610</v>
      </c>
      <c r="C181" s="2" t="s">
        <v>611</v>
      </c>
      <c r="D181" s="2" t="s">
        <v>20</v>
      </c>
      <c r="E181" s="2" t="s">
        <v>21</v>
      </c>
      <c r="F181" s="2" t="s">
        <v>15</v>
      </c>
      <c r="G181" s="2" t="s">
        <v>609</v>
      </c>
      <c r="H181" s="2" t="s">
        <v>89</v>
      </c>
      <c r="I181" s="2" t="str">
        <f>IFERROR(__xludf.DUMMYFUNCTION("GOOGLETRANSLATE(C181,""fr"",""en"")"),"Too many duplicates in the garranties prospected by such otherwise site is well done and laies time to reflech the best combinations oissibles thank you")</f>
        <v>Too many duplicates in the garranties prospected by such otherwise site is well done and laies time to reflech the best combinations oissibles thank you</v>
      </c>
    </row>
    <row r="182" ht="15.75" customHeight="1">
      <c r="A182" s="2">
        <v>4.0</v>
      </c>
      <c r="B182" s="2" t="s">
        <v>612</v>
      </c>
      <c r="C182" s="2" t="s">
        <v>613</v>
      </c>
      <c r="D182" s="2" t="s">
        <v>523</v>
      </c>
      <c r="E182" s="2" t="s">
        <v>450</v>
      </c>
      <c r="F182" s="2" t="s">
        <v>15</v>
      </c>
      <c r="G182" s="2" t="s">
        <v>614</v>
      </c>
      <c r="H182" s="2" t="s">
        <v>182</v>
      </c>
      <c r="I182" s="2" t="str">
        <f>IFERROR(__xludf.DUMMYFUNCTION("GOOGLETRANSLATE(C182,""fr"",""en"")"),"Easy and quick. Reactive broker with the questions asked ...
Very attractive price and attractive case fees
                                                                                            ")</f>
        <v>Easy and quick. Reactive broker with the questions asked ...
Very attractive price and attractive case fees
                                                                                            </v>
      </c>
    </row>
    <row r="183" ht="15.75" customHeight="1">
      <c r="A183" s="2">
        <v>4.0</v>
      </c>
      <c r="B183" s="2" t="s">
        <v>615</v>
      </c>
      <c r="C183" s="2" t="s">
        <v>616</v>
      </c>
      <c r="D183" s="2" t="s">
        <v>20</v>
      </c>
      <c r="E183" s="2" t="s">
        <v>21</v>
      </c>
      <c r="F183" s="2" t="s">
        <v>15</v>
      </c>
      <c r="G183" s="2" t="s">
        <v>617</v>
      </c>
      <c r="H183" s="2" t="s">
        <v>45</v>
      </c>
      <c r="I183" s="2" t="str">
        <f>IFERROR(__xludf.DUMMYFUNCTION("GOOGLETRANSLATE(C183,""fr"",""en"")"),"I am satisfied with your internet offer, car insurance and the options you offer. Your site is very interesting, a lot of choices and options.
")</f>
        <v>I am satisfied with your internet offer, car insurance and the options you offer. Your site is very interesting, a lot of choices and options.
</v>
      </c>
    </row>
    <row r="184" ht="15.75" customHeight="1">
      <c r="A184" s="2">
        <v>5.0</v>
      </c>
      <c r="B184" s="2" t="s">
        <v>618</v>
      </c>
      <c r="C184" s="2" t="s">
        <v>619</v>
      </c>
      <c r="D184" s="2" t="s">
        <v>40</v>
      </c>
      <c r="E184" s="2" t="s">
        <v>14</v>
      </c>
      <c r="F184" s="2" t="s">
        <v>15</v>
      </c>
      <c r="G184" s="2" t="s">
        <v>620</v>
      </c>
      <c r="H184" s="2" t="s">
        <v>17</v>
      </c>
      <c r="I184" s="2" t="str">
        <f>IFERROR(__xludf.DUMMYFUNCTION("GOOGLETRANSLATE(C184,""fr"",""en"")"),"Very good mutual, serious and competent. Transparency and competence of governance. The delegated network is good. The price is at its fair value for good care.")</f>
        <v>Very good mutual, serious and competent. Transparency and competence of governance. The delegated network is good. The price is at its fair value for good care.</v>
      </c>
    </row>
    <row r="185" ht="15.75" customHeight="1">
      <c r="A185" s="2">
        <v>4.0</v>
      </c>
      <c r="B185" s="2" t="s">
        <v>621</v>
      </c>
      <c r="C185" s="2" t="s">
        <v>622</v>
      </c>
      <c r="D185" s="2" t="s">
        <v>78</v>
      </c>
      <c r="E185" s="2" t="s">
        <v>79</v>
      </c>
      <c r="F185" s="2" t="s">
        <v>15</v>
      </c>
      <c r="G185" s="2" t="s">
        <v>623</v>
      </c>
      <c r="H185" s="2" t="s">
        <v>70</v>
      </c>
      <c r="I185" s="2" t="str">
        <f>IFERROR(__xludf.DUMMYFUNCTION("GOOGLETRANSLATE(C185,""fr"",""en"")"),"The best price I found even if it's a bit expensive.
Ease of membership.
Simple fast efficient. Now in time if I remain satisfied.")</f>
        <v>The best price I found even if it's a bit expensive.
Ease of membership.
Simple fast efficient. Now in time if I remain satisfied.</v>
      </c>
    </row>
    <row r="186" ht="15.75" customHeight="1">
      <c r="A186" s="2">
        <v>1.0</v>
      </c>
      <c r="B186" s="2" t="s">
        <v>624</v>
      </c>
      <c r="C186" s="2" t="s">
        <v>625</v>
      </c>
      <c r="D186" s="2" t="s">
        <v>281</v>
      </c>
      <c r="E186" s="2" t="s">
        <v>261</v>
      </c>
      <c r="F186" s="2" t="s">
        <v>15</v>
      </c>
      <c r="G186" s="2" t="s">
        <v>626</v>
      </c>
      <c r="H186" s="2" t="s">
        <v>237</v>
      </c>
      <c r="I186" s="2" t="str">
        <f>IFERROR(__xludf.DUMMYFUNCTION("GOOGLETRANSLATE(C186,""fr"",""en"")"),"very disappointing. I have been a customer for 18 years. As soon as I needed to withdraw money from my life insurance account my advisor no longer responds despite the many phone messages from his assistant. I am told that we will recall but it is not the"&amp;" case. As long as you make payments on your account, the welcome is good and then after nothing. Suddenly, it is the galley to recover my funds. No service and above all no respect for their customers.")</f>
        <v>very disappointing. I have been a customer for 18 years. As soon as I needed to withdraw money from my life insurance account my advisor no longer responds despite the many phone messages from his assistant. I am told that we will recall but it is not the case. As long as you make payments on your account, the welcome is good and then after nothing. Suddenly, it is the galley to recover my funds. No service and above all no respect for their customers.</v>
      </c>
    </row>
    <row r="187" ht="15.75" customHeight="1">
      <c r="A187" s="2">
        <v>2.0</v>
      </c>
      <c r="B187" s="2" t="s">
        <v>627</v>
      </c>
      <c r="C187" s="2" t="s">
        <v>628</v>
      </c>
      <c r="D187" s="2" t="s">
        <v>78</v>
      </c>
      <c r="E187" s="2" t="s">
        <v>79</v>
      </c>
      <c r="F187" s="2" t="s">
        <v>15</v>
      </c>
      <c r="G187" s="2" t="s">
        <v>37</v>
      </c>
      <c r="H187" s="2" t="s">
        <v>37</v>
      </c>
      <c r="I187" s="2" t="str">
        <f>IFERROR(__xludf.DUMMYFUNCTION("GOOGLETRANSLATE(C187,""fr"",""en"")"),"Completely next to their pumps: they reclaim you already paid contributions, very difficult to join, he makes you wait on the phone for nothing, when we see the lack of professionalism for contract management, we worry in the event of a claim ...")</f>
        <v>Completely next to their pumps: they reclaim you already paid contributions, very difficult to join, he makes you wait on the phone for nothing, when we see the lack of professionalism for contract management, we worry in the event of a claim ...</v>
      </c>
    </row>
    <row r="188" ht="15.75" customHeight="1">
      <c r="A188" s="2">
        <v>5.0</v>
      </c>
      <c r="B188" s="2" t="s">
        <v>629</v>
      </c>
      <c r="C188" s="2" t="s">
        <v>630</v>
      </c>
      <c r="D188" s="2" t="s">
        <v>87</v>
      </c>
      <c r="E188" s="2" t="s">
        <v>79</v>
      </c>
      <c r="F188" s="2" t="s">
        <v>15</v>
      </c>
      <c r="G188" s="2" t="s">
        <v>286</v>
      </c>
      <c r="H188" s="2" t="s">
        <v>178</v>
      </c>
      <c r="I188" s="2" t="str">
        <f>IFERROR(__xludf.DUMMYFUNCTION("GOOGLETRANSLATE(C188,""fr"",""en"")"),"I am satisfied with my insurance, attractive price. That said, I never had an accident, nor stolen from my scooter so I never needed to solicit my insurer.")</f>
        <v>I am satisfied with my insurance, attractive price. That said, I never had an accident, nor stolen from my scooter so I never needed to solicit my insurer.</v>
      </c>
    </row>
    <row r="189" ht="15.75" customHeight="1">
      <c r="A189" s="2">
        <v>1.0</v>
      </c>
      <c r="B189" s="2" t="s">
        <v>631</v>
      </c>
      <c r="C189" s="2" t="s">
        <v>632</v>
      </c>
      <c r="D189" s="2" t="s">
        <v>109</v>
      </c>
      <c r="E189" s="2" t="s">
        <v>110</v>
      </c>
      <c r="F189" s="2" t="s">
        <v>15</v>
      </c>
      <c r="G189" s="2" t="s">
        <v>633</v>
      </c>
      <c r="H189" s="2" t="s">
        <v>17</v>
      </c>
      <c r="I189" s="2" t="str">
        <f>IFERROR(__xludf.DUMMYFUNCTION("GOOGLETRANSLATE(C189,""fr"",""en"")"),"Insurance to flee, since February 2021 I ""fight"" for a refund of 800/100 € in 2500th of veterinary costs. I call every 3 weeks and always the same answer your file is complete I transmit it above ... mdrrr I receive emails always asking me the same docu"&amp;"ments as they already have. I cannot even leave my dog ​​will no longer be accepted nowhere having declared an addison illness. Thank you eca assurance you know very well to take the monthly payments the rest .... Flee")</f>
        <v>Insurance to flee, since February 2021 I "fight" for a refund of 800/100 € in 2500th of veterinary costs. I call every 3 weeks and always the same answer your file is complete I transmit it above ... mdrrr I receive emails always asking me the same documents as they already have. I cannot even leave my dog ​​will no longer be accepted nowhere having declared an addison illness. Thank you eca assurance you know very well to take the monthly payments the rest .... Flee</v>
      </c>
    </row>
    <row r="190" ht="15.75" customHeight="1">
      <c r="A190" s="2">
        <v>5.0</v>
      </c>
      <c r="B190" s="2" t="s">
        <v>634</v>
      </c>
      <c r="C190" s="2" t="s">
        <v>635</v>
      </c>
      <c r="D190" s="2" t="s">
        <v>35</v>
      </c>
      <c r="E190" s="2" t="s">
        <v>21</v>
      </c>
      <c r="F190" s="2" t="s">
        <v>15</v>
      </c>
      <c r="G190" s="2" t="s">
        <v>143</v>
      </c>
      <c r="H190" s="2" t="s">
        <v>45</v>
      </c>
      <c r="I190" s="2" t="str">
        <f>IFERROR(__xludf.DUMMYFUNCTION("GOOGLETRANSLATE(C190,""fr"",""en"")"),"I find the prices suitable and the contact in agency and on the satisfactory site. I will recommend to my colleagues looking for insurance.")</f>
        <v>I find the prices suitable and the contact in agency and on the satisfactory site. I will recommend to my colleagues looking for insurance.</v>
      </c>
    </row>
    <row r="191" ht="15.75" customHeight="1">
      <c r="A191" s="2">
        <v>4.0</v>
      </c>
      <c r="B191" s="2" t="s">
        <v>636</v>
      </c>
      <c r="C191" s="2" t="s">
        <v>637</v>
      </c>
      <c r="D191" s="2" t="s">
        <v>64</v>
      </c>
      <c r="E191" s="2" t="s">
        <v>21</v>
      </c>
      <c r="F191" s="2" t="s">
        <v>15</v>
      </c>
      <c r="G191" s="2" t="s">
        <v>638</v>
      </c>
      <c r="H191" s="2" t="s">
        <v>178</v>
      </c>
      <c r="I191" s="2" t="str">
        <f>IFERROR(__xludf.DUMMYFUNCTION("GOOGLETRANSLATE(C191,""fr"",""en"")"),"Very good contact with operators, reasonable prices, we will make the point in 12 months for a final opinion. To date, the computer system knows some shortcomings - thank you")</f>
        <v>Very good contact with operators, reasonable prices, we will make the point in 12 months for a final opinion. To date, the computer system knows some shortcomings - thank you</v>
      </c>
    </row>
    <row r="192" ht="15.75" customHeight="1">
      <c r="A192" s="2">
        <v>4.0</v>
      </c>
      <c r="B192" s="2" t="s">
        <v>639</v>
      </c>
      <c r="C192" s="2" t="s">
        <v>640</v>
      </c>
      <c r="D192" s="2" t="s">
        <v>87</v>
      </c>
      <c r="E192" s="2" t="s">
        <v>79</v>
      </c>
      <c r="F192" s="2" t="s">
        <v>15</v>
      </c>
      <c r="G192" s="2" t="s">
        <v>494</v>
      </c>
      <c r="H192" s="2" t="s">
        <v>89</v>
      </c>
      <c r="I192" s="2" t="str">
        <f>IFERROR(__xludf.DUMMYFUNCTION("GOOGLETRANSLATE(C192,""fr"",""en"")"),"I am satisfied with services and prices even for young A2 permits
Telephone assistance is very pleasant and professional.
I highly recommend.")</f>
        <v>I am satisfied with services and prices even for young A2 permits
Telephone assistance is very pleasant and professional.
I highly recommend.</v>
      </c>
    </row>
    <row r="193" ht="15.75" customHeight="1">
      <c r="A193" s="2">
        <v>2.0</v>
      </c>
      <c r="B193" s="2" t="s">
        <v>641</v>
      </c>
      <c r="C193" s="2" t="s">
        <v>642</v>
      </c>
      <c r="D193" s="2" t="s">
        <v>20</v>
      </c>
      <c r="E193" s="2" t="s">
        <v>21</v>
      </c>
      <c r="F193" s="2" t="s">
        <v>15</v>
      </c>
      <c r="G193" s="2" t="s">
        <v>643</v>
      </c>
      <c r="H193" s="2" t="s">
        <v>23</v>
      </c>
      <c r="I193" s="2" t="str">
        <f>IFERROR(__xludf.DUMMYFUNCTION("GOOGLETRANSLATE(C193,""fr"",""en"")"),"With the options in the end it is really too expensive, if the optons were included with the overall price it will be great, if it is so I do not recommend direct insurance")</f>
        <v>With the options in the end it is really too expensive, if the optons were included with the overall price it will be great, if it is so I do not recommend direct insurance</v>
      </c>
    </row>
    <row r="194" ht="15.75" customHeight="1">
      <c r="A194" s="2">
        <v>3.0</v>
      </c>
      <c r="B194" s="2" t="s">
        <v>644</v>
      </c>
      <c r="C194" s="2" t="s">
        <v>645</v>
      </c>
      <c r="D194" s="2" t="s">
        <v>20</v>
      </c>
      <c r="E194" s="2" t="s">
        <v>21</v>
      </c>
      <c r="F194" s="2" t="s">
        <v>15</v>
      </c>
      <c r="G194" s="2" t="s">
        <v>646</v>
      </c>
      <c r="H194" s="2" t="s">
        <v>321</v>
      </c>
      <c r="I194" s="2" t="str">
        <f>IFERROR(__xludf.DUMMYFUNCTION("GOOGLETRANSLATE(C194,""fr"",""en"")"),"I am satisfied with the service. Prices are affordable and the services offered as well. After Direct Insurance comparison is the cheapest insurance I found for an Audi A3 Sportback")</f>
        <v>I am satisfied with the service. Prices are affordable and the services offered as well. After Direct Insurance comparison is the cheapest insurance I found for an Audi A3 Sportback</v>
      </c>
    </row>
    <row r="195" ht="15.75" customHeight="1">
      <c r="A195" s="2">
        <v>2.0</v>
      </c>
      <c r="B195" s="2" t="s">
        <v>647</v>
      </c>
      <c r="C195" s="2" t="s">
        <v>648</v>
      </c>
      <c r="D195" s="2" t="s">
        <v>371</v>
      </c>
      <c r="E195" s="2" t="s">
        <v>74</v>
      </c>
      <c r="F195" s="2" t="s">
        <v>15</v>
      </c>
      <c r="G195" s="2" t="s">
        <v>649</v>
      </c>
      <c r="H195" s="2" t="s">
        <v>473</v>
      </c>
      <c r="I195" s="2" t="str">
        <f>IFERROR(__xludf.DUMMYFUNCTION("GOOGLETRANSLATE(C195,""fr"",""en"")"),"We are May 14 and still have not received my disability pension for the month of April 2018. With serious health problems and must be added the concern for the non -payment of invalidated services. It is unacceptable")</f>
        <v>We are May 14 and still have not received my disability pension for the month of April 2018. With serious health problems and must be added the concern for the non -payment of invalidated services. It is unacceptable</v>
      </c>
    </row>
    <row r="196" ht="15.75" customHeight="1">
      <c r="A196" s="2">
        <v>3.0</v>
      </c>
      <c r="B196" s="2" t="s">
        <v>650</v>
      </c>
      <c r="C196" s="2" t="s">
        <v>651</v>
      </c>
      <c r="D196" s="2" t="s">
        <v>87</v>
      </c>
      <c r="E196" s="2" t="s">
        <v>79</v>
      </c>
      <c r="F196" s="2" t="s">
        <v>15</v>
      </c>
      <c r="G196" s="2" t="s">
        <v>652</v>
      </c>
      <c r="H196" s="2" t="s">
        <v>139</v>
      </c>
      <c r="I196" s="2" t="str">
        <f>IFERROR(__xludf.DUMMYFUNCTION("GOOGLETRANSLATE(C196,""fr"",""en"")"),"I am satisfied with the service but the steps for an additional contract are too long and complicated the attachment to the existing contract should be simplified.
")</f>
        <v>I am satisfied with the service but the steps for an additional contract are too long and complicated the attachment to the existing contract should be simplified.
</v>
      </c>
    </row>
    <row r="197" ht="15.75" customHeight="1">
      <c r="A197" s="2">
        <v>2.0</v>
      </c>
      <c r="B197" s="2" t="s">
        <v>653</v>
      </c>
      <c r="C197" s="2" t="s">
        <v>654</v>
      </c>
      <c r="D197" s="2" t="s">
        <v>281</v>
      </c>
      <c r="E197" s="2" t="s">
        <v>21</v>
      </c>
      <c r="F197" s="2" t="s">
        <v>15</v>
      </c>
      <c r="G197" s="2" t="s">
        <v>655</v>
      </c>
      <c r="H197" s="2" t="s">
        <v>473</v>
      </c>
      <c r="I197" s="2" t="str">
        <f>IFERROR(__xludf.DUMMYFUNCTION("GOOGLETRANSLATE(C197,""fr"",""en"")"),"Good insurance with a wide choice.")</f>
        <v>Good insurance with a wide choice.</v>
      </c>
    </row>
    <row r="198" ht="15.75" customHeight="1">
      <c r="A198" s="2">
        <v>3.0</v>
      </c>
      <c r="B198" s="2" t="s">
        <v>656</v>
      </c>
      <c r="C198" s="2" t="s">
        <v>657</v>
      </c>
      <c r="D198" s="2" t="s">
        <v>260</v>
      </c>
      <c r="E198" s="2" t="s">
        <v>261</v>
      </c>
      <c r="F198" s="2" t="s">
        <v>15</v>
      </c>
      <c r="G198" s="2" t="s">
        <v>658</v>
      </c>
      <c r="H198" s="2" t="s">
        <v>274</v>
      </c>
      <c r="I198" s="2" t="str">
        <f>IFERROR(__xludf.DUMMYFUNCTION("GOOGLETRANSLATE(C198,""fr"",""en"")"),"My grandmother died and had a contract with you. My father didn't know, he died too. I have to settle his succession thank you for giving me contact.")</f>
        <v>My grandmother died and had a contract with you. My father didn't know, he died too. I have to settle his succession thank you for giving me contact.</v>
      </c>
    </row>
    <row r="199" ht="15.75" customHeight="1">
      <c r="A199" s="2">
        <v>1.0</v>
      </c>
      <c r="B199" s="2" t="s">
        <v>659</v>
      </c>
      <c r="C199" s="2" t="s">
        <v>660</v>
      </c>
      <c r="D199" s="2" t="s">
        <v>35</v>
      </c>
      <c r="E199" s="2" t="s">
        <v>207</v>
      </c>
      <c r="F199" s="2" t="s">
        <v>15</v>
      </c>
      <c r="G199" s="2" t="s">
        <v>661</v>
      </c>
      <c r="H199" s="2" t="s">
        <v>101</v>
      </c>
      <c r="I199" s="2" t="str">
        <f>IFERROR(__xludf.DUMMYFUNCTION("GOOGLETRANSLATE(C199,""fr"",""en"")"),"Hello member since the age of 18 First claim occurred on 3/03/2020, quote made during confinement to go faster 3500 euros, no expert sent but an expert who from his office located in Lyon (I live Next to St Gaudens Haute Garonne) which finds that the quot"&amp;"e is too expensive of 200 euros and which asks me to make another or accept its recommendations for a payment of 3200 euros. BRAVO what speed and what accuracy")</f>
        <v>Hello member since the age of 18 First claim occurred on 3/03/2020, quote made during confinement to go faster 3500 euros, no expert sent but an expert who from his office located in Lyon (I live Next to St Gaudens Haute Garonne) which finds that the quote is too expensive of 200 euros and which asks me to make another or accept its recommendations for a payment of 3200 euros. BRAVO what speed and what accuracy</v>
      </c>
    </row>
    <row r="200" ht="15.75" customHeight="1">
      <c r="A200" s="2">
        <v>4.0</v>
      </c>
      <c r="B200" s="2" t="s">
        <v>662</v>
      </c>
      <c r="C200" s="2" t="s">
        <v>663</v>
      </c>
      <c r="D200" s="2" t="s">
        <v>35</v>
      </c>
      <c r="E200" s="2" t="s">
        <v>21</v>
      </c>
      <c r="F200" s="2" t="s">
        <v>15</v>
      </c>
      <c r="G200" s="2" t="s">
        <v>506</v>
      </c>
      <c r="H200" s="2" t="s">
        <v>58</v>
      </c>
      <c r="I200" s="2" t="str">
        <f>IFERROR(__xludf.DUMMYFUNCTION("GOOGLETRANSLATE(C200,""fr"",""en"")"),"Following a car claims, super contact and speed of action, reminder at home despite confinement, and unchanged contract, I recommend.")</f>
        <v>Following a car claims, super contact and speed of action, reminder at home despite confinement, and unchanged contract, I recommend.</v>
      </c>
    </row>
    <row r="201" ht="15.75" customHeight="1">
      <c r="A201" s="2">
        <v>4.0</v>
      </c>
      <c r="B201" s="2" t="s">
        <v>664</v>
      </c>
      <c r="C201" s="2" t="s">
        <v>665</v>
      </c>
      <c r="D201" s="2" t="s">
        <v>277</v>
      </c>
      <c r="E201" s="2" t="s">
        <v>21</v>
      </c>
      <c r="F201" s="2" t="s">
        <v>15</v>
      </c>
      <c r="G201" s="2" t="s">
        <v>666</v>
      </c>
      <c r="H201" s="2" t="s">
        <v>667</v>
      </c>
      <c r="I201" s="2" t="str">
        <f>IFERROR(__xludf.DUMMYFUNCTION("GOOGLETRANSLATE(C201,""fr"",""en"")"),"Excellent customer service. Very good application.")</f>
        <v>Excellent customer service. Very good application.</v>
      </c>
    </row>
    <row r="202" ht="15.75" customHeight="1">
      <c r="A202" s="2">
        <v>1.0</v>
      </c>
      <c r="B202" s="2" t="s">
        <v>668</v>
      </c>
      <c r="C202" s="2" t="s">
        <v>669</v>
      </c>
      <c r="D202" s="2" t="s">
        <v>142</v>
      </c>
      <c r="E202" s="2" t="s">
        <v>261</v>
      </c>
      <c r="F202" s="2" t="s">
        <v>15</v>
      </c>
      <c r="G202" s="2" t="s">
        <v>670</v>
      </c>
      <c r="H202" s="2" t="s">
        <v>671</v>
      </c>
      <c r="I202" s="2" t="str">
        <f>IFERROR(__xludf.DUMMYFUNCTION("GOOGLETRANSLATE(C202,""fr"",""en"")"),"One of the lowest rates of life insurance, to flee if you want to open a new account.")</f>
        <v>One of the lowest rates of life insurance, to flee if you want to open a new account.</v>
      </c>
    </row>
    <row r="203" ht="15.75" customHeight="1">
      <c r="A203" s="2">
        <v>2.0</v>
      </c>
      <c r="B203" s="2" t="s">
        <v>672</v>
      </c>
      <c r="C203" s="2" t="s">
        <v>673</v>
      </c>
      <c r="D203" s="2" t="s">
        <v>35</v>
      </c>
      <c r="E203" s="2" t="s">
        <v>21</v>
      </c>
      <c r="F203" s="2" t="s">
        <v>15</v>
      </c>
      <c r="G203" s="2" t="s">
        <v>674</v>
      </c>
      <c r="H203" s="2" t="s">
        <v>70</v>
      </c>
      <c r="I203" s="2" t="str">
        <f>IFERROR(__xludf.DUMMYFUNCTION("GOOGLETRANSLATE(C203,""fr"",""en"")"),"The insurance certificate does not mention the model and the number of the car.
It would be good to modify the model you offer when we have to communicate this document to a third -party organization.")</f>
        <v>The insurance certificate does not mention the model and the number of the car.
It would be good to modify the model you offer when we have to communicate this document to a third -party organization.</v>
      </c>
    </row>
    <row r="204" ht="15.75" customHeight="1">
      <c r="A204" s="2">
        <v>5.0</v>
      </c>
      <c r="B204" s="2" t="s">
        <v>675</v>
      </c>
      <c r="C204" s="2" t="s">
        <v>676</v>
      </c>
      <c r="D204" s="2" t="s">
        <v>64</v>
      </c>
      <c r="E204" s="2" t="s">
        <v>21</v>
      </c>
      <c r="F204" s="2" t="s">
        <v>15</v>
      </c>
      <c r="G204" s="2" t="s">
        <v>560</v>
      </c>
      <c r="H204" s="2" t="s">
        <v>178</v>
      </c>
      <c r="I204" s="2" t="str">
        <f>IFERROR(__xludf.DUMMYFUNCTION("GOOGLETRANSLATE(C204,""fr"",""en"")"),"I am satisfied with the service
Clear information
Satisfactory price, I would recommend to my relatives and friends.
Reactive and professional
Courteous
Thank you...
")</f>
        <v>I am satisfied with the service
Clear information
Satisfactory price, I would recommend to my relatives and friends.
Reactive and professional
Courteous
Thank you...
</v>
      </c>
    </row>
    <row r="205" ht="15.75" customHeight="1">
      <c r="A205" s="2">
        <v>1.0</v>
      </c>
      <c r="B205" s="2" t="s">
        <v>677</v>
      </c>
      <c r="C205" s="2" t="s">
        <v>678</v>
      </c>
      <c r="D205" s="2" t="s">
        <v>95</v>
      </c>
      <c r="E205" s="2" t="s">
        <v>207</v>
      </c>
      <c r="F205" s="2" t="s">
        <v>15</v>
      </c>
      <c r="G205" s="2" t="s">
        <v>679</v>
      </c>
      <c r="H205" s="2" t="s">
        <v>178</v>
      </c>
      <c r="I205" s="2" t="str">
        <f>IFERROR(__xludf.DUMMYFUNCTION("GOOGLETRANSLATE(C205,""fr"",""en"")"),"The matmut she does not assure at all ... It's been 6 months now that a person returned to the wall of our house he is completely ripped off.
We have not received any refund to carry out the work of the opposing party, and the Matmut which represents us "&amp;"absolutely does not take care of our file alone in the world ... Next step Julien Gourbet ..")</f>
        <v>The matmut she does not assure at all ... It's been 6 months now that a person returned to the wall of our house he is completely ripped off.
We have not received any refund to carry out the work of the opposing party, and the Matmut which represents us absolutely does not take care of our file alone in the world ... Next step Julien Gourbet ..</v>
      </c>
    </row>
    <row r="206" ht="15.75" customHeight="1">
      <c r="A206" s="2">
        <v>5.0</v>
      </c>
      <c r="B206" s="2" t="s">
        <v>680</v>
      </c>
      <c r="C206" s="2" t="s">
        <v>681</v>
      </c>
      <c r="D206" s="2" t="s">
        <v>35</v>
      </c>
      <c r="E206" s="2" t="s">
        <v>21</v>
      </c>
      <c r="F206" s="2" t="s">
        <v>15</v>
      </c>
      <c r="G206" s="2" t="s">
        <v>682</v>
      </c>
      <c r="H206" s="2" t="s">
        <v>139</v>
      </c>
      <c r="I206" s="2" t="str">
        <f>IFERROR(__xludf.DUMMYFUNCTION("GOOGLETRANSLATE(C206,""fr"",""en"")"),"We have always been very satisfied with the GMF. We have undergone a scooter flight and three non-resident accidents and everything has always gone very well.")</f>
        <v>We have always been very satisfied with the GMF. We have undergone a scooter flight and three non-resident accidents and everything has always gone very well.</v>
      </c>
    </row>
    <row r="207" ht="15.75" customHeight="1">
      <c r="A207" s="2">
        <v>1.0</v>
      </c>
      <c r="B207" s="2" t="s">
        <v>683</v>
      </c>
      <c r="C207" s="2" t="s">
        <v>684</v>
      </c>
      <c r="D207" s="2" t="s">
        <v>142</v>
      </c>
      <c r="E207" s="2" t="s">
        <v>207</v>
      </c>
      <c r="F207" s="2" t="s">
        <v>15</v>
      </c>
      <c r="G207" s="2" t="s">
        <v>685</v>
      </c>
      <c r="H207" s="2" t="s">
        <v>45</v>
      </c>
      <c r="I207" s="2" t="str">
        <f>IFERROR(__xludf.DUMMYFUNCTION("GOOGLETRANSLATE(C207,""fr"",""en"")"),"If I could put 0 I put it! Igne of exotic insurance ... Personally customer for 25 years and all my family historically for even longer.
Following 1 sinister on building glazing, bounces an apology in apologies each time the document proves the opposite,"&amp;" so as not to reimburse in the end.
The emails are neither received nor transmitted to the experts, a sweet waiting melody that hinds you up after a few minutes of waiting, only happiness. I did not expect this treatment from a mutual insurer
Run away !"&amp;"!!")</f>
        <v>If I could put 0 I put it! Igne of exotic insurance ... Personally customer for 25 years and all my family historically for even longer.
Following 1 sinister on building glazing, bounces an apology in apologies each time the document proves the opposite, so as not to reimburse in the end.
The emails are neither received nor transmitted to the experts, a sweet waiting melody that hinds you up after a few minutes of waiting, only happiness. I did not expect this treatment from a mutual insurer
Run away !!!</v>
      </c>
    </row>
    <row r="208" ht="15.75" customHeight="1">
      <c r="A208" s="2">
        <v>4.0</v>
      </c>
      <c r="B208" s="2" t="s">
        <v>686</v>
      </c>
      <c r="C208" s="2" t="s">
        <v>687</v>
      </c>
      <c r="D208" s="2" t="s">
        <v>155</v>
      </c>
      <c r="E208" s="2" t="s">
        <v>21</v>
      </c>
      <c r="F208" s="2" t="s">
        <v>15</v>
      </c>
      <c r="G208" s="2" t="s">
        <v>688</v>
      </c>
      <c r="H208" s="2" t="s">
        <v>112</v>
      </c>
      <c r="I208" s="2" t="str">
        <f>IFERROR(__xludf.DUMMYFUNCTION("GOOGLETRANSLATE(C208,""fr"",""en"")"),"I have been insuring for over a year; No claims no particular problems, so I noted in positive. Pending one day will not happen a claim and I would come back to give my opinion ....")</f>
        <v>I have been insuring for over a year; No claims no particular problems, so I noted in positive. Pending one day will not happen a claim and I would come back to give my opinion ....</v>
      </c>
    </row>
    <row r="209" ht="15.75" customHeight="1">
      <c r="A209" s="2">
        <v>5.0</v>
      </c>
      <c r="B209" s="2" t="s">
        <v>689</v>
      </c>
      <c r="C209" s="2" t="s">
        <v>690</v>
      </c>
      <c r="D209" s="2" t="s">
        <v>64</v>
      </c>
      <c r="E209" s="2" t="s">
        <v>21</v>
      </c>
      <c r="F209" s="2" t="s">
        <v>15</v>
      </c>
      <c r="G209" s="2" t="s">
        <v>411</v>
      </c>
      <c r="H209" s="2" t="s">
        <v>89</v>
      </c>
      <c r="I209" s="2" t="str">
        <f>IFERROR(__xludf.DUMMYFUNCTION("GOOGLETRANSLATE(C209,""fr"",""en"")"),"Very satisfied with your professionalism and your listening. Telephone interview as well as the time you give you to put yourself in order in terms of documents. Thank you.")</f>
        <v>Very satisfied with your professionalism and your listening. Telephone interview as well as the time you give you to put yourself in order in terms of documents. Thank you.</v>
      </c>
    </row>
    <row r="210" ht="15.75" customHeight="1">
      <c r="A210" s="2">
        <v>1.0</v>
      </c>
      <c r="B210" s="2" t="s">
        <v>691</v>
      </c>
      <c r="C210" s="2" t="s">
        <v>692</v>
      </c>
      <c r="D210" s="2" t="s">
        <v>200</v>
      </c>
      <c r="E210" s="2" t="s">
        <v>21</v>
      </c>
      <c r="F210" s="2" t="s">
        <v>15</v>
      </c>
      <c r="G210" s="2" t="s">
        <v>693</v>
      </c>
      <c r="H210" s="2" t="s">
        <v>694</v>
      </c>
      <c r="I210" s="2" t="str">
        <f>IFERROR(__xludf.DUMMYFUNCTION("GOOGLETRANSLATE(C210,""fr"",""en"")"),"I think I go to the headquarters person can send me my contract signed c my right I am only transmitted to me contracts without my signature so I am not at home I pay 130 e in all risk g No assistance But where we see that is a joke")</f>
        <v>I think I go to the headquarters person can send me my contract signed c my right I am only transmitted to me contracts without my signature so I am not at home I pay 130 e in all risk g No assistance But where we see that is a joke</v>
      </c>
    </row>
    <row r="211" ht="15.75" customHeight="1">
      <c r="A211" s="2">
        <v>1.0</v>
      </c>
      <c r="B211" s="2" t="s">
        <v>695</v>
      </c>
      <c r="C211" s="2" t="s">
        <v>696</v>
      </c>
      <c r="D211" s="2" t="s">
        <v>225</v>
      </c>
      <c r="E211" s="2" t="s">
        <v>261</v>
      </c>
      <c r="F211" s="2" t="s">
        <v>15</v>
      </c>
      <c r="G211" s="2" t="s">
        <v>697</v>
      </c>
      <c r="H211" s="2" t="s">
        <v>428</v>
      </c>
      <c r="I211" s="2" t="str">
        <f>IFERROR(__xludf.DUMMYFUNCTION("GOOGLETRANSLATE(C211,""fr"",""en"")"),"Impossible to reach the advisers to proceed to the total buyout. Attitude of people lacking in professionalism !!! Do not answer the phone or emails !!
How to complete the required documents without help from an advisor?")</f>
        <v>Impossible to reach the advisers to proceed to the total buyout. Attitude of people lacking in professionalism !!! Do not answer the phone or emails !!
How to complete the required documents without help from an advisor?</v>
      </c>
    </row>
    <row r="212" ht="15.75" customHeight="1">
      <c r="A212" s="2">
        <v>3.0</v>
      </c>
      <c r="B212" s="2" t="s">
        <v>698</v>
      </c>
      <c r="C212" s="2" t="s">
        <v>699</v>
      </c>
      <c r="D212" s="2" t="s">
        <v>64</v>
      </c>
      <c r="E212" s="2" t="s">
        <v>21</v>
      </c>
      <c r="F212" s="2" t="s">
        <v>15</v>
      </c>
      <c r="G212" s="2" t="s">
        <v>700</v>
      </c>
      <c r="H212" s="2" t="s">
        <v>17</v>
      </c>
      <c r="I212" s="2" t="str">
        <f>IFERROR(__xludf.DUMMYFUNCTION("GOOGLETRANSLATE(C212,""fr"",""en"")"),"Hello, my name is Adam, I'm satisfied with the service, but I would like to pay a little less like I have 2 vehicles that are insure the olive tree, otherwise you are simple sometimes, but sometimes hard to have what 'We would like. Otherwise I am satisfi"&amp;"ed")</f>
        <v>Hello, my name is Adam, I'm satisfied with the service, but I would like to pay a little less like I have 2 vehicles that are insure the olive tree, otherwise you are simple sometimes, but sometimes hard to have what 'We would like. Otherwise I am satisfied</v>
      </c>
    </row>
    <row r="213" ht="15.75" customHeight="1">
      <c r="A213" s="2">
        <v>3.0</v>
      </c>
      <c r="B213" s="2" t="s">
        <v>701</v>
      </c>
      <c r="C213" s="2" t="s">
        <v>702</v>
      </c>
      <c r="D213" s="2" t="s">
        <v>64</v>
      </c>
      <c r="E213" s="2" t="s">
        <v>21</v>
      </c>
      <c r="F213" s="2" t="s">
        <v>15</v>
      </c>
      <c r="G213" s="2" t="s">
        <v>703</v>
      </c>
      <c r="H213" s="2" t="s">
        <v>17</v>
      </c>
      <c r="I213" s="2" t="str">
        <f>IFERROR(__xludf.DUMMYFUNCTION("GOOGLETRANSLATE(C213,""fr"",""en"")"),"Your advisers, RES, are very professional, pleasant, and patients for my case anyway ??
Of course, I am courteous and respect the work of others.
Cordially
")</f>
        <v>Your advisers, RES, are very professional, pleasant, and patients for my case anyway ??
Of course, I am courteous and respect the work of others.
Cordially
</v>
      </c>
    </row>
    <row r="214" ht="15.75" customHeight="1">
      <c r="A214" s="2">
        <v>2.0</v>
      </c>
      <c r="B214" s="2" t="s">
        <v>704</v>
      </c>
      <c r="C214" s="2" t="s">
        <v>705</v>
      </c>
      <c r="D214" s="2" t="s">
        <v>155</v>
      </c>
      <c r="E214" s="2" t="s">
        <v>21</v>
      </c>
      <c r="F214" s="2" t="s">
        <v>15</v>
      </c>
      <c r="G214" s="2" t="s">
        <v>706</v>
      </c>
      <c r="H214" s="2" t="s">
        <v>139</v>
      </c>
      <c r="I214" s="2" t="str">
        <f>IFERROR(__xludf.DUMMYFUNCTION("GOOGLETRANSLATE(C214,""fr"",""en"")"),"Very bad experience ... Unfortunately it is in the difficulty that we recognize his real friends, but also a good insurer! This insurance if you break down will do everything in its power to minimize the invoice even if it means making you struggle as it "&amp;"was my case.
Indeed I broke down with my vehicle and the trailer 200 kilometers from my home ... Appeal insurance the highway convenience store and they tell me that I have the right to a troubleshooting package of 240 euros and that the surplus will be "&amp;"on my duty ! First nice surprise and not the last. Arrived from the convenience store and towing to its deposit outside the highway and obviously the package to which I have the right is completely reached ... So more possibility of care by insurance from"&amp;" this moment! I let you guess who will put your hand in your pocket to repatriate a vehicle 200 terminals from his home ... Then I had to repatriate me to my home and the of course another magnificent surprise, Aviva announces to me without blinking that "&amp;"I am entitled to 50 euros of taxi ... I let you admire the joke! They then offer to take the train with 3 correspondence via Paris .... an extension therefore of 200 kilometers and a hassle of more than 7 hours to wait for the various trains.
In conclusi"&amp;"on I strongly advise you against this company because if you are in the hassle, do not count on them and prepare to suffer with woman and children ... My 3 contracts at home will be terminated from the start of the school year for me to read All the small"&amp;" lines of the competition contracts ...")</f>
        <v>Very bad experience ... Unfortunately it is in the difficulty that we recognize his real friends, but also a good insurer! This insurance if you break down will do everything in its power to minimize the invoice even if it means making you struggle as it was my case.
Indeed I broke down with my vehicle and the trailer 200 kilometers from my home ... Appeal insurance the highway convenience store and they tell me that I have the right to a troubleshooting package of 240 euros and that the surplus will be on my duty ! First nice surprise and not the last. Arrived from the convenience store and towing to its deposit outside the highway and obviously the package to which I have the right is completely reached ... So more possibility of care by insurance from this moment! I let you guess who will put your hand in your pocket to repatriate a vehicle 200 terminals from his home ... Then I had to repatriate me to my home and the of course another magnificent surprise, Aviva announces to me without blinking that I am entitled to 50 euros of taxi ... I let you admire the joke! They then offer to take the train with 3 correspondence via Paris .... an extension therefore of 200 kilometers and a hassle of more than 7 hours to wait for the various trains.
In conclusion I strongly advise you against this company because if you are in the hassle, do not count on them and prepare to suffer with woman and children ... My 3 contracts at home will be terminated from the start of the school year for me to read All the small lines of the competition contracts ...</v>
      </c>
    </row>
    <row r="215" ht="15.75" customHeight="1">
      <c r="A215" s="2">
        <v>1.0</v>
      </c>
      <c r="B215" s="2" t="s">
        <v>707</v>
      </c>
      <c r="C215" s="2" t="s">
        <v>708</v>
      </c>
      <c r="D215" s="2" t="s">
        <v>709</v>
      </c>
      <c r="E215" s="2" t="s">
        <v>14</v>
      </c>
      <c r="F215" s="2" t="s">
        <v>15</v>
      </c>
      <c r="G215" s="2" t="s">
        <v>706</v>
      </c>
      <c r="H215" s="2" t="s">
        <v>139</v>
      </c>
      <c r="I215" s="2" t="str">
        <f>IFERROR(__xludf.DUMMYFUNCTION("GOOGLETRANSLATE(C215,""fr"",""en"")"),"MGEN SOLUTIONS FOR ENSOS OF EUROS
If note 0 existed I would put it:
- telephone interlocutors who answer ""I transmit"" .... and it happens ... nothing, despite several recovery (when they do not lie to tell you ""I remind you today""
- 2 months for th"&amp;"e implementation of portability! And again it was the employer who intervened
- a refund that we have been waiting for for 2 months .... ""it's in progress""
- an Ameli remote transmission and no one knows why
- mail reminders or on their internet mess"&amp;"aging without answers
Who can tell me what to do?
I am recommended with ar")</f>
        <v>MGEN SOLUTIONS FOR ENSOS OF EUROS
If note 0 existed I would put it:
- telephone interlocutors who answer "I transmit" .... and it happens ... nothing, despite several recovery (when they do not lie to tell you "I remind you today"
- 2 months for the implementation of portability! And again it was the employer who intervened
- a refund that we have been waiting for for 2 months .... "it's in progress"
- an Ameli remote transmission and no one knows why
- mail reminders or on their internet messaging without answers
Who can tell me what to do?
I am recommended with ar</v>
      </c>
    </row>
    <row r="216" ht="15.75" customHeight="1">
      <c r="A216" s="2">
        <v>2.0</v>
      </c>
      <c r="B216" s="2" t="s">
        <v>710</v>
      </c>
      <c r="C216" s="2" t="s">
        <v>711</v>
      </c>
      <c r="D216" s="2" t="s">
        <v>260</v>
      </c>
      <c r="E216" s="2" t="s">
        <v>450</v>
      </c>
      <c r="F216" s="2" t="s">
        <v>15</v>
      </c>
      <c r="G216" s="2" t="s">
        <v>712</v>
      </c>
      <c r="H216" s="2" t="s">
        <v>195</v>
      </c>
      <c r="I216" s="2" t="str">
        <f>IFERROR(__xludf.DUMMYFUNCTION("GOOGLETRANSLATE(C216,""fr"",""en"")"),"Hello, Following several surgical interventions with complications and radiotherapy between 2013 and 2015 (brain tumor), I am today in CAT 2 CPAM, recognized disabled worker with important sequelae on the right leg as well as untenable headaches in case t"&amp;"oo big fatigue or stress.
In January 2016 a doctor commissioned by the insurance concluded his report by a possible stabilization in 2 to 3 years. In December of the same year, new expertise with another ""pseudo"" doctor who decides to consolidate me. A"&amp;"nti-epileptic following a crisis in 2014 (1 SEM after a heavy intervention), I cannot resume my professional activity. Indeed, as a heavyweight driver and always an employee of my company, the revalidation of my PL per permits may be considered that after"&amp;" weaning this treatment.
My neurologist plans to consider this possibility in May 2018. I therefore consider myself in total temporary incapacity for work and not stabilized since with the agreement of my doctor I started to reduce the dosage of this med"&amp;"ication to be able to resume my activity At the earliest. I intend to transmit my file to a lawyer and a consumer association in view of certainly contradictory clauses in the membership notice. For 4 years I fight against the disease, to revalidate my pr"&amp;"ofessional permits (I recover My VL license will understand), I will now fight to assert my rights.")</f>
        <v>Hello, Following several surgical interventions with complications and radiotherapy between 2013 and 2015 (brain tumor), I am today in CAT 2 CPAM, recognized disabled worker with important sequelae on the right leg as well as untenable headaches in case too big fatigue or stress.
In January 2016 a doctor commissioned by the insurance concluded his report by a possible stabilization in 2 to 3 years. In December of the same year, new expertise with another "pseudo" doctor who decides to consolidate me. Anti-epileptic following a crisis in 2014 (1 SEM after a heavy intervention), I cannot resume my professional activity. Indeed, as a heavyweight driver and always an employee of my company, the revalidation of my PL per permits may be considered that after weaning this treatment.
My neurologist plans to consider this possibility in May 2018. I therefore consider myself in total temporary incapacity for work and not stabilized since with the agreement of my doctor I started to reduce the dosage of this medication to be able to resume my activity At the earliest. I intend to transmit my file to a lawyer and a consumer association in view of certainly contradictory clauses in the membership notice. For 4 years I fight against the disease, to revalidate my professional permits (I recover My VL license will understand), I will now fight to assert my rights.</v>
      </c>
    </row>
    <row r="217" ht="15.75" customHeight="1">
      <c r="A217" s="2">
        <v>1.0</v>
      </c>
      <c r="B217" s="2" t="s">
        <v>713</v>
      </c>
      <c r="C217" s="2" t="s">
        <v>714</v>
      </c>
      <c r="D217" s="2" t="s">
        <v>715</v>
      </c>
      <c r="E217" s="2" t="s">
        <v>14</v>
      </c>
      <c r="F217" s="2" t="s">
        <v>15</v>
      </c>
      <c r="G217" s="2" t="s">
        <v>335</v>
      </c>
      <c r="H217" s="2" t="s">
        <v>23</v>
      </c>
      <c r="I217" s="2" t="str">
        <f>IFERROR(__xludf.DUMMYFUNCTION("GOOGLETRANSLATE(C217,""fr"",""en"")"),"Mutuelle Mercer is to flee !!!!!!!!!!!!!!!!!
The 3 such provided on a map send you on their computer site or the person can do nothing for you! No advisor available!
Refunds are not treated in ex + 4 months of waiting !!!!!!!!!!")</f>
        <v>Mutuelle Mercer is to flee !!!!!!!!!!!!!!!!!
The 3 such provided on a map send you on their computer site or the person can do nothing for you! No advisor available!
Refunds are not treated in ex + 4 months of waiting !!!!!!!!!!</v>
      </c>
    </row>
    <row r="218" ht="15.75" customHeight="1">
      <c r="A218" s="2">
        <v>2.0</v>
      </c>
      <c r="B218" s="2" t="s">
        <v>716</v>
      </c>
      <c r="C218" s="2" t="s">
        <v>717</v>
      </c>
      <c r="D218" s="2" t="s">
        <v>68</v>
      </c>
      <c r="E218" s="2" t="s">
        <v>14</v>
      </c>
      <c r="F218" s="2" t="s">
        <v>15</v>
      </c>
      <c r="G218" s="2" t="s">
        <v>81</v>
      </c>
      <c r="H218" s="2" t="s">
        <v>182</v>
      </c>
      <c r="I218" s="2" t="str">
        <f>IFERROR(__xludf.DUMMYFUNCTION("GOOGLETRANSLATE(C218,""fr"",""en"")"),"No respect for the insured, does not respond to messages left on the personal space. The reimbursements drag for no reason ... refunded drugs to the pharmacist but for the TM of the consultation nothing ...")</f>
        <v>No respect for the insured, does not respond to messages left on the personal space. The reimbursements drag for no reason ... refunded drugs to the pharmacist but for the TM of the consultation nothing ...</v>
      </c>
    </row>
    <row r="219" ht="15.75" customHeight="1">
      <c r="A219" s="2">
        <v>1.0</v>
      </c>
      <c r="B219" s="2" t="s">
        <v>718</v>
      </c>
      <c r="C219" s="2" t="s">
        <v>719</v>
      </c>
      <c r="D219" s="2" t="s">
        <v>269</v>
      </c>
      <c r="E219" s="2" t="s">
        <v>207</v>
      </c>
      <c r="F219" s="2" t="s">
        <v>15</v>
      </c>
      <c r="G219" s="2" t="s">
        <v>720</v>
      </c>
      <c r="H219" s="2" t="s">
        <v>89</v>
      </c>
      <c r="I219" s="2" t="str">
        <f>IFERROR(__xludf.DUMMYFUNCTION("GOOGLETRANSLATE(C219,""fr"",""en"")"),"Whether for home insurance or legal protection, change without delay.
Legal protection The worst on the market, they wander from one expertise to another, while going through a lawyer who obviously does not listen to you.
Yet documents and a bailiff's r"&amp;"eport in support !!!
Beware if they offer you dependence insurance (garage) in addition to your multi-risk home. During your change of insurer, the contract in question may not be terminated and you will continue to pay the ACM dependence contract!
Créd"&amp;"it Mutuel is a bank and not an insurer!")</f>
        <v>Whether for home insurance or legal protection, change without delay.
Legal protection The worst on the market, they wander from one expertise to another, while going through a lawyer who obviously does not listen to you.
Yet documents and a bailiff's report in support !!!
Beware if they offer you dependence insurance (garage) in addition to your multi-risk home. During your change of insurer, the contract in question may not be terminated and you will continue to pay the ACM dependence contract!
Crédit Mutuel is a bank and not an insurer!</v>
      </c>
    </row>
    <row r="220" ht="15.75" customHeight="1">
      <c r="A220" s="2">
        <v>5.0</v>
      </c>
      <c r="B220" s="2" t="s">
        <v>721</v>
      </c>
      <c r="C220" s="2" t="s">
        <v>722</v>
      </c>
      <c r="D220" s="2" t="s">
        <v>64</v>
      </c>
      <c r="E220" s="2" t="s">
        <v>21</v>
      </c>
      <c r="F220" s="2" t="s">
        <v>15</v>
      </c>
      <c r="G220" s="2" t="s">
        <v>582</v>
      </c>
      <c r="H220" s="2" t="s">
        <v>45</v>
      </c>
      <c r="I220" s="2" t="str">
        <f>IFERROR(__xludf.DUMMYFUNCTION("GOOGLETRANSLATE(C220,""fr"",""en"")"),"The prices are competitive, the subscription, whether online or by phone, is relatively simple and intuitive. For the moment, I'm satisfied!")</f>
        <v>The prices are competitive, the subscription, whether online or by phone, is relatively simple and intuitive. For the moment, I'm satisfied!</v>
      </c>
    </row>
    <row r="221" ht="15.75" customHeight="1">
      <c r="A221" s="2">
        <v>4.0</v>
      </c>
      <c r="B221" s="2" t="s">
        <v>723</v>
      </c>
      <c r="C221" s="2" t="s">
        <v>724</v>
      </c>
      <c r="D221" s="2" t="s">
        <v>64</v>
      </c>
      <c r="E221" s="2" t="s">
        <v>21</v>
      </c>
      <c r="F221" s="2" t="s">
        <v>15</v>
      </c>
      <c r="G221" s="2" t="s">
        <v>725</v>
      </c>
      <c r="H221" s="2" t="s">
        <v>89</v>
      </c>
      <c r="I221" s="2" t="str">
        <f>IFERROR(__xludf.DUMMYFUNCTION("GOOGLETRANSLATE(C221,""fr"",""en"")"),"The prices offered by the comparator site displays only basic prices, but overall, value for money/ are quite reasonable")</f>
        <v>The prices offered by the comparator site displays only basic prices, but overall, value for money/ are quite reasonable</v>
      </c>
    </row>
    <row r="222" ht="15.75" customHeight="1">
      <c r="A222" s="2">
        <v>3.0</v>
      </c>
      <c r="B222" s="2" t="s">
        <v>726</v>
      </c>
      <c r="C222" s="2" t="s">
        <v>727</v>
      </c>
      <c r="D222" s="2" t="s">
        <v>13</v>
      </c>
      <c r="E222" s="2" t="s">
        <v>14</v>
      </c>
      <c r="F222" s="2" t="s">
        <v>15</v>
      </c>
      <c r="G222" s="2" t="s">
        <v>728</v>
      </c>
      <c r="H222" s="2" t="s">
        <v>439</v>
      </c>
      <c r="I222" s="2" t="str">
        <f>IFERROR(__xludf.DUMMYFUNCTION("GOOGLETRANSLATE(C222,""fr"",""en"")"),"Hello very professional advisor Nelly has met all my expectations")</f>
        <v>Hello very professional advisor Nelly has met all my expectations</v>
      </c>
    </row>
    <row r="223" ht="15.75" customHeight="1">
      <c r="A223" s="2">
        <v>4.0</v>
      </c>
      <c r="B223" s="2" t="s">
        <v>729</v>
      </c>
      <c r="C223" s="2" t="s">
        <v>730</v>
      </c>
      <c r="D223" s="2" t="s">
        <v>20</v>
      </c>
      <c r="E223" s="2" t="s">
        <v>21</v>
      </c>
      <c r="F223" s="2" t="s">
        <v>15</v>
      </c>
      <c r="G223" s="2" t="s">
        <v>335</v>
      </c>
      <c r="H223" s="2" t="s">
        <v>23</v>
      </c>
      <c r="I223" s="2" t="str">
        <f>IFERROR(__xludf.DUMMYFUNCTION("GOOGLETRANSLATE(C223,""fr"",""en"")"),"I found the prices very attractive compared to our old insurance. Obtaining a quote and termination / transfer procedures are simple.")</f>
        <v>I found the prices very attractive compared to our old insurance. Obtaining a quote and termination / transfer procedures are simple.</v>
      </c>
    </row>
    <row r="224" ht="15.75" customHeight="1">
      <c r="A224" s="2">
        <v>5.0</v>
      </c>
      <c r="B224" s="2" t="s">
        <v>731</v>
      </c>
      <c r="C224" s="2" t="s">
        <v>732</v>
      </c>
      <c r="D224" s="2" t="s">
        <v>78</v>
      </c>
      <c r="E224" s="2" t="s">
        <v>79</v>
      </c>
      <c r="F224" s="2" t="s">
        <v>15</v>
      </c>
      <c r="G224" s="2" t="s">
        <v>733</v>
      </c>
      <c r="H224" s="2" t="s">
        <v>139</v>
      </c>
      <c r="I224" s="2" t="str">
        <f>IFERROR(__xludf.DUMMYFUNCTION("GOOGLETRANSLATE(C224,""fr"",""en"")"),"Satisfied very fast and well organized in a minimum of time immediate response and the price is very attractive in relation to the protections I recommend.")</f>
        <v>Satisfied very fast and well organized in a minimum of time immediate response and the price is very attractive in relation to the protections I recommend.</v>
      </c>
    </row>
    <row r="225" ht="15.75" customHeight="1">
      <c r="A225" s="2">
        <v>5.0</v>
      </c>
      <c r="B225" s="2" t="s">
        <v>734</v>
      </c>
      <c r="C225" s="2" t="s">
        <v>735</v>
      </c>
      <c r="D225" s="2" t="s">
        <v>64</v>
      </c>
      <c r="E225" s="2" t="s">
        <v>21</v>
      </c>
      <c r="F225" s="2" t="s">
        <v>15</v>
      </c>
      <c r="G225" s="2" t="s">
        <v>736</v>
      </c>
      <c r="H225" s="2" t="s">
        <v>58</v>
      </c>
      <c r="I225" s="2" t="str">
        <f>IFERROR(__xludf.DUMMYFUNCTION("GOOGLETRANSLATE(C225,""fr"",""en"")"),"I am I am very happy to have found insurance like Olivier Insurance very good treatment treatment and immediate response of my insurance contract thank you")</f>
        <v>I am I am very happy to have found insurance like Olivier Insurance very good treatment treatment and immediate response of my insurance contract thank you</v>
      </c>
    </row>
    <row r="226" ht="15.75" customHeight="1">
      <c r="A226" s="2">
        <v>4.0</v>
      </c>
      <c r="B226" s="2" t="s">
        <v>737</v>
      </c>
      <c r="C226" s="2" t="s">
        <v>738</v>
      </c>
      <c r="D226" s="2" t="s">
        <v>78</v>
      </c>
      <c r="E226" s="2" t="s">
        <v>79</v>
      </c>
      <c r="F226" s="2" t="s">
        <v>15</v>
      </c>
      <c r="G226" s="2" t="s">
        <v>411</v>
      </c>
      <c r="H226" s="2" t="s">
        <v>89</v>
      </c>
      <c r="I226" s="2" t="str">
        <f>IFERROR(__xludf.DUMMYFUNCTION("GOOGLETRANSLATE(C226,""fr"",""en"")"),"Practical, complete and simple, well placed in terms of price compared to conditions, I would see if the information by Internet is fast and precise")</f>
        <v>Practical, complete and simple, well placed in terms of price compared to conditions, I would see if the information by Internet is fast and precise</v>
      </c>
    </row>
    <row r="227" ht="15.75" customHeight="1">
      <c r="A227" s="2">
        <v>1.0</v>
      </c>
      <c r="B227" s="2" t="s">
        <v>739</v>
      </c>
      <c r="C227" s="2" t="s">
        <v>740</v>
      </c>
      <c r="D227" s="2" t="s">
        <v>20</v>
      </c>
      <c r="E227" s="2" t="s">
        <v>21</v>
      </c>
      <c r="F227" s="2" t="s">
        <v>15</v>
      </c>
      <c r="G227" s="2" t="s">
        <v>741</v>
      </c>
      <c r="H227" s="2" t="s">
        <v>742</v>
      </c>
      <c r="I227" s="2" t="str">
        <f>IFERROR(__xludf.DUMMYFUNCTION("GOOGLETRANSLATE(C227,""fr"",""en"")"),"I was terminated for a refused levy that was paid for tomorrow is how its customers can say we say we receive a recommended and we want to know anything anymore")</f>
        <v>I was terminated for a refused levy that was paid for tomorrow is how its customers can say we say we receive a recommended and we want to know anything anymore</v>
      </c>
    </row>
    <row r="228" ht="15.75" customHeight="1">
      <c r="A228" s="2">
        <v>1.0</v>
      </c>
      <c r="B228" s="2" t="s">
        <v>743</v>
      </c>
      <c r="C228" s="2" t="s">
        <v>744</v>
      </c>
      <c r="D228" s="2" t="s">
        <v>95</v>
      </c>
      <c r="E228" s="2" t="s">
        <v>207</v>
      </c>
      <c r="F228" s="2" t="s">
        <v>15</v>
      </c>
      <c r="G228" s="2" t="s">
        <v>745</v>
      </c>
      <c r="H228" s="2" t="s">
        <v>37</v>
      </c>
      <c r="I228" s="2" t="str">
        <f>IFERROR(__xludf.DUMMYFUNCTION("GOOGLETRANSLATE(C228,""fr"",""en"")"),"To flee a sinister for 1 year no telephone answers or to the email send we always come across a vocal server which tells us that they will remind you of its fact at least 8 months it is unacceptable the management and non -existent service I wonder if it "&amp;"exists")</f>
        <v>To flee a sinister for 1 year no telephone answers or to the email send we always come across a vocal server which tells us that they will remind you of its fact at least 8 months it is unacceptable the management and non -existent service I wonder if it exists</v>
      </c>
    </row>
    <row r="229" ht="15.75" customHeight="1">
      <c r="A229" s="2">
        <v>3.0</v>
      </c>
      <c r="B229" s="2" t="s">
        <v>746</v>
      </c>
      <c r="C229" s="2" t="s">
        <v>747</v>
      </c>
      <c r="D229" s="2" t="s">
        <v>20</v>
      </c>
      <c r="E229" s="2" t="s">
        <v>21</v>
      </c>
      <c r="F229" s="2" t="s">
        <v>15</v>
      </c>
      <c r="G229" s="2" t="s">
        <v>748</v>
      </c>
      <c r="H229" s="2" t="s">
        <v>178</v>
      </c>
      <c r="I229" s="2" t="str">
        <f>IFERROR(__xludf.DUMMYFUNCTION("GOOGLETRANSLATE(C229,""fr"",""en"")"),"The sampling dates are not scrupulously respected after a telephone interview told me that I owe nothing, however, I receive an email that I owe 54 euros I am disappointed")</f>
        <v>The sampling dates are not scrupulously respected after a telephone interview told me that I owe nothing, however, I receive an email that I owe 54 euros I am disappointed</v>
      </c>
    </row>
    <row r="230" ht="15.75" customHeight="1">
      <c r="A230" s="2">
        <v>5.0</v>
      </c>
      <c r="B230" s="2" t="s">
        <v>749</v>
      </c>
      <c r="C230" s="2" t="s">
        <v>750</v>
      </c>
      <c r="D230" s="2" t="s">
        <v>20</v>
      </c>
      <c r="E230" s="2" t="s">
        <v>21</v>
      </c>
      <c r="F230" s="2" t="s">
        <v>15</v>
      </c>
      <c r="G230" s="2" t="s">
        <v>751</v>
      </c>
      <c r="H230" s="2" t="s">
        <v>89</v>
      </c>
      <c r="I230" s="2" t="str">
        <f>IFERROR(__xludf.DUMMYFUNCTION("GOOGLETRANSLATE(C230,""fr"",""en"")"),"Very fast and reasonable price I am satisfied with my registration on the very well done and efficient site The subscription offers are very well explained")</f>
        <v>Very fast and reasonable price I am satisfied with my registration on the very well done and efficient site The subscription offers are very well explained</v>
      </c>
    </row>
    <row r="231" ht="15.75" customHeight="1">
      <c r="A231" s="2">
        <v>5.0</v>
      </c>
      <c r="B231" s="2" t="s">
        <v>752</v>
      </c>
      <c r="C231" s="2" t="s">
        <v>753</v>
      </c>
      <c r="D231" s="2" t="s">
        <v>64</v>
      </c>
      <c r="E231" s="2" t="s">
        <v>21</v>
      </c>
      <c r="F231" s="2" t="s">
        <v>15</v>
      </c>
      <c r="G231" s="2" t="s">
        <v>754</v>
      </c>
      <c r="H231" s="2" t="s">
        <v>17</v>
      </c>
      <c r="I231" s="2" t="str">
        <f>IFERROR(__xludf.DUMMYFUNCTION("GOOGLETRANSLATE(C231,""fr"",""en"")"),"I am satisfied with service The prices are very affordable for the prices of the services and the insurance order thank you very much for the prices thank you thank you")</f>
        <v>I am satisfied with service The prices are very affordable for the prices of the services and the insurance order thank you very much for the prices thank you thank you</v>
      </c>
    </row>
    <row r="232" ht="15.75" customHeight="1">
      <c r="A232" s="2">
        <v>1.0</v>
      </c>
      <c r="B232" s="2" t="s">
        <v>755</v>
      </c>
      <c r="C232" s="2" t="s">
        <v>756</v>
      </c>
      <c r="D232" s="2" t="s">
        <v>757</v>
      </c>
      <c r="E232" s="2" t="s">
        <v>14</v>
      </c>
      <c r="F232" s="2" t="s">
        <v>15</v>
      </c>
      <c r="G232" s="2" t="s">
        <v>143</v>
      </c>
      <c r="H232" s="2" t="s">
        <v>45</v>
      </c>
      <c r="I232" s="2" t="str">
        <f>IFERROR(__xludf.DUMMYFUNCTION("GOOGLETRANSLATE(C232,""fr"",""en"")"),"Impossible to contact them, do not answer on the phone (more than 1:30 am waiting in the middle of the day and automaton that ends up hanging up). No answer via the online customer area either (request sent 20 days ago and stayed unanswered ...). We canno"&amp;"t do more incompetent.")</f>
        <v>Impossible to contact them, do not answer on the phone (more than 1:30 am waiting in the middle of the day and automaton that ends up hanging up). No answer via the online customer area either (request sent 20 days ago and stayed unanswered ...). We cannot do more incompetent.</v>
      </c>
    </row>
    <row r="233" ht="15.75" customHeight="1">
      <c r="A233" s="2">
        <v>2.0</v>
      </c>
      <c r="B233" s="2" t="s">
        <v>758</v>
      </c>
      <c r="C233" s="2" t="s">
        <v>759</v>
      </c>
      <c r="D233" s="2" t="s">
        <v>20</v>
      </c>
      <c r="E233" s="2" t="s">
        <v>21</v>
      </c>
      <c r="F233" s="2" t="s">
        <v>15</v>
      </c>
      <c r="G233" s="2" t="s">
        <v>706</v>
      </c>
      <c r="H233" s="2" t="s">
        <v>139</v>
      </c>
      <c r="I233" s="2" t="str">
        <f>IFERROR(__xludf.DUMMYFUNCTION("GOOGLETRANSLATE(C233,""fr"",""en"")"),"I am satisfied with the warranty but for the price I find that each year my price, however, is already increasing customer with good seniority difficult to understand the increase.")</f>
        <v>I am satisfied with the warranty but for the price I find that each year my price, however, is already increasing customer with good seniority difficult to understand the increase.</v>
      </c>
    </row>
    <row r="234" ht="15.75" customHeight="1">
      <c r="A234" s="2">
        <v>2.0</v>
      </c>
      <c r="B234" s="2" t="s">
        <v>760</v>
      </c>
      <c r="C234" s="2" t="s">
        <v>761</v>
      </c>
      <c r="D234" s="2" t="s">
        <v>155</v>
      </c>
      <c r="E234" s="2" t="s">
        <v>21</v>
      </c>
      <c r="F234" s="2" t="s">
        <v>15</v>
      </c>
      <c r="G234" s="2" t="s">
        <v>762</v>
      </c>
      <c r="H234" s="2" t="s">
        <v>667</v>
      </c>
      <c r="I234" s="2" t="str">
        <f>IFERROR(__xludf.DUMMYFUNCTION("GOOGLETRANSLATE(C234,""fr"",""en"")"),"I have just taken my car insurance at Eurofil, indeed, following an increase in prices, I called Eurofil, and the hostess (courteous &amp; sympathetic!) took my request into account without explaining the counterparts (decrease From the price but kilomerages "&amp;"limit /year: 11000 km if not in the event of an accident ... Surprising. Consequently, I ended this insurance, and I turned to the competitors!")</f>
        <v>I have just taken my car insurance at Eurofil, indeed, following an increase in prices, I called Eurofil, and the hostess (courteous &amp; sympathetic!) took my request into account without explaining the counterparts (decrease From the price but kilomerages limit /year: 11000 km if not in the event of an accident ... Surprising. Consequently, I ended this insurance, and I turned to the competitors!</v>
      </c>
    </row>
    <row r="235" ht="15.75" customHeight="1">
      <c r="A235" s="2">
        <v>1.0</v>
      </c>
      <c r="B235" s="2" t="s">
        <v>763</v>
      </c>
      <c r="C235" s="2" t="s">
        <v>764</v>
      </c>
      <c r="D235" s="2" t="s">
        <v>277</v>
      </c>
      <c r="E235" s="2" t="s">
        <v>21</v>
      </c>
      <c r="F235" s="2" t="s">
        <v>15</v>
      </c>
      <c r="G235" s="2" t="s">
        <v>765</v>
      </c>
      <c r="H235" s="2" t="s">
        <v>23</v>
      </c>
      <c r="I235" s="2" t="str">
        <f>IFERROR(__xludf.DUMMYFUNCTION("GOOGLETRANSLATE(C235,""fr"",""en"")"),"Nothing serious at Maaf
We make fun of the future customer
To avoid .
Quote at such does not correspond to the final estimate ...
Some people better change work")</f>
        <v>Nothing serious at Maaf
We make fun of the future customer
To avoid .
Quote at such does not correspond to the final estimate ...
Some people better change work</v>
      </c>
    </row>
    <row r="236" ht="15.75" customHeight="1">
      <c r="A236" s="2">
        <v>4.0</v>
      </c>
      <c r="B236" s="2" t="s">
        <v>766</v>
      </c>
      <c r="C236" s="2" t="s">
        <v>767</v>
      </c>
      <c r="D236" s="2" t="s">
        <v>68</v>
      </c>
      <c r="E236" s="2" t="s">
        <v>14</v>
      </c>
      <c r="F236" s="2" t="s">
        <v>15</v>
      </c>
      <c r="G236" s="2" t="s">
        <v>546</v>
      </c>
      <c r="H236" s="2" t="s">
        <v>45</v>
      </c>
      <c r="I236" s="2" t="str">
        <f>IFERROR(__xludf.DUMMYFUNCTION("GOOGLETRANSLATE(C236,""fr"",""en"")"),"The person I had on the phone and called Georges was very pleasant. He met my expectations and was very clear. This exchange was pleasant.")</f>
        <v>The person I had on the phone and called Georges was very pleasant. He met my expectations and was very clear. This exchange was pleasant.</v>
      </c>
    </row>
    <row r="237" ht="15.75" customHeight="1">
      <c r="A237" s="2">
        <v>4.0</v>
      </c>
      <c r="B237" s="2" t="s">
        <v>768</v>
      </c>
      <c r="C237" s="2" t="s">
        <v>769</v>
      </c>
      <c r="D237" s="2" t="s">
        <v>20</v>
      </c>
      <c r="E237" s="2" t="s">
        <v>21</v>
      </c>
      <c r="F237" s="2" t="s">
        <v>15</v>
      </c>
      <c r="G237" s="2" t="s">
        <v>84</v>
      </c>
      <c r="H237" s="2" t="s">
        <v>45</v>
      </c>
      <c r="I237" s="2" t="str">
        <f>IFERROR(__xludf.DUMMYFUNCTION("GOOGLETRANSLATE(C237,""fr"",""en"")"),"I am new, we will see later. We will see in the event of a disaster, your responsiveness, your speed etc ... For the moment my mother is satisfied with your services
")</f>
        <v>I am new, we will see later. We will see in the event of a disaster, your responsiveness, your speed etc ... For the moment my mother is satisfied with your services
</v>
      </c>
    </row>
    <row r="238" ht="15.75" customHeight="1">
      <c r="A238" s="2">
        <v>1.0</v>
      </c>
      <c r="B238" s="2" t="s">
        <v>770</v>
      </c>
      <c r="C238" s="2" t="s">
        <v>771</v>
      </c>
      <c r="D238" s="2" t="s">
        <v>206</v>
      </c>
      <c r="E238" s="2" t="s">
        <v>21</v>
      </c>
      <c r="F238" s="2" t="s">
        <v>15</v>
      </c>
      <c r="G238" s="2" t="s">
        <v>772</v>
      </c>
      <c r="H238" s="2" t="s">
        <v>32</v>
      </c>
      <c r="I238" s="2" t="str">
        <f>IFERROR(__xludf.DUMMYFUNCTION("GOOGLETRANSLATE(C238,""fr"",""en"")"),"My insured vehicle any risk was burnt down more than 6 months ago. I have still not been compensated. After several expertise the Maif concluded that the vehicle was in good condition before the fire. Since the beginning of the loss the maif has been doin"&amp;"g everything to save time. Today I am offered 50 € for a vehicle on the more than 5000 €. Offer to accept, under penalty of paying security fees for a wreckage. At the MAIF, you should not fire your vehicle under penalty of being suspected despite more th"&amp;"an 10 years of loyalty and a bonus of 0.54.")</f>
        <v>My insured vehicle any risk was burnt down more than 6 months ago. I have still not been compensated. After several expertise the Maif concluded that the vehicle was in good condition before the fire. Since the beginning of the loss the maif has been doing everything to save time. Today I am offered 50 € for a vehicle on the more than 5000 €. Offer to accept, under penalty of paying security fees for a wreckage. At the MAIF, you should not fire your vehicle under penalty of being suspected despite more than 10 years of loyalty and a bonus of 0.54.</v>
      </c>
    </row>
    <row r="239" ht="15.75" customHeight="1">
      <c r="A239" s="2">
        <v>1.0</v>
      </c>
      <c r="B239" s="2" t="s">
        <v>773</v>
      </c>
      <c r="C239" s="2" t="s">
        <v>774</v>
      </c>
      <c r="D239" s="2" t="s">
        <v>256</v>
      </c>
      <c r="E239" s="2" t="s">
        <v>21</v>
      </c>
      <c r="F239" s="2" t="s">
        <v>15</v>
      </c>
      <c r="G239" s="2" t="s">
        <v>775</v>
      </c>
      <c r="H239" s="2" t="s">
        <v>473</v>
      </c>
      <c r="I239" s="2" t="str">
        <f>IFERROR(__xludf.DUMMYFUNCTION("GOOGLETRANSLATE(C239,""fr"",""en"")"),"To absolutely flee this insurance which in addition to being very bad and very expensive, uses subterfuges to refuse a termination ... We were forced to take out this insurance with our bank under penalty of seeing our request for a refused loan (at A hig"&amp;"her price than our current Allianz insurer ...). Unfortunately we had a disaster on the vehicle: Pacifica did not move a finger to solve the problem, certainly a little thorny. I asked for the termination at maturity after having exchanged at length with "&amp;"an advisor who guaranteed me that 1 month was sufficient. That Nenni was 2 months, but Pacifica did not bother to inform me, so I have paid two insurance for the same vehicle for 2 months. It is impossible to have the slightest information by phone, no on"&amp;"e is able to answer you. It was after several emails in customer service that I finally received the refusal mail (2 months later). Cheer ! Suddenly it is Allianz who will terminate for me in Hamon law. Favor agencies with a real interlocutor in front of "&amp;"you!")</f>
        <v>To absolutely flee this insurance which in addition to being very bad and very expensive, uses subterfuges to refuse a termination ... We were forced to take out this insurance with our bank under penalty of seeing our request for a refused loan (at A higher price than our current Allianz insurer ...). Unfortunately we had a disaster on the vehicle: Pacifica did not move a finger to solve the problem, certainly a little thorny. I asked for the termination at maturity after having exchanged at length with an advisor who guaranteed me that 1 month was sufficient. That Nenni was 2 months, but Pacifica did not bother to inform me, so I have paid two insurance for the same vehicle for 2 months. It is impossible to have the slightest information by phone, no one is able to answer you. It was after several emails in customer service that I finally received the refusal mail (2 months later). Cheer ! Suddenly it is Allianz who will terminate for me in Hamon law. Favor agencies with a real interlocutor in front of you!</v>
      </c>
    </row>
    <row r="240" ht="15.75" customHeight="1">
      <c r="A240" s="2">
        <v>1.0</v>
      </c>
      <c r="B240" s="2" t="s">
        <v>776</v>
      </c>
      <c r="C240" s="2" t="s">
        <v>777</v>
      </c>
      <c r="D240" s="2" t="s">
        <v>778</v>
      </c>
      <c r="E240" s="2" t="s">
        <v>450</v>
      </c>
      <c r="F240" s="2" t="s">
        <v>15</v>
      </c>
      <c r="G240" s="2" t="s">
        <v>779</v>
      </c>
      <c r="H240" s="2" t="s">
        <v>667</v>
      </c>
      <c r="I240" s="2" t="str">
        <f>IFERROR(__xludf.DUMMYFUNCTION("GOOGLETRANSLATE(C240,""fr"",""en"")"),"Their funeral product is downright obscene.
You pay but they are not even able to reimburse you all the sums paid. Not even a financial interest! for 8 years !")</f>
        <v>Their funeral product is downright obscene.
You pay but they are not even able to reimburse you all the sums paid. Not even a financial interest! for 8 years !</v>
      </c>
    </row>
    <row r="241" ht="15.75" customHeight="1">
      <c r="A241" s="2">
        <v>5.0</v>
      </c>
      <c r="B241" s="2" t="s">
        <v>780</v>
      </c>
      <c r="C241" s="2" t="s">
        <v>781</v>
      </c>
      <c r="D241" s="2" t="s">
        <v>20</v>
      </c>
      <c r="E241" s="2" t="s">
        <v>21</v>
      </c>
      <c r="F241" s="2" t="s">
        <v>15</v>
      </c>
      <c r="G241" s="2" t="s">
        <v>782</v>
      </c>
      <c r="H241" s="2" t="s">
        <v>139</v>
      </c>
      <c r="I241" s="2" t="str">
        <f>IFERROR(__xludf.DUMMYFUNCTION("GOOGLETRANSLATE(C241,""fr"",""en"")"),"I am satisfied with the prices as well as the effectiveness of the advisers as well as their Amabilite their competition and the rapidity of their intervention very cordially")</f>
        <v>I am satisfied with the prices as well as the effectiveness of the advisers as well as their Amabilite their competition and the rapidity of their intervention very cordially</v>
      </c>
    </row>
    <row r="242" ht="15.75" customHeight="1">
      <c r="A242" s="2">
        <v>1.0</v>
      </c>
      <c r="B242" s="2" t="s">
        <v>783</v>
      </c>
      <c r="C242" s="2" t="s">
        <v>784</v>
      </c>
      <c r="D242" s="2" t="s">
        <v>40</v>
      </c>
      <c r="E242" s="2" t="s">
        <v>14</v>
      </c>
      <c r="F242" s="2" t="s">
        <v>15</v>
      </c>
      <c r="G242" s="2" t="s">
        <v>417</v>
      </c>
      <c r="H242" s="2" t="s">
        <v>70</v>
      </c>
      <c r="I242" s="2" t="str">
        <f>IFERROR(__xludf.DUMMYFUNCTION("GOOGLETRANSLATE(C242,""fr"",""en"")"),"Disappointing mutual
No support in accordance with the need
Communicating with them is a Herculian challenge
Their services for the police is pitiful and no monitoring or taking into account needs. Favor another mutual")</f>
        <v>Disappointing mutual
No support in accordance with the need
Communicating with them is a Herculian challenge
Their services for the police is pitiful and no monitoring or taking into account needs. Favor another mutual</v>
      </c>
    </row>
    <row r="243" ht="15.75" customHeight="1">
      <c r="A243" s="2">
        <v>4.0</v>
      </c>
      <c r="B243" s="2" t="s">
        <v>785</v>
      </c>
      <c r="C243" s="2" t="s">
        <v>786</v>
      </c>
      <c r="D243" s="2" t="s">
        <v>64</v>
      </c>
      <c r="E243" s="2" t="s">
        <v>21</v>
      </c>
      <c r="F243" s="2" t="s">
        <v>15</v>
      </c>
      <c r="G243" s="2" t="s">
        <v>787</v>
      </c>
      <c r="H243" s="2" t="s">
        <v>70</v>
      </c>
      <c r="I243" s="2" t="str">
        <f>IFERROR(__xludf.DUMMYFUNCTION("GOOGLETRANSLATE(C243,""fr"",""en"")"),"I am satisfied with the service. The people I had on the phone were polished, courteous and professional. I will recommend the olive assurance.")</f>
        <v>I am satisfied with the service. The people I had on the phone were polished, courteous and professional. I will recommend the olive assurance.</v>
      </c>
    </row>
    <row r="244" ht="15.75" customHeight="1">
      <c r="A244" s="2">
        <v>2.0</v>
      </c>
      <c r="B244" s="2" t="s">
        <v>788</v>
      </c>
      <c r="C244" s="2" t="s">
        <v>789</v>
      </c>
      <c r="D244" s="2" t="s">
        <v>64</v>
      </c>
      <c r="E244" s="2" t="s">
        <v>21</v>
      </c>
      <c r="F244" s="2" t="s">
        <v>15</v>
      </c>
      <c r="G244" s="2" t="s">
        <v>790</v>
      </c>
      <c r="H244" s="2" t="s">
        <v>321</v>
      </c>
      <c r="I244" s="2" t="str">
        <f>IFERROR(__xludf.DUMMYFUNCTION("GOOGLETRANSLATE(C244,""fr"",""en"")"),"Following a small hanging in a parking lot, the mirror of my car cracked. I called my insurance that wants to hear nothing! € 500 deductible to change the mirror of a rear view mirror at € 8. (With all risks please!)")</f>
        <v>Following a small hanging in a parking lot, the mirror of my car cracked. I called my insurance that wants to hear nothing! € 500 deductible to change the mirror of a rear view mirror at € 8. (With all risks please!)</v>
      </c>
    </row>
    <row r="245" ht="15.75" customHeight="1">
      <c r="A245" s="2">
        <v>1.0</v>
      </c>
      <c r="B245" s="2" t="s">
        <v>791</v>
      </c>
      <c r="C245" s="2" t="s">
        <v>792</v>
      </c>
      <c r="D245" s="2" t="s">
        <v>715</v>
      </c>
      <c r="E245" s="2" t="s">
        <v>14</v>
      </c>
      <c r="F245" s="2" t="s">
        <v>15</v>
      </c>
      <c r="G245" s="2" t="s">
        <v>414</v>
      </c>
      <c r="H245" s="2" t="s">
        <v>58</v>
      </c>
      <c r="I245" s="2" t="str">
        <f>IFERROR(__xludf.DUMMYFUNCTION("GOOGLETRANSLATE(C245,""fr"",""en"")"),"Their site is not practical to request a refund, we can not even see the warranty scale, very long reimbursement period, I had a problem in my personal space The technical service did nothing to settle it, just False promises ...")</f>
        <v>Their site is not practical to request a refund, we can not even see the warranty scale, very long reimbursement period, I had a problem in my personal space The technical service did nothing to settle it, just False promises ...</v>
      </c>
    </row>
    <row r="246" ht="15.75" customHeight="1">
      <c r="A246" s="2">
        <v>1.0</v>
      </c>
      <c r="B246" s="2" t="s">
        <v>793</v>
      </c>
      <c r="C246" s="2" t="s">
        <v>794</v>
      </c>
      <c r="D246" s="2" t="s">
        <v>95</v>
      </c>
      <c r="E246" s="2" t="s">
        <v>207</v>
      </c>
      <c r="F246" s="2" t="s">
        <v>15</v>
      </c>
      <c r="G246" s="2" t="s">
        <v>795</v>
      </c>
      <c r="H246" s="2" t="s">
        <v>439</v>
      </c>
      <c r="I246" s="2" t="str">
        <f>IFERROR(__xludf.DUMMYFUNCTION("GOOGLETRANSLATE(C246,""fr"",""en"")"),"I strongly recommend this insurance that does not take its customers seriously after 12 years at home. Indeed, following a water leak from my neighbor, my file was not at all processed with professionalism. After sending the amicable observation, I had no"&amp;" information as to the steps to follow, no image step on the part of the Matmut, the information communicated is contradictory ... in short an insurance that did not Not seemed to put your customers at the center of its priorities. I terminate my contract"&amp;" on the next anniversary date!")</f>
        <v>I strongly recommend this insurance that does not take its customers seriously after 12 years at home. Indeed, following a water leak from my neighbor, my file was not at all processed with professionalism. After sending the amicable observation, I had no information as to the steps to follow, no image step on the part of the Matmut, the information communicated is contradictory ... in short an insurance that did not Not seemed to put your customers at the center of its priorities. I terminate my contract on the next anniversary date!</v>
      </c>
    </row>
    <row r="247" ht="15.75" customHeight="1">
      <c r="A247" s="2">
        <v>3.0</v>
      </c>
      <c r="B247" s="2" t="s">
        <v>796</v>
      </c>
      <c r="C247" s="2" t="s">
        <v>797</v>
      </c>
      <c r="D247" s="2" t="s">
        <v>20</v>
      </c>
      <c r="E247" s="2" t="s">
        <v>21</v>
      </c>
      <c r="F247" s="2" t="s">
        <v>15</v>
      </c>
      <c r="G247" s="2" t="s">
        <v>798</v>
      </c>
      <c r="H247" s="2" t="s">
        <v>70</v>
      </c>
      <c r="I247" s="2" t="str">
        <f>IFERROR(__xludf.DUMMYFUNCTION("GOOGLETRANSLATE(C247,""fr"",""en"")"),"Impossible to download attached pieces: Error send even for sizes infected at 1 MB.
")</f>
        <v>Impossible to download attached pieces: Error send even for sizes infected at 1 MB.
</v>
      </c>
    </row>
    <row r="248" ht="15.75" customHeight="1">
      <c r="A248" s="2">
        <v>1.0</v>
      </c>
      <c r="B248" s="2" t="s">
        <v>799</v>
      </c>
      <c r="C248" s="2" t="s">
        <v>800</v>
      </c>
      <c r="D248" s="2" t="s">
        <v>757</v>
      </c>
      <c r="E248" s="2" t="s">
        <v>14</v>
      </c>
      <c r="F248" s="2" t="s">
        <v>15</v>
      </c>
      <c r="G248" s="2" t="s">
        <v>801</v>
      </c>
      <c r="H248" s="2" t="s">
        <v>801</v>
      </c>
      <c r="I248" s="2" t="str">
        <f>IFERROR(__xludf.DUMMYFUNCTION("GOOGLETRANSLATE(C248,""fr"",""en"")"),"To flee, impossible to have the mutual card for 3 months essential to the pharmacy, hospital ect ...
")</f>
        <v>To flee, impossible to have the mutual card for 3 months essential to the pharmacy, hospital ect ...
</v>
      </c>
    </row>
    <row r="249" ht="15.75" customHeight="1">
      <c r="A249" s="2">
        <v>5.0</v>
      </c>
      <c r="B249" s="2" t="s">
        <v>802</v>
      </c>
      <c r="C249" s="2" t="s">
        <v>803</v>
      </c>
      <c r="D249" s="2" t="s">
        <v>64</v>
      </c>
      <c r="E249" s="2" t="s">
        <v>21</v>
      </c>
      <c r="F249" s="2" t="s">
        <v>15</v>
      </c>
      <c r="G249" s="2" t="s">
        <v>804</v>
      </c>
      <c r="H249" s="2" t="s">
        <v>139</v>
      </c>
      <c r="I249" s="2" t="str">
        <f>IFERROR(__xludf.DUMMYFUNCTION("GOOGLETRANSLATE(C249,""fr"",""en"")"),"I am satisfied with the service, the prices are attractive, I managed to make sure here when some insurances have categorically refused me because of the tax hair of my vehicle (8CV in young license)")</f>
        <v>I am satisfied with the service, the prices are attractive, I managed to make sure here when some insurances have categorically refused me because of the tax hair of my vehicle (8CV in young license)</v>
      </c>
    </row>
    <row r="250" ht="15.75" customHeight="1">
      <c r="A250" s="2">
        <v>5.0</v>
      </c>
      <c r="B250" s="2" t="s">
        <v>805</v>
      </c>
      <c r="C250" s="2" t="s">
        <v>806</v>
      </c>
      <c r="D250" s="2" t="s">
        <v>35</v>
      </c>
      <c r="E250" s="2" t="s">
        <v>21</v>
      </c>
      <c r="F250" s="2" t="s">
        <v>15</v>
      </c>
      <c r="G250" s="2" t="s">
        <v>497</v>
      </c>
      <c r="H250" s="2" t="s">
        <v>89</v>
      </c>
      <c r="I250" s="2" t="str">
        <f>IFERROR(__xludf.DUMMYFUNCTION("GOOGLETRANSLATE(C250,""fr"",""en"")"),"I am very satisfied with the services of the GMF both on the care in the event of a disaster and the telephone reception; However, I find it a shame that the Cognac agency, a local agency, no longer exists. Move in Angoulême or Saintes is problematic when"&amp;" working.")</f>
        <v>I am very satisfied with the services of the GMF both on the care in the event of a disaster and the telephone reception; However, I find it a shame that the Cognac agency, a local agency, no longer exists. Move in Angoulême or Saintes is problematic when working.</v>
      </c>
    </row>
    <row r="251" ht="15.75" customHeight="1">
      <c r="A251" s="2">
        <v>2.0</v>
      </c>
      <c r="B251" s="2" t="s">
        <v>807</v>
      </c>
      <c r="C251" s="2" t="s">
        <v>808</v>
      </c>
      <c r="D251" s="2" t="s">
        <v>142</v>
      </c>
      <c r="E251" s="2" t="s">
        <v>21</v>
      </c>
      <c r="F251" s="2" t="s">
        <v>15</v>
      </c>
      <c r="G251" s="2" t="s">
        <v>620</v>
      </c>
      <c r="H251" s="2" t="s">
        <v>17</v>
      </c>
      <c r="I251" s="2" t="str">
        <f>IFERROR(__xludf.DUMMYFUNCTION("GOOGLETRANSLATE(C251,""fr"",""en"")"),"We have suffered damage to Italy on a parking vehicle. The Macif demanded an expertise, the expert claims that it would be a collision with a wall. Following this alleged expertise, the Macif refuses to take charge of the repair while the vehicle is assur"&amp;"ed of all risks.
We will therefore terminate all the automotive and house contracts that we have had with this insurer for over 20 years.")</f>
        <v>We have suffered damage to Italy on a parking vehicle. The Macif demanded an expertise, the expert claims that it would be a collision with a wall. Following this alleged expertise, the Macif refuses to take charge of the repair while the vehicle is assured of all risks.
We will therefore terminate all the automotive and house contracts that we have had with this insurer for over 20 years.</v>
      </c>
    </row>
    <row r="252" ht="15.75" customHeight="1">
      <c r="A252" s="2">
        <v>4.0</v>
      </c>
      <c r="B252" s="2" t="s">
        <v>809</v>
      </c>
      <c r="C252" s="2" t="s">
        <v>810</v>
      </c>
      <c r="D252" s="2" t="s">
        <v>20</v>
      </c>
      <c r="E252" s="2" t="s">
        <v>21</v>
      </c>
      <c r="F252" s="2" t="s">
        <v>15</v>
      </c>
      <c r="G252" s="2" t="s">
        <v>725</v>
      </c>
      <c r="H252" s="2" t="s">
        <v>89</v>
      </c>
      <c r="I252" s="2" t="str">
        <f>IFERROR(__xludf.DUMMYFUNCTION("GOOGLETRANSLATE(C252,""fr"",""en"")"),"The prices suit me very well, however, the levels of guarantees (even if they are modular) are not sufficient. Also, the franchises are quite important.")</f>
        <v>The prices suit me very well, however, the levels of guarantees (even if they are modular) are not sufficient. Also, the franchises are quite important.</v>
      </c>
    </row>
    <row r="253" ht="15.75" customHeight="1">
      <c r="A253" s="2">
        <v>2.0</v>
      </c>
      <c r="B253" s="2" t="s">
        <v>811</v>
      </c>
      <c r="C253" s="2" t="s">
        <v>812</v>
      </c>
      <c r="D253" s="2" t="s">
        <v>20</v>
      </c>
      <c r="E253" s="2" t="s">
        <v>21</v>
      </c>
      <c r="F253" s="2" t="s">
        <v>15</v>
      </c>
      <c r="G253" s="2" t="s">
        <v>813</v>
      </c>
      <c r="H253" s="2" t="s">
        <v>23</v>
      </c>
      <c r="I253" s="2" t="str">
        <f>IFERROR(__xludf.DUMMYFUNCTION("GOOGLETRANSLATE(C253,""fr"",""en"")"),"Null customer service
With each call from our part we come across people who find it difficult to understand I do not call our call and we harm the French language")</f>
        <v>Null customer service
With each call from our part we come across people who find it difficult to understand I do not call our call and we harm the French language</v>
      </c>
    </row>
    <row r="254" ht="15.75" customHeight="1">
      <c r="A254" s="2">
        <v>4.0</v>
      </c>
      <c r="B254" s="2" t="s">
        <v>814</v>
      </c>
      <c r="C254" s="2" t="s">
        <v>815</v>
      </c>
      <c r="D254" s="2" t="s">
        <v>35</v>
      </c>
      <c r="E254" s="2" t="s">
        <v>21</v>
      </c>
      <c r="F254" s="2" t="s">
        <v>15</v>
      </c>
      <c r="G254" s="2" t="s">
        <v>816</v>
      </c>
      <c r="H254" s="2" t="s">
        <v>70</v>
      </c>
      <c r="I254" s="2" t="str">
        <f>IFERROR(__xludf.DUMMYFUNCTION("GOOGLETRANSLATE(C254,""fr"",""en"")"),"We are very satisfied with the service. We had an excellent welcome and all the information requested.
efficient service.
person contacted very kind and attentive to the questions
Cordially
")</f>
        <v>We are very satisfied with the service. We had an excellent welcome and all the information requested.
efficient service.
person contacted very kind and attentive to the questions
Cordially
</v>
      </c>
    </row>
    <row r="255" ht="15.75" customHeight="1">
      <c r="A255" s="2">
        <v>5.0</v>
      </c>
      <c r="B255" s="2" t="s">
        <v>817</v>
      </c>
      <c r="C255" s="2" t="s">
        <v>818</v>
      </c>
      <c r="D255" s="2" t="s">
        <v>68</v>
      </c>
      <c r="E255" s="2" t="s">
        <v>14</v>
      </c>
      <c r="F255" s="2" t="s">
        <v>15</v>
      </c>
      <c r="G255" s="2" t="s">
        <v>819</v>
      </c>
      <c r="H255" s="2" t="s">
        <v>237</v>
      </c>
      <c r="I255" s="2" t="str">
        <f>IFERROR(__xludf.DUMMYFUNCTION("GOOGLETRANSLATE(C255,""fr"",""en"")"),"Explain the new pricing well ............................................. ....................................")</f>
        <v>Explain the new pricing well ............................................. ....................................</v>
      </c>
    </row>
    <row r="256" ht="15.75" customHeight="1">
      <c r="A256" s="2">
        <v>2.0</v>
      </c>
      <c r="B256" s="2" t="s">
        <v>820</v>
      </c>
      <c r="C256" s="2" t="s">
        <v>821</v>
      </c>
      <c r="D256" s="2" t="s">
        <v>64</v>
      </c>
      <c r="E256" s="2" t="s">
        <v>21</v>
      </c>
      <c r="F256" s="2" t="s">
        <v>15</v>
      </c>
      <c r="G256" s="2" t="s">
        <v>822</v>
      </c>
      <c r="H256" s="2" t="s">
        <v>237</v>
      </c>
      <c r="I256" s="2" t="str">
        <f>IFERROR(__xludf.DUMMYFUNCTION("GOOGLETRANSLATE(C256,""fr"",""en"")"),"To run away absolutely. The information you come in during an online subscription is not taken up and when you are called to make the contract by phone, you give you bad information ""cumulative bonus with driving accompanies"" so it invents a bonus that "&amp;"you did not Not just to make a lot of expensive + expensive and getting the months before and changing costs. When you ask for the recording strangely nobody finds it. They are real liar, who is just interested in money.")</f>
        <v>To run away absolutely. The information you come in during an online subscription is not taken up and when you are called to make the contract by phone, you give you bad information "cumulative bonus with driving accompanies" so it invents a bonus that you did not Not just to make a lot of expensive + expensive and getting the months before and changing costs. When you ask for the recording strangely nobody finds it. They are real liar, who is just interested in money.</v>
      </c>
    </row>
    <row r="257" ht="15.75" customHeight="1">
      <c r="A257" s="2">
        <v>5.0</v>
      </c>
      <c r="B257" s="2" t="s">
        <v>823</v>
      </c>
      <c r="C257" s="2" t="s">
        <v>824</v>
      </c>
      <c r="D257" s="2" t="s">
        <v>64</v>
      </c>
      <c r="E257" s="2" t="s">
        <v>21</v>
      </c>
      <c r="F257" s="2" t="s">
        <v>15</v>
      </c>
      <c r="G257" s="2" t="s">
        <v>825</v>
      </c>
      <c r="H257" s="2" t="s">
        <v>58</v>
      </c>
      <c r="I257" s="2" t="str">
        <f>IFERROR(__xludf.DUMMYFUNCTION("GOOGLETRANSLATE(C257,""fr"",""en"")"),"I am satisfied with the service
It is in my expectations, quality price and the telephonic service nothing to say
Thank you for this service and I hope to stay as long as possible
")</f>
        <v>I am satisfied with the service
It is in my expectations, quality price and the telephonic service nothing to say
Thank you for this service and I hope to stay as long as possible
</v>
      </c>
    </row>
    <row r="258" ht="15.75" customHeight="1">
      <c r="A258" s="2">
        <v>2.0</v>
      </c>
      <c r="B258" s="2" t="s">
        <v>826</v>
      </c>
      <c r="C258" s="2" t="s">
        <v>827</v>
      </c>
      <c r="D258" s="2" t="s">
        <v>828</v>
      </c>
      <c r="E258" s="2" t="s">
        <v>207</v>
      </c>
      <c r="F258" s="2" t="s">
        <v>15</v>
      </c>
      <c r="G258" s="2" t="s">
        <v>772</v>
      </c>
      <c r="H258" s="2" t="s">
        <v>32</v>
      </c>
      <c r="I258" s="2" t="str">
        <f>IFERROR(__xludf.DUMMYFUNCTION("GOOGLETRANSLATE(C258,""fr"",""en"")"),"I have been assured at Groupama for over 30 years. I am assured ""guaranteed home with equity value to new. After a flight, I am told that it is the value of the new today (what I understand) but then I am given dilapidation. So for me this is no longer v"&amp;"alue to nine. Please help me please.")</f>
        <v>I have been assured at Groupama for over 30 years. I am assured "guaranteed home with equity value to new. After a flight, I am told that it is the value of the new today (what I understand) but then I am given dilapidation. So for me this is no longer value to nine. Please help me please.</v>
      </c>
    </row>
    <row r="259" ht="15.75" customHeight="1">
      <c r="A259" s="2">
        <v>2.0</v>
      </c>
      <c r="B259" s="2" t="s">
        <v>829</v>
      </c>
      <c r="C259" s="2" t="s">
        <v>830</v>
      </c>
      <c r="D259" s="2" t="s">
        <v>277</v>
      </c>
      <c r="E259" s="2" t="s">
        <v>21</v>
      </c>
      <c r="F259" s="2" t="s">
        <v>15</v>
      </c>
      <c r="G259" s="2" t="s">
        <v>831</v>
      </c>
      <c r="H259" s="2" t="s">
        <v>832</v>
      </c>
      <c r="I259" s="2" t="str">
        <f>IFERROR(__xludf.DUMMYFUNCTION("GOOGLETRANSLATE(C259,""fr"",""en"")"),"Very good insurance to which I have been attached for many years, but has become too expensive over time. I am looking for another car insurance because I want to change car and this will further increase my membership")</f>
        <v>Very good insurance to which I have been attached for many years, but has become too expensive over time. I am looking for another car insurance because I want to change car and this will further increase my membership</v>
      </c>
    </row>
    <row r="260" ht="15.75" customHeight="1">
      <c r="A260" s="2">
        <v>3.0</v>
      </c>
      <c r="B260" s="2" t="s">
        <v>833</v>
      </c>
      <c r="C260" s="2" t="s">
        <v>834</v>
      </c>
      <c r="D260" s="2" t="s">
        <v>20</v>
      </c>
      <c r="E260" s="2" t="s">
        <v>21</v>
      </c>
      <c r="F260" s="2" t="s">
        <v>15</v>
      </c>
      <c r="G260" s="2" t="s">
        <v>31</v>
      </c>
      <c r="H260" s="2" t="s">
        <v>32</v>
      </c>
      <c r="I260" s="2" t="str">
        <f>IFERROR(__xludf.DUMMYFUNCTION("GOOGLETRANSLATE(C260,""fr"",""en"")"),"I am very satisfied because it is fast, simple and effective to find cheap insurance as a young driver with a penalty. I thank the service for these insurance comparisons.")</f>
        <v>I am very satisfied because it is fast, simple and effective to find cheap insurance as a young driver with a penalty. I thank the service for these insurance comparisons.</v>
      </c>
    </row>
    <row r="261" ht="15.75" customHeight="1">
      <c r="A261" s="2">
        <v>1.0</v>
      </c>
      <c r="B261" s="2" t="s">
        <v>835</v>
      </c>
      <c r="C261" s="2" t="s">
        <v>836</v>
      </c>
      <c r="D261" s="2" t="s">
        <v>155</v>
      </c>
      <c r="E261" s="2" t="s">
        <v>21</v>
      </c>
      <c r="F261" s="2" t="s">
        <v>15</v>
      </c>
      <c r="G261" s="2" t="s">
        <v>837</v>
      </c>
      <c r="H261" s="2" t="s">
        <v>116</v>
      </c>
      <c r="I261" s="2" t="str">
        <f>IFERROR(__xludf.DUMMYFUNCTION("GOOGLETRANSLATE(C261,""fr"",""en"")"),"Does not count the years as a secondary driver and therefore my current bonus is not applicable. Well I am announced that after having subscribed, when I had clarified this point from the start. In short, I lost a total of almost 2 hours on the phone with"&amp;" a professional insurance company at all professional. Contract therefore terminated on the same day I do not recommend at all.")</f>
        <v>Does not count the years as a secondary driver and therefore my current bonus is not applicable. Well I am announced that after having subscribed, when I had clarified this point from the start. In short, I lost a total of almost 2 hours on the phone with a professional insurance company at all professional. Contract therefore terminated on the same day I do not recommend at all.</v>
      </c>
    </row>
    <row r="262" ht="15.75" customHeight="1">
      <c r="A262" s="2">
        <v>2.0</v>
      </c>
      <c r="B262" s="2" t="s">
        <v>838</v>
      </c>
      <c r="C262" s="2" t="s">
        <v>839</v>
      </c>
      <c r="D262" s="2" t="s">
        <v>757</v>
      </c>
      <c r="E262" s="2" t="s">
        <v>14</v>
      </c>
      <c r="F262" s="2" t="s">
        <v>15</v>
      </c>
      <c r="G262" s="2" t="s">
        <v>840</v>
      </c>
      <c r="H262" s="2" t="s">
        <v>380</v>
      </c>
      <c r="I262" s="2" t="str">
        <f>IFERROR(__xludf.DUMMYFUNCTION("GOOGLETRANSLATE(C262,""fr"",""en"")"),"A member since 1992, at the time with Mutuelle Existence in Saint-Etienne (42) then Lyon (69), I am shocked and extremely disappointed with the management of mutual harmony, which, since August 2020, has never Contacted to inform me of a concern, or even "&amp;"to warn me that on January 1 my contract was automatically terminated! If I had not called yesterday to ask for my card for 2021, no one would have informed me of anything! And when I call the litigation service this morning to regularize all this, the ad"&amp;"visor speaks to me for twenty minutes in a tone of reproach because it was supposedly for me to check all this, she does calculations which contradict the 'One after the other, all in a plaintive tone and with many sighs because, I quote, she was going to"&amp;" ""not still resume all the contributions paid since December 2019"", and to return the request to the service of management. In this case, you should not work in the litigation service, and above all not respond to the calls of members.
This aberrant si"&amp;"tuation is not eligible, and reveals a blatant lack of follow -up of the files, which pushes me today to examine the offers of their competitors before renewing my contract.")</f>
        <v>A member since 1992, at the time with Mutuelle Existence in Saint-Etienne (42) then Lyon (69), I am shocked and extremely disappointed with the management of mutual harmony, which, since August 2020, has never Contacted to inform me of a concern, or even to warn me that on January 1 my contract was automatically terminated! If I had not called yesterday to ask for my card for 2021, no one would have informed me of anything! And when I call the litigation service this morning to regularize all this, the advisor speaks to me for twenty minutes in a tone of reproach because it was supposedly for me to check all this, she does calculations which contradict the 'One after the other, all in a plaintive tone and with many sighs because, I quote, she was going to "not still resume all the contributions paid since December 2019", and to return the request to the service of management. In this case, you should not work in the litigation service, and above all not respond to the calls of members.
This aberrant situation is not eligible, and reveals a blatant lack of follow -up of the files, which pushes me today to examine the offers of their competitors before renewing my contract.</v>
      </c>
    </row>
    <row r="263" ht="15.75" customHeight="1">
      <c r="A263" s="2">
        <v>4.0</v>
      </c>
      <c r="B263" s="2" t="s">
        <v>841</v>
      </c>
      <c r="C263" s="2" t="s">
        <v>842</v>
      </c>
      <c r="D263" s="2" t="s">
        <v>20</v>
      </c>
      <c r="E263" s="2" t="s">
        <v>21</v>
      </c>
      <c r="F263" s="2" t="s">
        <v>15</v>
      </c>
      <c r="G263" s="2" t="s">
        <v>843</v>
      </c>
      <c r="H263" s="2" t="s">
        <v>23</v>
      </c>
      <c r="I263" s="2" t="str">
        <f>IFERROR(__xludf.DUMMYFUNCTION("GOOGLETRANSLATE(C263,""fr"",""en"")"),"The prices suit me for the moment, and I hope that the services and the responsiveness will be up to par.
I will see in use.
I hope I don't have to ask you too much")</f>
        <v>The prices suit me for the moment, and I hope that the services and the responsiveness will be up to par.
I will see in use.
I hope I don't have to ask you too much</v>
      </c>
    </row>
    <row r="264" ht="15.75" customHeight="1">
      <c r="A264" s="2">
        <v>2.0</v>
      </c>
      <c r="B264" s="2" t="s">
        <v>844</v>
      </c>
      <c r="C264" s="2" t="s">
        <v>845</v>
      </c>
      <c r="D264" s="2" t="s">
        <v>20</v>
      </c>
      <c r="E264" s="2" t="s">
        <v>21</v>
      </c>
      <c r="F264" s="2" t="s">
        <v>15</v>
      </c>
      <c r="G264" s="2" t="s">
        <v>846</v>
      </c>
      <c r="H264" s="2" t="s">
        <v>23</v>
      </c>
      <c r="I264" s="2" t="str">
        <f>IFERROR(__xludf.DUMMYFUNCTION("GOOGLETRANSLATE(C264,""fr"",""en"")"),"The prices never decrease, to believe that your advertising indicating a price drop in the 1st year by coming to Direct Insurance is recovered in the following years from our contracts. And when you want explanations on the constant increase in the price "&amp;"here is the answer ""in your region, there is more accident so collective payment"", amazing for 2020 with the COVVI-19 and the telework that it was more Accident, but no drop in my price for 2021 while the malus-bonus coefficient decreases each year. It'"&amp;"s incomprehensible !")</f>
        <v>The prices never decrease, to believe that your advertising indicating a price drop in the 1st year by coming to Direct Insurance is recovered in the following years from our contracts. And when you want explanations on the constant increase in the price here is the answer "in your region, there is more accident so collective payment", amazing for 2020 with the COVVI-19 and the telework that it was more Accident, but no drop in my price for 2021 while the malus-bonus coefficient decreases each year. It's incomprehensible !</v>
      </c>
    </row>
    <row r="265" ht="15.75" customHeight="1">
      <c r="A265" s="2">
        <v>5.0</v>
      </c>
      <c r="B265" s="2" t="s">
        <v>847</v>
      </c>
      <c r="C265" s="2" t="s">
        <v>848</v>
      </c>
      <c r="D265" s="2" t="s">
        <v>78</v>
      </c>
      <c r="E265" s="2" t="s">
        <v>79</v>
      </c>
      <c r="F265" s="2" t="s">
        <v>15</v>
      </c>
      <c r="G265" s="2" t="s">
        <v>849</v>
      </c>
      <c r="H265" s="2" t="s">
        <v>70</v>
      </c>
      <c r="I265" s="2" t="str">
        <f>IFERROR(__xludf.DUMMYFUNCTION("GOOGLETRANSLATE(C265,""fr"",""en"")"),"Very satisfied with the prices, very welcoming and satisfactory personal telephone services.
Hoping that the services in the event of claims are the best")</f>
        <v>Very satisfied with the prices, very welcoming and satisfactory personal telephone services.
Hoping that the services in the event of claims are the best</v>
      </c>
    </row>
    <row r="266" ht="15.75" customHeight="1">
      <c r="A266" s="2">
        <v>4.0</v>
      </c>
      <c r="B266" s="2" t="s">
        <v>850</v>
      </c>
      <c r="C266" s="2" t="s">
        <v>851</v>
      </c>
      <c r="D266" s="2" t="s">
        <v>87</v>
      </c>
      <c r="E266" s="2" t="s">
        <v>79</v>
      </c>
      <c r="F266" s="2" t="s">
        <v>15</v>
      </c>
      <c r="G266" s="2" t="s">
        <v>852</v>
      </c>
      <c r="H266" s="2" t="s">
        <v>89</v>
      </c>
      <c r="I266" s="2" t="str">
        <f>IFERROR(__xludf.DUMMYFUNCTION("GOOGLETRANSLATE(C266,""fr"",""en"")"),"I am satisfied with the speed of the procedures, a point blocking several dates could be offered for the automatic sampling which is not the case ....")</f>
        <v>I am satisfied with the speed of the procedures, a point blocking several dates could be offered for the automatic sampling which is not the case ....</v>
      </c>
    </row>
    <row r="267" ht="15.75" customHeight="1">
      <c r="A267" s="2">
        <v>1.0</v>
      </c>
      <c r="B267" s="2" t="s">
        <v>853</v>
      </c>
      <c r="C267" s="2" t="s">
        <v>854</v>
      </c>
      <c r="D267" s="2" t="s">
        <v>193</v>
      </c>
      <c r="E267" s="2" t="s">
        <v>261</v>
      </c>
      <c r="F267" s="2" t="s">
        <v>15</v>
      </c>
      <c r="G267" s="2" t="s">
        <v>855</v>
      </c>
      <c r="H267" s="2" t="s">
        <v>468</v>
      </c>
      <c r="I267" s="2" t="str">
        <f>IFERROR(__xludf.DUMMYFUNCTION("GOOGLETRANSLATE(C267,""fr"",""en"")"),"Hello I have a retirement scenario contract at Generali on January 13, 2017 I asked for the buyout of my contract We are on November 12 I still wait")</f>
        <v>Hello I have a retirement scenario contract at Generali on January 13, 2017 I asked for the buyout of my contract We are on November 12 I still wait</v>
      </c>
    </row>
    <row r="268" ht="15.75" customHeight="1">
      <c r="A268" s="2">
        <v>5.0</v>
      </c>
      <c r="B268" s="2" t="s">
        <v>856</v>
      </c>
      <c r="C268" s="2" t="s">
        <v>857</v>
      </c>
      <c r="D268" s="2" t="s">
        <v>64</v>
      </c>
      <c r="E268" s="2" t="s">
        <v>21</v>
      </c>
      <c r="F268" s="2" t="s">
        <v>15</v>
      </c>
      <c r="G268" s="2" t="s">
        <v>858</v>
      </c>
      <c r="H268" s="2" t="s">
        <v>58</v>
      </c>
      <c r="I268" s="2" t="str">
        <f>IFERROR(__xludf.DUMMYFUNCTION("GOOGLETRANSLATE(C268,""fr"",""en"")"),"I am satisfied with the speed of charges of requests made such as my disaster and my request for information statement as well as the subscription to my Peugeot Expert vehicle")</f>
        <v>I am satisfied with the speed of charges of requests made such as my disaster and my request for information statement as well as the subscription to my Peugeot Expert vehicle</v>
      </c>
    </row>
    <row r="269" ht="15.75" customHeight="1">
      <c r="A269" s="2">
        <v>4.0</v>
      </c>
      <c r="B269" s="2" t="s">
        <v>859</v>
      </c>
      <c r="C269" s="2" t="s">
        <v>860</v>
      </c>
      <c r="D269" s="2" t="s">
        <v>13</v>
      </c>
      <c r="E269" s="2" t="s">
        <v>14</v>
      </c>
      <c r="F269" s="2" t="s">
        <v>15</v>
      </c>
      <c r="G269" s="2" t="s">
        <v>861</v>
      </c>
      <c r="H269" s="2" t="s">
        <v>17</v>
      </c>
      <c r="I269" s="2" t="str">
        <f>IFERROR(__xludf.DUMMYFUNCTION("GOOGLETRANSLATE(C269,""fr"",""en"")"),"Emeline, my interlocutor, took time to perfectly answer my questions. Information given with greatest kindness. In addition to the prices, this quality of reception is very important.")</f>
        <v>Emeline, my interlocutor, took time to perfectly answer my questions. Information given with greatest kindness. In addition to the prices, this quality of reception is very important.</v>
      </c>
    </row>
    <row r="270" ht="15.75" customHeight="1">
      <c r="A270" s="2">
        <v>5.0</v>
      </c>
      <c r="B270" s="2" t="s">
        <v>862</v>
      </c>
      <c r="C270" s="2" t="s">
        <v>863</v>
      </c>
      <c r="D270" s="2" t="s">
        <v>64</v>
      </c>
      <c r="E270" s="2" t="s">
        <v>21</v>
      </c>
      <c r="F270" s="2" t="s">
        <v>15</v>
      </c>
      <c r="G270" s="2" t="s">
        <v>864</v>
      </c>
      <c r="H270" s="2" t="s">
        <v>139</v>
      </c>
      <c r="I270" s="2" t="str">
        <f>IFERROR(__xludf.DUMMYFUNCTION("GOOGLETRANSLATE(C270,""fr"",""en"")"),"Very satisfied with services, simple and quick, pleasant and professional welcome. I have nothing to report negative at the moment. I highly recommend!")</f>
        <v>Very satisfied with services, simple and quick, pleasant and professional welcome. I have nothing to report negative at the moment. I highly recommend!</v>
      </c>
    </row>
    <row r="271" ht="15.75" customHeight="1">
      <c r="A271" s="2">
        <v>1.0</v>
      </c>
      <c r="B271" s="2" t="s">
        <v>865</v>
      </c>
      <c r="C271" s="2" t="s">
        <v>866</v>
      </c>
      <c r="D271" s="2" t="s">
        <v>715</v>
      </c>
      <c r="E271" s="2" t="s">
        <v>14</v>
      </c>
      <c r="F271" s="2" t="s">
        <v>15</v>
      </c>
      <c r="G271" s="2" t="s">
        <v>332</v>
      </c>
      <c r="H271" s="2" t="s">
        <v>45</v>
      </c>
      <c r="I271" s="2" t="str">
        <f>IFERROR(__xludf.DUMMYFUNCTION("GOOGLETRANSLATE(C271,""fr"",""en"")"),"Catastrophic reimbursement service.
It's been over a month and a half that I am waiting for a refund. I recalled the service 5 times, I am told whenever the necessary is done but it is only wind and words in the air.
I am made to go around in circles an"&amp;"d when I ask to speak to a manager, I am told that there is no manager.
The service is O.
If I could, I will put 0 star")</f>
        <v>Catastrophic reimbursement service.
It's been over a month and a half that I am waiting for a refund. I recalled the service 5 times, I am told whenever the necessary is done but it is only wind and words in the air.
I am made to go around in circles and when I ask to speak to a manager, I am told that there is no manager.
The service is O.
If I could, I will put 0 star</v>
      </c>
    </row>
    <row r="272" ht="15.75" customHeight="1">
      <c r="A272" s="2">
        <v>1.0</v>
      </c>
      <c r="B272" s="2" t="s">
        <v>867</v>
      </c>
      <c r="C272" s="2" t="s">
        <v>868</v>
      </c>
      <c r="D272" s="2" t="s">
        <v>20</v>
      </c>
      <c r="E272" s="2" t="s">
        <v>21</v>
      </c>
      <c r="F272" s="2" t="s">
        <v>15</v>
      </c>
      <c r="G272" s="2" t="s">
        <v>869</v>
      </c>
      <c r="H272" s="2" t="s">
        <v>290</v>
      </c>
      <c r="I272" s="2" t="str">
        <f>IFERROR(__xludf.DUMMYFUNCTION("GOOGLETRANSLATE(C272,""fr"",""en"")"),"Insurance that is useless of my car in July and theft of this one a few days later and no news from direct insurance that has been walking since July
They dare to continue to bring me a monthly payment every month and send me a new contract for a car tha"&amp;"t I no longer have.
They are strong.
TO FLEE")</f>
        <v>Insurance that is useless of my car in July and theft of this one a few days later and no news from direct insurance that has been walking since July
They dare to continue to bring me a monthly payment every month and send me a new contract for a car that I no longer have.
They are strong.
TO FLEE</v>
      </c>
    </row>
    <row r="273" ht="15.75" customHeight="1">
      <c r="A273" s="2">
        <v>3.0</v>
      </c>
      <c r="B273" s="2" t="s">
        <v>870</v>
      </c>
      <c r="C273" s="2" t="s">
        <v>871</v>
      </c>
      <c r="D273" s="2" t="s">
        <v>64</v>
      </c>
      <c r="E273" s="2" t="s">
        <v>21</v>
      </c>
      <c r="F273" s="2" t="s">
        <v>15</v>
      </c>
      <c r="G273" s="2" t="s">
        <v>17</v>
      </c>
      <c r="H273" s="2" t="s">
        <v>17</v>
      </c>
      <c r="I273" s="2" t="str">
        <f>IFERROR(__xludf.DUMMYFUNCTION("GOOGLETRANSLATE(C273,""fr"",""en"")"),"I am very satisfied with the service The advisers are attentive to our requests and make sure to find solutions if problems there are. I would vigorously recommend your insurance")</f>
        <v>I am very satisfied with the service The advisers are attentive to our requests and make sure to find solutions if problems there are. I would vigorously recommend your insurance</v>
      </c>
    </row>
    <row r="274" ht="15.75" customHeight="1">
      <c r="A274" s="2">
        <v>1.0</v>
      </c>
      <c r="B274" s="2" t="s">
        <v>872</v>
      </c>
      <c r="C274" s="2" t="s">
        <v>873</v>
      </c>
      <c r="D274" s="2" t="s">
        <v>371</v>
      </c>
      <c r="E274" s="2" t="s">
        <v>14</v>
      </c>
      <c r="F274" s="2" t="s">
        <v>15</v>
      </c>
      <c r="G274" s="2" t="s">
        <v>874</v>
      </c>
      <c r="H274" s="2" t="s">
        <v>112</v>
      </c>
      <c r="I274" s="2" t="str">
        <f>IFERROR(__xludf.DUMMYFUNCTION("GOOGLETRANSLATE(C274,""fr"",""en"")"),"I have been trying in vain to be reimbursed for a month. Despite multiple reminders, no response is provided to me except ""your file is being processed"". It's really unacceptable. I have never met so many deadlines with mutual health insurance. Flee thi"&amp;"s mutual.")</f>
        <v>I have been trying in vain to be reimbursed for a month. Despite multiple reminders, no response is provided to me except "your file is being processed". It's really unacceptable. I have never met so many deadlines with mutual health insurance. Flee this mutual.</v>
      </c>
    </row>
    <row r="275" ht="15.75" customHeight="1">
      <c r="A275" s="2">
        <v>3.0</v>
      </c>
      <c r="B275" s="2" t="s">
        <v>875</v>
      </c>
      <c r="C275" s="2" t="s">
        <v>876</v>
      </c>
      <c r="D275" s="2" t="s">
        <v>64</v>
      </c>
      <c r="E275" s="2" t="s">
        <v>21</v>
      </c>
      <c r="F275" s="2" t="s">
        <v>15</v>
      </c>
      <c r="G275" s="2" t="s">
        <v>57</v>
      </c>
      <c r="H275" s="2" t="s">
        <v>58</v>
      </c>
      <c r="I275" s="2" t="str">
        <f>IFERROR(__xludf.DUMMYFUNCTION("GOOGLETRANSLATE(C275,""fr"",""en"")"),"Soft satisfied just during the quote by phone must give back my information being already a customer at home is the price difference concerning insurance comparators is the insurer during the quote for the same coverage.")</f>
        <v>Soft satisfied just during the quote by phone must give back my information being already a customer at home is the price difference concerning insurance comparators is the insurer during the quote for the same coverage.</v>
      </c>
    </row>
    <row r="276" ht="15.75" customHeight="1">
      <c r="A276" s="2">
        <v>2.0</v>
      </c>
      <c r="B276" s="2" t="s">
        <v>877</v>
      </c>
      <c r="C276" s="2" t="s">
        <v>878</v>
      </c>
      <c r="D276" s="2" t="s">
        <v>78</v>
      </c>
      <c r="E276" s="2" t="s">
        <v>79</v>
      </c>
      <c r="F276" s="2" t="s">
        <v>15</v>
      </c>
      <c r="G276" s="2" t="s">
        <v>879</v>
      </c>
      <c r="H276" s="2" t="s">
        <v>667</v>
      </c>
      <c r="I276" s="2" t="str">
        <f>IFERROR(__xludf.DUMMYFUNCTION("GOOGLETRANSLATE(C276,""fr"",""en"")"),"Scooter stolen on 28/12/2019 found on 30/12/2019 by us in a district of Toulouse by paying a few young people to locate it. Documents National Flight and Restitution Police transmitted day by day in April. Provision with a Peugeot dealership. Since no new"&amp;"s. I find their non -intervention deplorable.")</f>
        <v>Scooter stolen on 28/12/2019 found on 30/12/2019 by us in a district of Toulouse by paying a few young people to locate it. Documents National Flight and Restitution Police transmitted day by day in April. Provision with a Peugeot dealership. Since no news. I find their non -intervention deplorable.</v>
      </c>
    </row>
    <row r="277" ht="15.75" customHeight="1">
      <c r="A277" s="2">
        <v>2.0</v>
      </c>
      <c r="B277" s="2" t="s">
        <v>880</v>
      </c>
      <c r="C277" s="2" t="s">
        <v>881</v>
      </c>
      <c r="D277" s="2" t="s">
        <v>20</v>
      </c>
      <c r="E277" s="2" t="s">
        <v>21</v>
      </c>
      <c r="F277" s="2" t="s">
        <v>15</v>
      </c>
      <c r="G277" s="2" t="s">
        <v>882</v>
      </c>
      <c r="H277" s="2" t="s">
        <v>178</v>
      </c>
      <c r="I277" s="2" t="str">
        <f>IFERROR(__xludf.DUMMYFUNCTION("GOOGLETRANSLATE(C277,""fr"",""en"")"),"I have no information on the connected case and its operation, when will I receive it? how it works ? I was debited by 216 euros but I don't even have the opportunity to install the case to lower the price")</f>
        <v>I have no information on the connected case and its operation, when will I receive it? how it works ? I was debited by 216 euros but I don't even have the opportunity to install the case to lower the price</v>
      </c>
    </row>
    <row r="278" ht="15.75" customHeight="1">
      <c r="A278" s="2">
        <v>4.0</v>
      </c>
      <c r="B278" s="2" t="s">
        <v>883</v>
      </c>
      <c r="C278" s="2" t="s">
        <v>884</v>
      </c>
      <c r="D278" s="2" t="s">
        <v>20</v>
      </c>
      <c r="E278" s="2" t="s">
        <v>21</v>
      </c>
      <c r="F278" s="2" t="s">
        <v>15</v>
      </c>
      <c r="G278" s="2" t="s">
        <v>313</v>
      </c>
      <c r="H278" s="2" t="s">
        <v>23</v>
      </c>
      <c r="I278" s="2" t="str">
        <f>IFERROR(__xludf.DUMMYFUNCTION("GOOGLETRANSLATE(C278,""fr"",""en"")"),"Very good insurance, very serious. Guaranteed 50 % bonus.
Perhaps a small effort to make on the price compared to the competition and the number of vehicles insured.
")</f>
        <v>Very good insurance, very serious. Guaranteed 50 % bonus.
Perhaps a small effort to make on the price compared to the competition and the number of vehicles insured.
</v>
      </c>
    </row>
    <row r="279" ht="15.75" customHeight="1">
      <c r="A279" s="2">
        <v>1.0</v>
      </c>
      <c r="B279" s="2" t="s">
        <v>885</v>
      </c>
      <c r="C279" s="2" t="s">
        <v>886</v>
      </c>
      <c r="D279" s="2" t="s">
        <v>281</v>
      </c>
      <c r="E279" s="2" t="s">
        <v>207</v>
      </c>
      <c r="F279" s="2" t="s">
        <v>15</v>
      </c>
      <c r="G279" s="2" t="s">
        <v>887</v>
      </c>
      <c r="H279" s="2" t="s">
        <v>888</v>
      </c>
      <c r="I279" s="2" t="str">
        <f>IFERROR(__xludf.DUMMYFUNCTION("GOOGLETRANSLATE(C279,""fr"",""en"")"),"If I could put 0 stars! Sinister of 10/28/2020. Call every day to be returned the next day. Without housing my husband and I, without business and without progress of the file. Still the same answer: pending the expert's report which has passed 2 times th"&amp;"e end of 2019. We go in circles without exit but Allianz does not care. Overflow of wastewater The apartment is unhealthy therefore uninhabitable and Allianz still asks us to wait.
Insurance to flee.")</f>
        <v>If I could put 0 stars! Sinister of 10/28/2020. Call every day to be returned the next day. Without housing my husband and I, without business and without progress of the file. Still the same answer: pending the expert's report which has passed 2 times the end of 2019. We go in circles without exit but Allianz does not care. Overflow of wastewater The apartment is unhealthy therefore uninhabitable and Allianz still asks us to wait.
Insurance to flee.</v>
      </c>
    </row>
    <row r="280" ht="15.75" customHeight="1">
      <c r="A280" s="2">
        <v>2.0</v>
      </c>
      <c r="B280" s="2" t="s">
        <v>889</v>
      </c>
      <c r="C280" s="2" t="s">
        <v>890</v>
      </c>
      <c r="D280" s="2" t="s">
        <v>891</v>
      </c>
      <c r="E280" s="2" t="s">
        <v>79</v>
      </c>
      <c r="F280" s="2" t="s">
        <v>15</v>
      </c>
      <c r="G280" s="2" t="s">
        <v>892</v>
      </c>
      <c r="H280" s="2" t="s">
        <v>888</v>
      </c>
      <c r="I280" s="2" t="str">
        <f>IFERROR(__xludf.DUMMYFUNCTION("GOOGLETRANSLATE(C280,""fr"",""en"")"),"I have been trying for 5 weeks to contact the Mutuelle des Motards to make sure, no response on the phone even by calling several times a day. Multiple online requests to be recalled without response and an email to the services of unanswered complaints t"&amp;"oo
I'm starting to get tired of it and the bike must be insured for Saturday so I think I go elsewhere or I will be answered at least if I don't have an answer before")</f>
        <v>I have been trying for 5 weeks to contact the Mutuelle des Motards to make sure, no response on the phone even by calling several times a day. Multiple online requests to be recalled without response and an email to the services of unanswered complaints too
I'm starting to get tired of it and the bike must be insured for Saturday so I think I go elsewhere or I will be answered at least if I don't have an answer before</v>
      </c>
    </row>
    <row r="281" ht="15.75" customHeight="1">
      <c r="A281" s="2">
        <v>1.0</v>
      </c>
      <c r="B281" s="2" t="s">
        <v>893</v>
      </c>
      <c r="C281" s="2" t="s">
        <v>894</v>
      </c>
      <c r="D281" s="2" t="s">
        <v>68</v>
      </c>
      <c r="E281" s="2" t="s">
        <v>14</v>
      </c>
      <c r="F281" s="2" t="s">
        <v>15</v>
      </c>
      <c r="G281" s="2" t="s">
        <v>895</v>
      </c>
      <c r="H281" s="2" t="s">
        <v>473</v>
      </c>
      <c r="I281" s="2" t="str">
        <f>IFERROR(__xludf.DUMMYFUNCTION("GOOGLETRANSLATE(C281,""fr"",""en"")")," Seek all the ways to prevent me from doing a termination which is in violation with the chatel law from their home openly lie to me with their broker from the firm Gratis who tells me not to be assured at home when Neoliane clearly tells me that I am at "&amp;"home
I'm fed up but having stopped payment at least I don't pay anymore by saying that he would call but obviously have not been able to pay them he doesn't care at this speed will end up in court")</f>
        <v> Seek all the ways to prevent me from doing a termination which is in violation with the chatel law from their home openly lie to me with their broker from the firm Gratis who tells me not to be assured at home when Neoliane clearly tells me that I am at home
I'm fed up but having stopped payment at least I don't pay anymore by saying that he would call but obviously have not been able to pay them he doesn't care at this speed will end up in court</v>
      </c>
    </row>
    <row r="282" ht="15.75" customHeight="1">
      <c r="A282" s="2">
        <v>1.0</v>
      </c>
      <c r="B282" s="2" t="s">
        <v>896</v>
      </c>
      <c r="C282" s="2" t="s">
        <v>897</v>
      </c>
      <c r="D282" s="2" t="s">
        <v>715</v>
      </c>
      <c r="E282" s="2" t="s">
        <v>14</v>
      </c>
      <c r="F282" s="2" t="s">
        <v>15</v>
      </c>
      <c r="G282" s="2" t="s">
        <v>898</v>
      </c>
      <c r="H282" s="2" t="s">
        <v>237</v>
      </c>
      <c r="I282" s="2" t="str">
        <f>IFERROR(__xludf.DUMMYFUNCTION("GOOGLETRANSLATE(C282,""fr"",""en"")"),"Mutual zero, unfortunately not the choice because it is that of my work, more than a month to respond to emails, and the reimbursement will not speak .....")</f>
        <v>Mutual zero, unfortunately not the choice because it is that of my work, more than a month to respond to emails, and the reimbursement will not speak .....</v>
      </c>
    </row>
    <row r="283" ht="15.75" customHeight="1">
      <c r="A283" s="2">
        <v>2.0</v>
      </c>
      <c r="B283" s="2" t="s">
        <v>605</v>
      </c>
      <c r="C283" s="2" t="s">
        <v>899</v>
      </c>
      <c r="D283" s="2" t="s">
        <v>155</v>
      </c>
      <c r="E283" s="2" t="s">
        <v>21</v>
      </c>
      <c r="F283" s="2" t="s">
        <v>15</v>
      </c>
      <c r="G283" s="2" t="s">
        <v>900</v>
      </c>
      <c r="H283" s="2" t="s">
        <v>428</v>
      </c>
      <c r="I283" s="2" t="str">
        <f>IFERROR(__xludf.DUMMYFUNCTION("GOOGLETRANSLATE(C283,""fr"",""en"")"),"I wanted to take out auto insurance at home, insured without interruption since 2005, no sinister a bonus of 0.50, my contract was terminated before the end of the 30 provisional days.
The reason: I was not insured as a main driver on the 24 deniers mont"&amp;"hs. I was ""only"" insured as a secondary driver, but on a contract of my parents, which apparently is not taken into account for Eurofil. All other insurers take this history into account. Unfortunately for me, I realized this subtlety too late, I had al"&amp;"ready paid the equivalent of 4 months of contributions, not recoverable according to them ...
Insurer to avoid!")</f>
        <v>I wanted to take out auto insurance at home, insured without interruption since 2005, no sinister a bonus of 0.50, my contract was terminated before the end of the 30 provisional days.
The reason: I was not insured as a main driver on the 24 deniers months. I was "only" insured as a secondary driver, but on a contract of my parents, which apparently is not taken into account for Eurofil. All other insurers take this history into account. Unfortunately for me, I realized this subtlety too late, I had already paid the equivalent of 4 months of contributions, not recoverable according to them ...
Insurer to avoid!</v>
      </c>
    </row>
    <row r="284" ht="15.75" customHeight="1">
      <c r="A284" s="2">
        <v>2.0</v>
      </c>
      <c r="B284" s="2" t="s">
        <v>901</v>
      </c>
      <c r="C284" s="2" t="s">
        <v>902</v>
      </c>
      <c r="D284" s="2" t="s">
        <v>281</v>
      </c>
      <c r="E284" s="2" t="s">
        <v>21</v>
      </c>
      <c r="F284" s="2" t="s">
        <v>15</v>
      </c>
      <c r="G284" s="2" t="s">
        <v>903</v>
      </c>
      <c r="H284" s="2" t="s">
        <v>112</v>
      </c>
      <c r="I284" s="2" t="str">
        <f>IFERROR(__xludf.DUMMYFUNCTION("GOOGLETRANSLATE(C284,""fr"",""en"")"),"This is the most zero system I know! It is the stress that is guaranteed!")</f>
        <v>This is the most zero system I know! It is the stress that is guaranteed!</v>
      </c>
    </row>
    <row r="285" ht="15.75" customHeight="1">
      <c r="A285" s="2">
        <v>4.0</v>
      </c>
      <c r="B285" s="2" t="s">
        <v>904</v>
      </c>
      <c r="C285" s="2" t="s">
        <v>905</v>
      </c>
      <c r="D285" s="2" t="s">
        <v>40</v>
      </c>
      <c r="E285" s="2" t="s">
        <v>14</v>
      </c>
      <c r="F285" s="2" t="s">
        <v>15</v>
      </c>
      <c r="G285" s="2" t="s">
        <v>906</v>
      </c>
      <c r="H285" s="2" t="s">
        <v>418</v>
      </c>
      <c r="I285" s="2" t="str">
        <f>IFERROR(__xludf.DUMMYFUNCTION("GOOGLETRANSLATE(C285,""fr"",""en"")"),"Hello,
I am very satisfied with the services rendered online by the MGP.
Simple and quick, the refund was fired on my account within 48 hours.
Cordially,
Joel")</f>
        <v>Hello,
I am very satisfied with the services rendered online by the MGP.
Simple and quick, the refund was fired on my account within 48 hours.
Cordially,
Joel</v>
      </c>
    </row>
    <row r="286" ht="15.75" customHeight="1">
      <c r="A286" s="2">
        <v>4.0</v>
      </c>
      <c r="B286" s="2" t="s">
        <v>907</v>
      </c>
      <c r="C286" s="2" t="s">
        <v>908</v>
      </c>
      <c r="D286" s="2" t="s">
        <v>20</v>
      </c>
      <c r="E286" s="2" t="s">
        <v>21</v>
      </c>
      <c r="F286" s="2" t="s">
        <v>15</v>
      </c>
      <c r="G286" s="2" t="s">
        <v>843</v>
      </c>
      <c r="H286" s="2" t="s">
        <v>23</v>
      </c>
      <c r="I286" s="2" t="str">
        <f>IFERROR(__xludf.DUMMYFUNCTION("GOOGLETRANSLATE(C286,""fr"",""en"")"),"I am satisfied with the service .. I did not experience any difficulty to request a quote ..
Prices suit me ..
Simple and practical ... and the advisor is very friendly ..")</f>
        <v>I am satisfied with the service .. I did not experience any difficulty to request a quote ..
Prices suit me ..
Simple and practical ... and the advisor is very friendly ..</v>
      </c>
    </row>
    <row r="287" ht="15.75" customHeight="1">
      <c r="A287" s="2">
        <v>3.0</v>
      </c>
      <c r="B287" s="2" t="s">
        <v>909</v>
      </c>
      <c r="C287" s="2" t="s">
        <v>910</v>
      </c>
      <c r="D287" s="2" t="s">
        <v>87</v>
      </c>
      <c r="E287" s="2" t="s">
        <v>79</v>
      </c>
      <c r="F287" s="2" t="s">
        <v>15</v>
      </c>
      <c r="G287" s="2" t="s">
        <v>617</v>
      </c>
      <c r="H287" s="2" t="s">
        <v>45</v>
      </c>
      <c r="I287" s="2" t="str">
        <f>IFERROR(__xludf.DUMMYFUNCTION("GOOGLETRANSLATE(C287,""fr"",""en"")"),"Simple and easy but a little expensive for young people! Otherwise you are great!
You should adapt your prices according to the age group and the salary of the person if not nothing to say once again!")</f>
        <v>Simple and easy but a little expensive for young people! Otherwise you are great!
You should adapt your prices according to the age group and the salary of the person if not nothing to say once again!</v>
      </c>
    </row>
    <row r="288" ht="15.75" customHeight="1">
      <c r="A288" s="2">
        <v>1.0</v>
      </c>
      <c r="B288" s="2" t="s">
        <v>911</v>
      </c>
      <c r="C288" s="2" t="s">
        <v>912</v>
      </c>
      <c r="D288" s="2" t="s">
        <v>95</v>
      </c>
      <c r="E288" s="2" t="s">
        <v>21</v>
      </c>
      <c r="F288" s="2" t="s">
        <v>15</v>
      </c>
      <c r="G288" s="2" t="s">
        <v>913</v>
      </c>
      <c r="H288" s="2" t="s">
        <v>17</v>
      </c>
      <c r="I288" s="2" t="str">
        <f>IFERROR(__xludf.DUMMYFUNCTION("GOOGLETRANSLATE(C288,""fr"",""en"")"),"I bought myself a car and she was burnt down 1 week later
Since the expert has passed but compensation has still not been settled, I have not had a car for 1 and a half months and they continue to take my monthly payment and do not respond to any message"&amp;"
I absolutely do not recommend this insurance")</f>
        <v>I bought myself a car and she was burnt down 1 week later
Since the expert has passed but compensation has still not been settled, I have not had a car for 1 and a half months and they continue to take my monthly payment and do not respond to any message
I absolutely do not recommend this insurance</v>
      </c>
    </row>
    <row r="289" ht="15.75" customHeight="1">
      <c r="A289" s="2">
        <v>5.0</v>
      </c>
      <c r="B289" s="2" t="s">
        <v>914</v>
      </c>
      <c r="C289" s="2" t="s">
        <v>915</v>
      </c>
      <c r="D289" s="2" t="s">
        <v>78</v>
      </c>
      <c r="E289" s="2" t="s">
        <v>79</v>
      </c>
      <c r="F289" s="2" t="s">
        <v>15</v>
      </c>
      <c r="G289" s="2" t="s">
        <v>916</v>
      </c>
      <c r="H289" s="2" t="s">
        <v>70</v>
      </c>
      <c r="I289" s="2" t="str">
        <f>IFERROR(__xludf.DUMMYFUNCTION("GOOGLETRANSLATE(C289,""fr"",""en"")"),"I am satisfied with the service and the prices.
Very good responsiveness of April agents.
Rapid and intuitive payment and quotes system.
I recommend this insurance.")</f>
        <v>I am satisfied with the service and the prices.
Very good responsiveness of April agents.
Rapid and intuitive payment and quotes system.
I recommend this insurance.</v>
      </c>
    </row>
    <row r="290" ht="15.75" customHeight="1">
      <c r="A290" s="2">
        <v>2.0</v>
      </c>
      <c r="B290" s="2" t="s">
        <v>917</v>
      </c>
      <c r="C290" s="2" t="s">
        <v>918</v>
      </c>
      <c r="D290" s="2" t="s">
        <v>64</v>
      </c>
      <c r="E290" s="2" t="s">
        <v>21</v>
      </c>
      <c r="F290" s="2" t="s">
        <v>15</v>
      </c>
      <c r="G290" s="2" t="s">
        <v>919</v>
      </c>
      <c r="H290" s="2" t="s">
        <v>380</v>
      </c>
      <c r="I290" s="2" t="str">
        <f>IFERROR(__xludf.DUMMYFUNCTION("GOOGLETRANSLATE(C290,""fr"",""en"")"),"Refuses to tow my car who broke down in Switzerland to a French garage and put it on their own in a garage in Switzerland (the border was however only a few kilometers).
Refusal of vehicle loan.
The car is not repairable (or too expensive) we want t"&amp;"o have it tow in France to destroy it in a center 20 minutes from where the car is, there too refusal because it is too old ...
Dismerce!
To flee!")</f>
        <v>Refuses to tow my car who broke down in Switzerland to a French garage and put it on their own in a garage in Switzerland (the border was however only a few kilometers).
Refusal of vehicle loan.
The car is not repairable (or too expensive) we want to have it tow in France to destroy it in a center 20 minutes from where the car is, there too refusal because it is too old ...
Dismerce!
To flee!</v>
      </c>
    </row>
    <row r="291" ht="15.75" customHeight="1">
      <c r="A291" s="2">
        <v>2.0</v>
      </c>
      <c r="B291" s="2" t="s">
        <v>920</v>
      </c>
      <c r="C291" s="2" t="s">
        <v>921</v>
      </c>
      <c r="D291" s="2" t="s">
        <v>119</v>
      </c>
      <c r="E291" s="2" t="s">
        <v>21</v>
      </c>
      <c r="F291" s="2" t="s">
        <v>15</v>
      </c>
      <c r="G291" s="2" t="s">
        <v>922</v>
      </c>
      <c r="H291" s="2" t="s">
        <v>394</v>
      </c>
      <c r="I291" s="2" t="str">
        <f>IFERROR(__xludf.DUMMYFUNCTION("GOOGLETRANSLATE(C291,""fr"",""en"")"),"Insurance which increases very often for no reason and threat letter for a single very unscrewed, I will change for another more human insurance")</f>
        <v>Insurance which increases very often for no reason and threat letter for a single very unscrewed, I will change for another more human insurance</v>
      </c>
    </row>
    <row r="292" ht="15.75" customHeight="1">
      <c r="A292" s="2">
        <v>3.0</v>
      </c>
      <c r="B292" s="2" t="s">
        <v>923</v>
      </c>
      <c r="C292" s="2" t="s">
        <v>924</v>
      </c>
      <c r="D292" s="2" t="s">
        <v>68</v>
      </c>
      <c r="E292" s="2" t="s">
        <v>14</v>
      </c>
      <c r="F292" s="2" t="s">
        <v>15</v>
      </c>
      <c r="G292" s="2" t="s">
        <v>925</v>
      </c>
      <c r="H292" s="2" t="s">
        <v>926</v>
      </c>
      <c r="I292" s="2" t="str">
        <f>IFERROR(__xludf.DUMMYFUNCTION("GOOGLETRANSLATE(C292,""fr"",""en"")"),"Neoliane responded quickly to my problem because I had not asked anything they simply canceled me the contract which had been subscribed without penalty I thank them for everything.
caramel")</f>
        <v>Neoliane responded quickly to my problem because I had not asked anything they simply canceled me the contract which had been subscribed without penalty I thank them for everything.
caramel</v>
      </c>
    </row>
    <row r="293" ht="15.75" customHeight="1">
      <c r="A293" s="2">
        <v>1.0</v>
      </c>
      <c r="B293" s="2" t="s">
        <v>927</v>
      </c>
      <c r="C293" s="2" t="s">
        <v>928</v>
      </c>
      <c r="D293" s="2" t="s">
        <v>200</v>
      </c>
      <c r="E293" s="2" t="s">
        <v>21</v>
      </c>
      <c r="F293" s="2" t="s">
        <v>15</v>
      </c>
      <c r="G293" s="2" t="s">
        <v>700</v>
      </c>
      <c r="H293" s="2" t="s">
        <v>17</v>
      </c>
      <c r="I293" s="2" t="str">
        <f>IFERROR(__xludf.DUMMYFUNCTION("GOOGLETRANSLATE(C293,""fr"",""en"")"),"I just sells my vehicle and I bought a new one, I called Active Insurance to ensure the new one, they wanted me to take out a new contract for the new vehicle and repay for 1 year when I paid there there At 1 month in full year for my old vehicle, they te"&amp;"ll me that at Active they do not change vehicle on 1 contract and in addition I must send them a registered man to cancel the contract of the old vehicle and surely that I wait for months to be reimbursed. , already I had to call them 3 times to have my n"&amp;"ew green card, to flee this insurance, I will ensure my vehicle elsewhere")</f>
        <v>I just sells my vehicle and I bought a new one, I called Active Insurance to ensure the new one, they wanted me to take out a new contract for the new vehicle and repay for 1 year when I paid there there At 1 month in full year for my old vehicle, they tell me that at Active they do not change vehicle on 1 contract and in addition I must send them a registered man to cancel the contract of the old vehicle and surely that I wait for months to be reimbursed. , already I had to call them 3 times to have my new green card, to flee this insurance, I will ensure my vehicle elsewhere</v>
      </c>
    </row>
    <row r="294" ht="15.75" customHeight="1">
      <c r="A294" s="2">
        <v>4.0</v>
      </c>
      <c r="B294" s="2" t="s">
        <v>929</v>
      </c>
      <c r="C294" s="2" t="s">
        <v>930</v>
      </c>
      <c r="D294" s="2" t="s">
        <v>277</v>
      </c>
      <c r="E294" s="2" t="s">
        <v>21</v>
      </c>
      <c r="F294" s="2" t="s">
        <v>15</v>
      </c>
      <c r="G294" s="2" t="s">
        <v>931</v>
      </c>
      <c r="H294" s="2" t="s">
        <v>70</v>
      </c>
      <c r="I294" s="2" t="str">
        <f>IFERROR(__xludf.DUMMYFUNCTION("GOOGLETRANSLATE(C294,""fr"",""en"")"),"We are very satisfied with the MAAF. Customers for 27 years, we lost our house following a fire in January 2020. The director of the St Jean de Luz agency was very attentive. The expertise took place 7 days later. The work started in early March. We had f"&amp;"ears following certain negative opinions. But thanks to our full formula contract we were compensated up to what we had lost. Thank you the maaf.")</f>
        <v>We are very satisfied with the MAAF. Customers for 27 years, we lost our house following a fire in January 2020. The director of the St Jean de Luz agency was very attentive. The expertise took place 7 days later. The work started in early March. We had fears following certain negative opinions. But thanks to our full formula contract we were compensated up to what we had lost. Thank you the maaf.</v>
      </c>
    </row>
    <row r="295" ht="15.75" customHeight="1">
      <c r="A295" s="2">
        <v>1.0</v>
      </c>
      <c r="B295" s="2" t="s">
        <v>932</v>
      </c>
      <c r="C295" s="2" t="s">
        <v>933</v>
      </c>
      <c r="D295" s="2" t="s">
        <v>20</v>
      </c>
      <c r="E295" s="2" t="s">
        <v>21</v>
      </c>
      <c r="F295" s="2" t="s">
        <v>15</v>
      </c>
      <c r="G295" s="2" t="s">
        <v>934</v>
      </c>
      <c r="H295" s="2" t="s">
        <v>23</v>
      </c>
      <c r="I295" s="2" t="str">
        <f>IFERROR(__xludf.DUMMYFUNCTION("GOOGLETRANSLATE(C295,""fr"",""en"")"),"Unhappy with the prices that increases every year:
 In 2016: 400 €
 In 2021: € 498
If they do not make an effort, I will go to the next deadline
It's more than 25% increase in 5 years, my salary has not been 25%")</f>
        <v>Unhappy with the prices that increases every year:
 In 2016: 400 €
 In 2021: € 498
If they do not make an effort, I will go to the next deadline
It's more than 25% increase in 5 years, my salary has not been 25%</v>
      </c>
    </row>
    <row r="296" ht="15.75" customHeight="1">
      <c r="A296" s="2">
        <v>5.0</v>
      </c>
      <c r="B296" s="2" t="s">
        <v>935</v>
      </c>
      <c r="C296" s="2" t="s">
        <v>936</v>
      </c>
      <c r="D296" s="2" t="s">
        <v>78</v>
      </c>
      <c r="E296" s="2" t="s">
        <v>79</v>
      </c>
      <c r="F296" s="2" t="s">
        <v>15</v>
      </c>
      <c r="G296" s="2" t="s">
        <v>937</v>
      </c>
      <c r="H296" s="2" t="s">
        <v>139</v>
      </c>
      <c r="I296" s="2" t="str">
        <f>IFERROR(__xludf.DUMMYFUNCTION("GOOGLETRANSLATE(C296,""fr"",""en"")"),"Hello simple not too expensive for the moment I am satisfied with your service I have been able to make my quad insure and I thank you good evening")</f>
        <v>Hello simple not too expensive for the moment I am satisfied with your service I have been able to make my quad insure and I thank you good evening</v>
      </c>
    </row>
    <row r="297" ht="15.75" customHeight="1">
      <c r="A297" s="2">
        <v>3.0</v>
      </c>
      <c r="B297" s="2" t="s">
        <v>938</v>
      </c>
      <c r="C297" s="2" t="s">
        <v>939</v>
      </c>
      <c r="D297" s="2" t="s">
        <v>87</v>
      </c>
      <c r="E297" s="2" t="s">
        <v>79</v>
      </c>
      <c r="F297" s="2" t="s">
        <v>15</v>
      </c>
      <c r="G297" s="2" t="s">
        <v>940</v>
      </c>
      <c r="H297" s="2" t="s">
        <v>45</v>
      </c>
      <c r="I297" s="2" t="str">
        <f>IFERROR(__xludf.DUMMYFUNCTION("GOOGLETRANSLATE(C297,""fr"",""en"")"),"The prices are high with only 1 year of motorcycle stop
28 years of license and almost 1000 euros in the year for a 2009 GSXR ...
I think the company should make a commercial gesture for former AMV customers")</f>
        <v>The prices are high with only 1 year of motorcycle stop
28 years of license and almost 1000 euros in the year for a 2009 GSXR ...
I think the company should make a commercial gesture for former AMV customers</v>
      </c>
    </row>
    <row r="298" ht="15.75" customHeight="1">
      <c r="A298" s="2">
        <v>1.0</v>
      </c>
      <c r="B298" s="2" t="s">
        <v>941</v>
      </c>
      <c r="C298" s="2" t="s">
        <v>942</v>
      </c>
      <c r="D298" s="2" t="s">
        <v>715</v>
      </c>
      <c r="E298" s="2" t="s">
        <v>14</v>
      </c>
      <c r="F298" s="2" t="s">
        <v>15</v>
      </c>
      <c r="G298" s="2" t="s">
        <v>943</v>
      </c>
      <c r="H298" s="2" t="s">
        <v>283</v>
      </c>
      <c r="I298" s="2" t="str">
        <f>IFERROR(__xludf.DUMMYFUNCTION("GOOGLETRANSLATE(C298,""fr"",""en"")"),"Deplorable service almost non -existent they can only be attached. Refunds are long to be treated. Mutual to avoid")</f>
        <v>Deplorable service almost non -existent they can only be attached. Refunds are long to be treated. Mutual to avoid</v>
      </c>
    </row>
    <row r="299" ht="15.75" customHeight="1">
      <c r="A299" s="2">
        <v>1.0</v>
      </c>
      <c r="B299" s="2" t="s">
        <v>944</v>
      </c>
      <c r="C299" s="2" t="s">
        <v>945</v>
      </c>
      <c r="D299" s="2" t="s">
        <v>20</v>
      </c>
      <c r="E299" s="2" t="s">
        <v>21</v>
      </c>
      <c r="F299" s="2" t="s">
        <v>15</v>
      </c>
      <c r="G299" s="2" t="s">
        <v>946</v>
      </c>
      <c r="H299" s="2" t="s">
        <v>274</v>
      </c>
      <c r="I299" s="2" t="str">
        <f>IFERROR(__xludf.DUMMYFUNCTION("GOOGLETRANSLATE(C299,""fr"",""en"")"),"It is incredible 25 % gets bad when I was not wrong we do not listen to the customer and even we are taken from above. I do not recommend and even I dissuade.")</f>
        <v>It is incredible 25 % gets bad when I was not wrong we do not listen to the customer and even we are taken from above. I do not recommend and even I dissuade.</v>
      </c>
    </row>
    <row r="300" ht="15.75" customHeight="1">
      <c r="A300" s="2">
        <v>4.0</v>
      </c>
      <c r="B300" s="2" t="s">
        <v>947</v>
      </c>
      <c r="C300" s="2" t="s">
        <v>948</v>
      </c>
      <c r="D300" s="2" t="s">
        <v>40</v>
      </c>
      <c r="E300" s="2" t="s">
        <v>14</v>
      </c>
      <c r="F300" s="2" t="s">
        <v>15</v>
      </c>
      <c r="G300" s="2" t="s">
        <v>23</v>
      </c>
      <c r="H300" s="2" t="s">
        <v>23</v>
      </c>
      <c r="I300" s="2" t="str">
        <f>IFERROR(__xludf.DUMMYFUNCTION("GOOGLETRANSLATE(C300,""fr"",""en"")"),"Refunds are fast. It is quite easy to contact an advisor by telephone. It's simple, the MGP takes care of social security and complementary health. On the other hand, concerning prices, compared to other complementary health, it is expensive. As far as I'"&amp;"m concerned, the price is 300 euros per month for an insured and a member. In the end, 5 stars for satisfaction and 3 stars for prices, I hesitated on the 2nd note, I thought of a 2.")</f>
        <v>Refunds are fast. It is quite easy to contact an advisor by telephone. It's simple, the MGP takes care of social security and complementary health. On the other hand, concerning prices, compared to other complementary health, it is expensive. As far as I'm concerned, the price is 300 euros per month for an insured and a member. In the end, 5 stars for satisfaction and 3 stars for prices, I hesitated on the 2nd note, I thought of a 2.</v>
      </c>
    </row>
    <row r="301" ht="15.75" customHeight="1">
      <c r="A301" s="2">
        <v>3.0</v>
      </c>
      <c r="B301" s="2" t="s">
        <v>949</v>
      </c>
      <c r="C301" s="2" t="s">
        <v>950</v>
      </c>
      <c r="D301" s="2" t="s">
        <v>40</v>
      </c>
      <c r="E301" s="2" t="s">
        <v>14</v>
      </c>
      <c r="F301" s="2" t="s">
        <v>15</v>
      </c>
      <c r="G301" s="2" t="s">
        <v>951</v>
      </c>
      <c r="H301" s="2" t="s">
        <v>42</v>
      </c>
      <c r="I301" s="2" t="str">
        <f>IFERROR(__xludf.DUMMYFUNCTION("GOOGLETRANSLATE(C301,""fr"",""en"")"),"The MGP is not worse than the other mutuals, on the contrary. The Toulouse agency receives us from Monday to Thursday and Friday by appointment. The advisers are pleasant and make every effort to satisfy members. I am delighted to be dealing with these pe"&amp;"ople when I need it because they show a lot of availability towards me each of my trips.")</f>
        <v>The MGP is not worse than the other mutuals, on the contrary. The Toulouse agency receives us from Monday to Thursday and Friday by appointment. The advisers are pleasant and make every effort to satisfy members. I am delighted to be dealing with these people when I need it because they show a lot of availability towards me each of my trips.</v>
      </c>
    </row>
    <row r="302" ht="15.75" customHeight="1">
      <c r="A302" s="2">
        <v>1.0</v>
      </c>
      <c r="B302" s="2" t="s">
        <v>952</v>
      </c>
      <c r="C302" s="2" t="s">
        <v>953</v>
      </c>
      <c r="D302" s="2" t="s">
        <v>709</v>
      </c>
      <c r="E302" s="2" t="s">
        <v>14</v>
      </c>
      <c r="F302" s="2" t="s">
        <v>15</v>
      </c>
      <c r="G302" s="2" t="s">
        <v>954</v>
      </c>
      <c r="H302" s="2" t="s">
        <v>408</v>
      </c>
      <c r="I302" s="2" t="str">
        <f>IFERROR(__xludf.DUMMYFUNCTION("GOOGLETRANSLATE(C302,""fr"",""en"")"),"Mr. W.Allen said: The difference between dictatorship and democracy is that the first says: firm there and the second: always causes. Welcome to MGEN")</f>
        <v>Mr. W.Allen said: The difference between dictatorship and democracy is that the first says: firm there and the second: always causes. Welcome to MGEN</v>
      </c>
    </row>
    <row r="303" ht="15.75" customHeight="1">
      <c r="A303" s="2">
        <v>5.0</v>
      </c>
      <c r="B303" s="2" t="s">
        <v>955</v>
      </c>
      <c r="C303" s="2" t="s">
        <v>956</v>
      </c>
      <c r="D303" s="2" t="s">
        <v>375</v>
      </c>
      <c r="E303" s="2" t="s">
        <v>14</v>
      </c>
      <c r="F303" s="2" t="s">
        <v>15</v>
      </c>
      <c r="G303" s="2" t="s">
        <v>957</v>
      </c>
      <c r="H303" s="2" t="s">
        <v>37</v>
      </c>
      <c r="I303" s="2" t="str">
        <f>IFERROR(__xludf.DUMMYFUNCTION("GOOGLETRANSLATE(C303,""fr"",""en"")"),"A very nice telephone reception, listening and supporting my questions at the top.
Thank you very much: for a first experience I am delighted!
Your advisor was able to take the time to explain the guarantees related to my contract as well as the steps t"&amp;"o be taken to benefit from the reimbursements that I did not even think.
All are congratulations to your advisor and thank you again for your support.")</f>
        <v>A very nice telephone reception, listening and supporting my questions at the top.
Thank you very much: for a first experience I am delighted!
Your advisor was able to take the time to explain the guarantees related to my contract as well as the steps to be taken to benefit from the reimbursements that I did not even think.
All are congratulations to your advisor and thank you again for your support.</v>
      </c>
    </row>
    <row r="304" ht="15.75" customHeight="1">
      <c r="A304" s="2">
        <v>4.0</v>
      </c>
      <c r="B304" s="2" t="s">
        <v>958</v>
      </c>
      <c r="C304" s="2" t="s">
        <v>959</v>
      </c>
      <c r="D304" s="2" t="s">
        <v>20</v>
      </c>
      <c r="E304" s="2" t="s">
        <v>21</v>
      </c>
      <c r="F304" s="2" t="s">
        <v>15</v>
      </c>
      <c r="G304" s="2" t="s">
        <v>960</v>
      </c>
      <c r="H304" s="2" t="s">
        <v>58</v>
      </c>
      <c r="I304" s="2" t="str">
        <f>IFERROR(__xludf.DUMMYFUNCTION("GOOGLETRANSLATE(C304,""fr"",""en"")"),"1 ° Contract € 529 spent at € 609 I find this increase a little too strong !!!
No claims since the subscription ...
As for the rest I am quite satisfied!
It remains to see (I hope never) the management of a disaster!")</f>
        <v>1 ° Contract € 529 spent at € 609 I find this increase a little too strong !!!
No claims since the subscription ...
As for the rest I am quite satisfied!
It remains to see (I hope never) the management of a disaster!</v>
      </c>
    </row>
    <row r="305" ht="15.75" customHeight="1">
      <c r="A305" s="2">
        <v>4.0</v>
      </c>
      <c r="B305" s="2" t="s">
        <v>961</v>
      </c>
      <c r="C305" s="2" t="s">
        <v>962</v>
      </c>
      <c r="D305" s="2" t="s">
        <v>78</v>
      </c>
      <c r="E305" s="2" t="s">
        <v>79</v>
      </c>
      <c r="F305" s="2" t="s">
        <v>15</v>
      </c>
      <c r="G305" s="2" t="s">
        <v>963</v>
      </c>
      <c r="H305" s="2" t="s">
        <v>70</v>
      </c>
      <c r="I305" s="2" t="str">
        <f>IFERROR(__xludf.DUMMYFUNCTION("GOOGLETRANSLATE(C305,""fr"",""en"")"),"Recommended by my motorcycle dealer, unable to ensure my new motorcycle at my usual insurer (because ""young license""). Simple and practical; Clear tariff grid")</f>
        <v>Recommended by my motorcycle dealer, unable to ensure my new motorcycle at my usual insurer (because "young license"). Simple and practical; Clear tariff grid</v>
      </c>
    </row>
    <row r="306" ht="15.75" customHeight="1">
      <c r="A306" s="2">
        <v>5.0</v>
      </c>
      <c r="B306" s="2" t="s">
        <v>964</v>
      </c>
      <c r="C306" s="2" t="s">
        <v>965</v>
      </c>
      <c r="D306" s="2" t="s">
        <v>891</v>
      </c>
      <c r="E306" s="2" t="s">
        <v>79</v>
      </c>
      <c r="F306" s="2" t="s">
        <v>15</v>
      </c>
      <c r="G306" s="2" t="s">
        <v>966</v>
      </c>
      <c r="H306" s="2" t="s">
        <v>353</v>
      </c>
      <c r="I306" s="2" t="str">
        <f>IFERROR(__xludf.DUMMYFUNCTION("GOOGLETRANSLATE(C306,""fr"",""en"")"),"Usually I have a hard tooth but there I am extremely surprised at the number of very negative opinions on the mutual of bikers.
I have been at home for 2 years, several insured motorcycles and scooters, and I have never encountered any problem, whether t"&amp;"o join them, ask for a document, declare a claim or be recalled.
Indeed I have come in the week to sell a motorcycle and buy another one, all of this was settled most normally in the world, I was recalled at the meeting time and everything is in order, i"&amp;"n addition At a super interesting price for at all risk.
It is certain that if the dissatisfied trying to call during confinement ... Also, it can be harder to reach your insurance on Saturday, many of us go to buy our grinders on weekends ...
This is m"&amp;"y experience, she is not intended to make consensus and I do not like to note the services and people, I do almost never, but there I found the opinions very very harsh and not reflecting in Nothing a reality experienced by myself and other bikers.")</f>
        <v>Usually I have a hard tooth but there I am extremely surprised at the number of very negative opinions on the mutual of bikers.
I have been at home for 2 years, several insured motorcycles and scooters, and I have never encountered any problem, whether to join them, ask for a document, declare a claim or be recalled.
Indeed I have come in the week to sell a motorcycle and buy another one, all of this was settled most normally in the world, I was recalled at the meeting time and everything is in order, in addition At a super interesting price for at all risk.
It is certain that if the dissatisfied trying to call during confinement ... Also, it can be harder to reach your insurance on Saturday, many of us go to buy our grinders on weekends ...
This is my experience, she is not intended to make consensus and I do not like to note the services and people, I do almost never, but there I found the opinions very very harsh and not reflecting in Nothing a reality experienced by myself and other bikers.</v>
      </c>
    </row>
    <row r="307" ht="15.75" customHeight="1">
      <c r="A307" s="2">
        <v>3.0</v>
      </c>
      <c r="B307" s="2" t="s">
        <v>967</v>
      </c>
      <c r="C307" s="2" t="s">
        <v>968</v>
      </c>
      <c r="D307" s="2" t="s">
        <v>20</v>
      </c>
      <c r="E307" s="2" t="s">
        <v>21</v>
      </c>
      <c r="F307" s="2" t="s">
        <v>15</v>
      </c>
      <c r="G307" s="2" t="s">
        <v>969</v>
      </c>
      <c r="H307" s="2" t="s">
        <v>23</v>
      </c>
      <c r="I307" s="2" t="str">
        <f>IFERROR(__xludf.DUMMYFUNCTION("GOOGLETRANSLATE(C307,""fr"",""en"")"),"An error on my contract which could have cost me dearly: billed in third parties instead of all risks, I was asked to pay 2 times fortunately that the bank blocked the payments. A lack of information. I will soon contact Direct Insurance to find out when "&amp;"and how to receive the case.")</f>
        <v>An error on my contract which could have cost me dearly: billed in third parties instead of all risks, I was asked to pay 2 times fortunately that the bank blocked the payments. A lack of information. I will soon contact Direct Insurance to find out when and how to receive the case.</v>
      </c>
    </row>
    <row r="308" ht="15.75" customHeight="1">
      <c r="A308" s="2">
        <v>1.0</v>
      </c>
      <c r="B308" s="2" t="s">
        <v>970</v>
      </c>
      <c r="C308" s="2" t="s">
        <v>971</v>
      </c>
      <c r="D308" s="2" t="s">
        <v>119</v>
      </c>
      <c r="E308" s="2" t="s">
        <v>207</v>
      </c>
      <c r="F308" s="2" t="s">
        <v>15</v>
      </c>
      <c r="G308" s="2" t="s">
        <v>972</v>
      </c>
      <c r="H308" s="2" t="s">
        <v>274</v>
      </c>
      <c r="I308" s="2" t="str">
        <f>IFERROR(__xludf.DUMMYFUNCTION("GOOGLETRANSLATE(C308,""fr"",""en"")"),"I have been struggling for 6 months to terminate a simple contract, I tried by mail, by email, by phone but impossible. They continue to take me, it's crazy.")</f>
        <v>I have been struggling for 6 months to terminate a simple contract, I tried by mail, by email, by phone but impossible. They continue to take me, it's crazy.</v>
      </c>
    </row>
    <row r="309" ht="15.75" customHeight="1">
      <c r="A309" s="2">
        <v>2.0</v>
      </c>
      <c r="B309" s="2" t="s">
        <v>973</v>
      </c>
      <c r="C309" s="2" t="s">
        <v>974</v>
      </c>
      <c r="D309" s="2" t="s">
        <v>35</v>
      </c>
      <c r="E309" s="2" t="s">
        <v>207</v>
      </c>
      <c r="F309" s="2" t="s">
        <v>15</v>
      </c>
      <c r="G309" s="2" t="s">
        <v>975</v>
      </c>
      <c r="H309" s="2" t="s">
        <v>116</v>
      </c>
      <c r="I309" s="2" t="str">
        <f>IFERROR(__xludf.DUMMYFUNCTION("GOOGLETRANSLATE(C309,""fr"",""en"")"),"Customer for 47 years, lately I have my pool shelter (storm warranty) is slightly deteriorated following strong winds. Answer GMF The winds are not greater than 100 km /h no consideration, my neighbor also disaster victims to his gutters torn off and the "&amp;"warranty is granted without problem, he insured at AXA. I change my insurance to show my disapproval")</f>
        <v>Customer for 47 years, lately I have my pool shelter (storm warranty) is slightly deteriorated following strong winds. Answer GMF The winds are not greater than 100 km /h no consideration, my neighbor also disaster victims to his gutters torn off and the warranty is granted without problem, he insured at AXA. I change my insurance to show my disapproval</v>
      </c>
    </row>
    <row r="310" ht="15.75" customHeight="1">
      <c r="A310" s="2">
        <v>2.0</v>
      </c>
      <c r="B310" s="2" t="s">
        <v>976</v>
      </c>
      <c r="C310" s="2" t="s">
        <v>977</v>
      </c>
      <c r="D310" s="2" t="s">
        <v>64</v>
      </c>
      <c r="E310" s="2" t="s">
        <v>21</v>
      </c>
      <c r="F310" s="2" t="s">
        <v>15</v>
      </c>
      <c r="G310" s="2" t="s">
        <v>978</v>
      </c>
      <c r="H310" s="2" t="s">
        <v>139</v>
      </c>
      <c r="I310" s="2" t="str">
        <f>IFERROR(__xludf.DUMMYFUNCTION("GOOGLETRANSLATE(C310,""fr"",""en"")"),"Hello,
My experience with this insurance is very very bad.
Indeed, I had an accident on June 8 and since June 25 we block my number. By calling as a masked number. I am answered.
After 1 month I receive an email, stipulating that following the expert"&amp;"'s opinion I would have made a false statement.
Because I saw that I had an Impcat by looking at the damage of my vehicle, as well as other damage.
You should know that I am assured of any risk and as you can imagine as you go to ice.
So what interest."&amp;"
When all is well they are, but when we need them, they are absent subscribers.
To run away absolutely.")</f>
        <v>Hello,
My experience with this insurance is very very bad.
Indeed, I had an accident on June 8 and since June 25 we block my number. By calling as a masked number. I am answered.
After 1 month I receive an email, stipulating that following the expert's opinion I would have made a false statement.
Because I saw that I had an Impcat by looking at the damage of my vehicle, as well as other damage.
You should know that I am assured of any risk and as you can imagine as you go to ice.
So what interest.
When all is well they are, but when we need them, they are absent subscribers.
To run away absolutely.</v>
      </c>
    </row>
    <row r="311" ht="15.75" customHeight="1">
      <c r="A311" s="2">
        <v>4.0</v>
      </c>
      <c r="B311" s="2" t="s">
        <v>979</v>
      </c>
      <c r="C311" s="2" t="s">
        <v>980</v>
      </c>
      <c r="D311" s="2" t="s">
        <v>13</v>
      </c>
      <c r="E311" s="2" t="s">
        <v>14</v>
      </c>
      <c r="F311" s="2" t="s">
        <v>15</v>
      </c>
      <c r="G311" s="2" t="s">
        <v>65</v>
      </c>
      <c r="H311" s="2" t="s">
        <v>23</v>
      </c>
      <c r="I311" s="2" t="str">
        <f>IFERROR(__xludf.DUMMYFUNCTION("GOOGLETRANSLATE(C311,""fr"",""en"")"),"Hello
I would like to thank my interlocutor Lamia who is very professional and especially attentive. She immediately identified the problem to settle and do step by step on the site in order to help me in my efforts. What patience on his part! Thank you "&amp;"Lamia")</f>
        <v>Hello
I would like to thank my interlocutor Lamia who is very professional and especially attentive. She immediately identified the problem to settle and do step by step on the site in order to help me in my efforts. What patience on his part! Thank you Lamia</v>
      </c>
    </row>
    <row r="312" ht="15.75" customHeight="1">
      <c r="A312" s="2">
        <v>5.0</v>
      </c>
      <c r="B312" s="2" t="s">
        <v>981</v>
      </c>
      <c r="C312" s="2" t="s">
        <v>982</v>
      </c>
      <c r="D312" s="2" t="s">
        <v>64</v>
      </c>
      <c r="E312" s="2" t="s">
        <v>21</v>
      </c>
      <c r="F312" s="2" t="s">
        <v>15</v>
      </c>
      <c r="G312" s="2" t="s">
        <v>983</v>
      </c>
      <c r="H312" s="2" t="s">
        <v>81</v>
      </c>
      <c r="I312" s="2" t="str">
        <f>IFERROR(__xludf.DUMMYFUNCTION("GOOGLETRANSLATE(C312,""fr"",""en"")"),"Fast and practical.
The prices are interesting and the possibilities of choice too. We receive everything instantly and we can drive quietly. Good road to all")</f>
        <v>Fast and practical.
The prices are interesting and the possibilities of choice too. We receive everything instantly and we can drive quietly. Good road to all</v>
      </c>
    </row>
    <row r="313" ht="15.75" customHeight="1">
      <c r="A313" s="2">
        <v>1.0</v>
      </c>
      <c r="B313" s="2" t="s">
        <v>984</v>
      </c>
      <c r="C313" s="2" t="s">
        <v>985</v>
      </c>
      <c r="D313" s="2" t="s">
        <v>109</v>
      </c>
      <c r="E313" s="2" t="s">
        <v>110</v>
      </c>
      <c r="F313" s="2" t="s">
        <v>15</v>
      </c>
      <c r="G313" s="2" t="s">
        <v>986</v>
      </c>
      <c r="H313" s="2" t="s">
        <v>667</v>
      </c>
      <c r="I313" s="2" t="str">
        <f>IFERROR(__xludf.DUMMYFUNCTION("GOOGLETRANSLATE(C313,""fr"",""en"")"),"Insurance to proscribe. Harassment for subscription. An ultra unpleasant interlocutor that takes the customer high. Finally I pass for a liar. I didn’t say what she explained to me. Finally the guarantees are absolutely not those that she tells me to such"&amp;". The broker agency a real Charlot. Go see elsewhere. Do not get fooled !!!! They make me vomit.")</f>
        <v>Insurance to proscribe. Harassment for subscription. An ultra unpleasant interlocutor that takes the customer high. Finally I pass for a liar. I didn’t say what she explained to me. Finally the guarantees are absolutely not those that she tells me to such. The broker agency a real Charlot. Go see elsewhere. Do not get fooled !!!! They make me vomit.</v>
      </c>
    </row>
    <row r="314" ht="15.75" customHeight="1">
      <c r="A314" s="2">
        <v>1.0</v>
      </c>
      <c r="B314" s="2" t="s">
        <v>987</v>
      </c>
      <c r="C314" s="2" t="s">
        <v>988</v>
      </c>
      <c r="D314" s="2" t="s">
        <v>64</v>
      </c>
      <c r="E314" s="2" t="s">
        <v>21</v>
      </c>
      <c r="F314" s="2" t="s">
        <v>15</v>
      </c>
      <c r="G314" s="2" t="s">
        <v>989</v>
      </c>
      <c r="H314" s="2" t="s">
        <v>990</v>
      </c>
      <c r="I314" s="2" t="str">
        <f>IFERROR(__xludf.DUMMYFUNCTION("GOOGLETRANSLATE(C314,""fr"",""en"")"),"Flee before having a disaster, because when it happens it will be too late.
I had a sinister, the olive tree sent me a so -called ""expert"" which has nothing of it, it considered that the repairs of my vehicle would cost more than its value before, so f"&amp;"ar ok , then he calls me and gives me the estimate of my vehicle before claiming which is 1800 euros while it is listed at 3180 euros, I therefore tell him that I do not agree with his estimate, As much as I am an automotive engineer and I work for the ma"&amp;"nufacturer of my vehicle, the pseudo expert house consultant therefore sends me advertisements of vehicles whose minimum price (on all ads) was 2890 euros except for one who is A commercial vehicle therefore 2 places to 2500, for the others it is not exac"&amp;"tly the same finishes either.
I make him a return of email with other announcements whose prices are between 2,900 and 3,600 euros, asking him to review his estimate taking into account all the elements brought
When he sends me the expert report, not on"&amp;"ly has he stayed on his estimate (which is an insult to the coast of the vehicle) in addition he puts in his report that he could not join me to agree on a value of the vehicle when we discussed on the phone and I gave it all the elements to tell him that"&amp;" his estimate is bogus
So advice quickly run away from this insurance company")</f>
        <v>Flee before having a disaster, because when it happens it will be too late.
I had a sinister, the olive tree sent me a so -called "expert" which has nothing of it, it considered that the repairs of my vehicle would cost more than its value before, so far ok , then he calls me and gives me the estimate of my vehicle before claiming which is 1800 euros while it is listed at 3180 euros, I therefore tell him that I do not agree with his estimate, As much as I am an automotive engineer and I work for the manufacturer of my vehicle, the pseudo expert house consultant therefore sends me advertisements of vehicles whose minimum price (on all ads) was 2890 euros except for one who is A commercial vehicle therefore 2 places to 2500, for the others it is not exactly the same finishes either.
I make him a return of email with other announcements whose prices are between 2,900 and 3,600 euros, asking him to review his estimate taking into account all the elements brought
When he sends me the expert report, not only has he stayed on his estimate (which is an insult to the coast of the vehicle) in addition he puts in his report that he could not join me to agree on a value of the vehicle when we discussed on the phone and I gave it all the elements to tell him that his estimate is bogus
So advice quickly run away from this insurance company</v>
      </c>
    </row>
    <row r="315" ht="15.75" customHeight="1">
      <c r="A315" s="2">
        <v>5.0</v>
      </c>
      <c r="B315" s="2" t="s">
        <v>991</v>
      </c>
      <c r="C315" s="2" t="s">
        <v>992</v>
      </c>
      <c r="D315" s="2" t="s">
        <v>13</v>
      </c>
      <c r="E315" s="2" t="s">
        <v>14</v>
      </c>
      <c r="F315" s="2" t="s">
        <v>15</v>
      </c>
      <c r="G315" s="2" t="s">
        <v>993</v>
      </c>
      <c r="H315" s="2" t="s">
        <v>237</v>
      </c>
      <c r="I315" s="2" t="str">
        <f>IFERROR(__xludf.DUMMYFUNCTION("GOOGLETRANSLATE(C315,""fr"",""en"")"),"very well inform .....")</f>
        <v>very well inform .....</v>
      </c>
    </row>
    <row r="316" ht="15.75" customHeight="1">
      <c r="A316" s="2">
        <v>3.0</v>
      </c>
      <c r="B316" s="2" t="s">
        <v>994</v>
      </c>
      <c r="C316" s="2" t="s">
        <v>995</v>
      </c>
      <c r="D316" s="2" t="s">
        <v>281</v>
      </c>
      <c r="E316" s="2" t="s">
        <v>21</v>
      </c>
      <c r="F316" s="2" t="s">
        <v>15</v>
      </c>
      <c r="G316" s="2" t="s">
        <v>16</v>
      </c>
      <c r="H316" s="2" t="s">
        <v>418</v>
      </c>
      <c r="I316" s="2" t="str">
        <f>IFERROR(__xludf.DUMMYFUNCTION("GOOGLETRANSLATE(C316,""fr"",""en"")"),"My cat was killed by a category dog, Allianz never wanted to prosecute the owner by saying that it was the opposing insurance that did not respond, despite the many reminders and the filing of complaints, Allianz succeeded in closing the folder...
I ha"&amp;"d a concern with a loan vehicle (I damaged a rim and a triangle), I made an observation from the advice of Allianz (advisor), answer: Allianz will do nothing on the pretext that It is not our vehicle that has had damage, I have paid from my pocket and in "&amp;"addition Allianz to keep the claim on the info statement.
Une responsible for a catchphrase, Allianz sent us an expert in finance and not the automobile, forced to tell him that I was going to call on another expert so that it moves, despite all the wo"&amp;"rk of expertise is sloppy.
I have known poor insurance but Allianz with AXA remains for me the worst I have known
")</f>
        <v>My cat was killed by a category dog, Allianz never wanted to prosecute the owner by saying that it was the opposing insurance that did not respond, despite the many reminders and the filing of complaints, Allianz succeeded in closing the folder...
I had a concern with a loan vehicle (I damaged a rim and a triangle), I made an observation from the advice of Allianz (advisor), answer: Allianz will do nothing on the pretext that It is not our vehicle that has had damage, I have paid from my pocket and in addition Allianz to keep the claim on the info statement.
Une responsible for a catchphrase, Allianz sent us an expert in finance and not the automobile, forced to tell him that I was going to call on another expert so that it moves, despite all the work of expertise is sloppy.
I have known poor insurance but Allianz with AXA remains for me the worst I have known
</v>
      </c>
    </row>
    <row r="317" ht="15.75" customHeight="1">
      <c r="A317" s="2">
        <v>4.0</v>
      </c>
      <c r="B317" s="2" t="s">
        <v>996</v>
      </c>
      <c r="C317" s="2" t="s">
        <v>997</v>
      </c>
      <c r="D317" s="2" t="s">
        <v>64</v>
      </c>
      <c r="E317" s="2" t="s">
        <v>21</v>
      </c>
      <c r="F317" s="2" t="s">
        <v>15</v>
      </c>
      <c r="G317" s="2" t="s">
        <v>447</v>
      </c>
      <c r="H317" s="2" t="s">
        <v>58</v>
      </c>
      <c r="I317" s="2" t="str">
        <f>IFERROR(__xludf.DUMMYFUNCTION("GOOGLETRANSLATE(C317,""fr"",""en"")"),"Maintains with the quality advisor, answer to my main questions.
We will see what it gives insurance.")</f>
        <v>Maintains with the quality advisor, answer to my main questions.
We will see what it gives insurance.</v>
      </c>
    </row>
    <row r="318" ht="15.75" customHeight="1">
      <c r="A318" s="2">
        <v>1.0</v>
      </c>
      <c r="B318" s="2" t="s">
        <v>998</v>
      </c>
      <c r="C318" s="2" t="s">
        <v>999</v>
      </c>
      <c r="D318" s="2" t="s">
        <v>277</v>
      </c>
      <c r="E318" s="2" t="s">
        <v>21</v>
      </c>
      <c r="F318" s="2" t="s">
        <v>15</v>
      </c>
      <c r="G318" s="2" t="s">
        <v>1000</v>
      </c>
      <c r="H318" s="2" t="s">
        <v>742</v>
      </c>
      <c r="I318" s="2" t="str">
        <f>IFERROR(__xludf.DUMMYFUNCTION("GOOGLETRANSLATE(C318,""fr"",""en"")"),"I am not assuring them, and for good reason here I was going to one of their agency, I admit that I was very well received, but unfortunately they refused, to assure me without having expressed my file under the pretext that he did not take a young driver"&amp;", if their parents did not have a contract with them, faced with such a form of discrimination I am not insisting and I went to see Aillieur today I am at Allianz on contract all risk At 2,300 euros per year, or 200 euros per month. So far I haven't had a"&amp;" claim. Save it is a bit expensive but I prefer to pay a little expensive for insurance that accepts the juinnesses driver, the Macif refuse me too but they have studied my file and took the time to ex for what (because That I am a young driver with a car"&amp;" a bit too ""powerful"" for me for a low scheme) and I understand completely. Even today I still do not understand how the fact that my parents are insurely to them would be so essential for me to be major !! I be my turn")</f>
        <v>I am not assuring them, and for good reason here I was going to one of their agency, I admit that I was very well received, but unfortunately they refused, to assure me without having expressed my file under the pretext that he did not take a young driver, if their parents did not have a contract with them, faced with such a form of discrimination I am not insisting and I went to see Aillieur today I am at Allianz on contract all risk At 2,300 euros per year, or 200 euros per month. So far I haven't had a claim. Save it is a bit expensive but I prefer to pay a little expensive for insurance that accepts the juinnesses driver, the Macif refuse me too but they have studied my file and took the time to ex for what (because That I am a young driver with a car a bit too "powerful" for me for a low scheme) and I understand completely. Even today I still do not understand how the fact that my parents are insurely to them would be so essential for me to be major !! I be my turn</v>
      </c>
    </row>
    <row r="319" ht="15.75" customHeight="1">
      <c r="A319" s="2">
        <v>1.0</v>
      </c>
      <c r="B319" s="2" t="s">
        <v>1001</v>
      </c>
      <c r="C319" s="2" t="s">
        <v>1002</v>
      </c>
      <c r="D319" s="2" t="s">
        <v>193</v>
      </c>
      <c r="E319" s="2" t="s">
        <v>74</v>
      </c>
      <c r="F319" s="2" t="s">
        <v>15</v>
      </c>
      <c r="G319" s="2" t="s">
        <v>1003</v>
      </c>
      <c r="H319" s="2" t="s">
        <v>32</v>
      </c>
      <c r="I319" s="2" t="str">
        <f>IFERROR(__xludf.DUMMYFUNCTION("GOOGLETRANSLATE(C319,""fr"",""en"")"),"When your Hyèrois advisor cheats on the requested product.
May the SCE Customer give you false information.
When you are not informed of your rights when you ask for explanations.
 ")</f>
        <v>When your Hyèrois advisor cheats on the requested product.
May the SCE Customer give you false information.
When you are not informed of your rights when you ask for explanations.
 </v>
      </c>
    </row>
    <row r="320" ht="15.75" customHeight="1">
      <c r="A320" s="2">
        <v>2.0</v>
      </c>
      <c r="B320" s="2" t="s">
        <v>1004</v>
      </c>
      <c r="C320" s="2" t="s">
        <v>1005</v>
      </c>
      <c r="D320" s="2" t="s">
        <v>64</v>
      </c>
      <c r="E320" s="2" t="s">
        <v>21</v>
      </c>
      <c r="F320" s="2" t="s">
        <v>15</v>
      </c>
      <c r="G320" s="2" t="s">
        <v>1006</v>
      </c>
      <c r="H320" s="2" t="s">
        <v>45</v>
      </c>
      <c r="I320" s="2" t="str">
        <f>IFERROR(__xludf.DUMMYFUNCTION("GOOGLETRANSLATE(C320,""fr"",""en"")"),"Hello,
I do not understand why I have subscribed to a family pack insurance and that I do not have the right to receive the documents on my e-mailbox when it is I who manage the documents with us. And that it is my spouse who must sign the documents for "&amp;"me! Thank you
Samiha Djellali
Cordially")</f>
        <v>Hello,
I do not understand why I have subscribed to a family pack insurance and that I do not have the right to receive the documents on my e-mailbox when it is I who manage the documents with us. And that it is my spouse who must sign the documents for me! Thank you
Samiha Djellali
Cordially</v>
      </c>
    </row>
    <row r="321" ht="15.75" customHeight="1">
      <c r="A321" s="2">
        <v>4.0</v>
      </c>
      <c r="B321" s="2" t="s">
        <v>1007</v>
      </c>
      <c r="C321" s="2" t="s">
        <v>1008</v>
      </c>
      <c r="D321" s="2" t="s">
        <v>78</v>
      </c>
      <c r="E321" s="2" t="s">
        <v>79</v>
      </c>
      <c r="F321" s="2" t="s">
        <v>15</v>
      </c>
      <c r="G321" s="2" t="s">
        <v>414</v>
      </c>
      <c r="H321" s="2" t="s">
        <v>58</v>
      </c>
      <c r="I321" s="2" t="str">
        <f>IFERROR(__xludf.DUMMYFUNCTION("GOOGLETRANSLATE(C321,""fr"",""en"")"),"I am satisfied with the service, the prices are rather interesting for young people. I recommend it to everyone . You still have to see some things about the questionnaire more deepened it.")</f>
        <v>I am satisfied with the service, the prices are rather interesting for young people. I recommend it to everyone . You still have to see some things about the questionnaire more deepened it.</v>
      </c>
    </row>
    <row r="322" ht="15.75" customHeight="1">
      <c r="A322" s="2">
        <v>5.0</v>
      </c>
      <c r="B322" s="2" t="s">
        <v>1009</v>
      </c>
      <c r="C322" s="2" t="s">
        <v>1010</v>
      </c>
      <c r="D322" s="2" t="s">
        <v>64</v>
      </c>
      <c r="E322" s="2" t="s">
        <v>21</v>
      </c>
      <c r="F322" s="2" t="s">
        <v>15</v>
      </c>
      <c r="G322" s="2" t="s">
        <v>149</v>
      </c>
      <c r="H322" s="2" t="s">
        <v>139</v>
      </c>
      <c r="I322" s="2" t="str">
        <f>IFERROR(__xludf.DUMMYFUNCTION("GOOGLETRANSLATE(C322,""fr"",""en"")"),"Serious fast insurance and patience for waiting to recover documents or failure thank you
Correct insurance, hope you will offer other services")</f>
        <v>Serious fast insurance and patience for waiting to recover documents or failure thank you
Correct insurance, hope you will offer other services</v>
      </c>
    </row>
    <row r="323" ht="15.75" customHeight="1">
      <c r="A323" s="2">
        <v>1.0</v>
      </c>
      <c r="B323" s="2" t="s">
        <v>1011</v>
      </c>
      <c r="C323" s="2" t="s">
        <v>1012</v>
      </c>
      <c r="D323" s="2" t="s">
        <v>256</v>
      </c>
      <c r="E323" s="2" t="s">
        <v>207</v>
      </c>
      <c r="F323" s="2" t="s">
        <v>15</v>
      </c>
      <c r="G323" s="2" t="s">
        <v>1013</v>
      </c>
      <c r="H323" s="2" t="s">
        <v>45</v>
      </c>
      <c r="I323" s="2" t="str">
        <f>IFERROR(__xludf.DUMMYFUNCTION("GOOGLETRANSLATE(C323,""fr"",""en"")"),"Bravo for the slowness of the file, the collaborator sick every 2 days and the files that stop during the month of August. It is a shame, which is more work with experts who do not do their job on time. I do not recommend, good insurance is important will"&amp;" see elsewhere. I wouldn't make the mistake a second time")</f>
        <v>Bravo for the slowness of the file, the collaborator sick every 2 days and the files that stop during the month of August. It is a shame, which is more work with experts who do not do their job on time. I do not recommend, good insurance is important will see elsewhere. I wouldn't make the mistake a second time</v>
      </c>
    </row>
    <row r="324" ht="15.75" customHeight="1">
      <c r="A324" s="2">
        <v>2.0</v>
      </c>
      <c r="B324" s="2" t="s">
        <v>1014</v>
      </c>
      <c r="C324" s="2" t="s">
        <v>1015</v>
      </c>
      <c r="D324" s="2" t="s">
        <v>20</v>
      </c>
      <c r="E324" s="2" t="s">
        <v>21</v>
      </c>
      <c r="F324" s="2" t="s">
        <v>15</v>
      </c>
      <c r="G324" s="2" t="s">
        <v>1016</v>
      </c>
      <c r="H324" s="2" t="s">
        <v>742</v>
      </c>
      <c r="I324" s="2" t="str">
        <f>IFERROR(__xludf.DUMMYFUNCTION("GOOGLETRANSLATE(C324,""fr"",""en"")"),"Hello. Too bad we can't put 0 star. Nobody on the phone. Requires paying 500 euros without the possibility of monthly payment. Insult by phone and so on. My child became disabled following an accident and no care. It's a catastrophe. Above all, do not cal"&amp;"l on them. Awful and shameful.")</f>
        <v>Hello. Too bad we can't put 0 star. Nobody on the phone. Requires paying 500 euros without the possibility of monthly payment. Insult by phone and so on. My child became disabled following an accident and no care. It's a catastrophe. Above all, do not call on them. Awful and shameful.</v>
      </c>
    </row>
    <row r="325" ht="15.75" customHeight="1">
      <c r="A325" s="2">
        <v>4.0</v>
      </c>
      <c r="B325" s="2" t="s">
        <v>1017</v>
      </c>
      <c r="C325" s="2" t="s">
        <v>1018</v>
      </c>
      <c r="D325" s="2" t="s">
        <v>87</v>
      </c>
      <c r="E325" s="2" t="s">
        <v>79</v>
      </c>
      <c r="F325" s="2" t="s">
        <v>15</v>
      </c>
      <c r="G325" s="2" t="s">
        <v>497</v>
      </c>
      <c r="H325" s="2" t="s">
        <v>89</v>
      </c>
      <c r="I325" s="2" t="str">
        <f>IFERROR(__xludf.DUMMYFUNCTION("GOOGLETRANSLATE(C325,""fr"",""en"")"),"AMV adhesion for word insurance is simple and practical. Performing in just a few minutes, that's what I was looking for. I RECOMMEND")</f>
        <v>AMV adhesion for word insurance is simple and practical. Performing in just a few minutes, that's what I was looking for. I RECOMMEND</v>
      </c>
    </row>
    <row r="326" ht="15.75" customHeight="1">
      <c r="A326" s="2">
        <v>5.0</v>
      </c>
      <c r="B326" s="2" t="s">
        <v>1019</v>
      </c>
      <c r="C326" s="2" t="s">
        <v>1020</v>
      </c>
      <c r="D326" s="2" t="s">
        <v>68</v>
      </c>
      <c r="E326" s="2" t="s">
        <v>14</v>
      </c>
      <c r="F326" s="2" t="s">
        <v>15</v>
      </c>
      <c r="G326" s="2" t="s">
        <v>1021</v>
      </c>
      <c r="H326" s="2" t="s">
        <v>17</v>
      </c>
      <c r="I326" s="2" t="str">
        <f>IFERROR(__xludf.DUMMYFUNCTION("GOOGLETRANSLATE(C326,""fr"",""en"")"),"        I just had one of your employees by phone who is called Ramata. The latter very pleasant and very professional informed us very well and agreed to our requests.
         Person to congratulate
          Sylviane Dubois")</f>
        <v>        I just had one of your employees by phone who is called Ramata. The latter very pleasant and very professional informed us very well and agreed to our requests.
         Person to congratulate
          Sylviane Dubois</v>
      </c>
    </row>
    <row r="327" ht="15.75" customHeight="1">
      <c r="A327" s="2">
        <v>4.0</v>
      </c>
      <c r="B327" s="2" t="s">
        <v>1022</v>
      </c>
      <c r="C327" s="2" t="s">
        <v>1023</v>
      </c>
      <c r="D327" s="2" t="s">
        <v>523</v>
      </c>
      <c r="E327" s="2" t="s">
        <v>450</v>
      </c>
      <c r="F327" s="2" t="s">
        <v>15</v>
      </c>
      <c r="G327" s="2" t="s">
        <v>421</v>
      </c>
      <c r="H327" s="2" t="s">
        <v>178</v>
      </c>
      <c r="I327" s="2" t="str">
        <f>IFERROR(__xludf.DUMMYFUNCTION("GOOGLETRANSLATE(C327,""fr"",""en"")"),"We thought you were taking care of the papers to send to the bank. But otherwise very close responsiveness and customer service! Thanking you and wishing you a great day")</f>
        <v>We thought you were taking care of the papers to send to the bank. But otherwise very close responsiveness and customer service! Thanking you and wishing you a great day</v>
      </c>
    </row>
    <row r="328" ht="15.75" customHeight="1">
      <c r="A328" s="2">
        <v>3.0</v>
      </c>
      <c r="B328" s="2" t="s">
        <v>1024</v>
      </c>
      <c r="C328" s="2" t="s">
        <v>1025</v>
      </c>
      <c r="D328" s="2" t="s">
        <v>20</v>
      </c>
      <c r="E328" s="2" t="s">
        <v>21</v>
      </c>
      <c r="F328" s="2" t="s">
        <v>15</v>
      </c>
      <c r="G328" s="2" t="s">
        <v>1026</v>
      </c>
      <c r="H328" s="2" t="s">
        <v>23</v>
      </c>
      <c r="I328" s="2" t="str">
        <f>IFERROR(__xludf.DUMMYFUNCTION("GOOGLETRANSLATE(C328,""fr"",""en"")"),"I am satisfied with the service generally, but it would be good to lower the prices a little
I think you can make an effort on the value for money.
I would also like that we can automatically download our certificates up to date on your site.
Best rega"&amp;"rds,")</f>
        <v>I am satisfied with the service generally, but it would be good to lower the prices a little
I think you can make an effort on the value for money.
I would also like that we can automatically download our certificates up to date on your site.
Best regards,</v>
      </c>
    </row>
    <row r="329" ht="15.75" customHeight="1">
      <c r="A329" s="2">
        <v>2.0</v>
      </c>
      <c r="B329" s="2" t="s">
        <v>1027</v>
      </c>
      <c r="C329" s="2" t="s">
        <v>1028</v>
      </c>
      <c r="D329" s="2" t="s">
        <v>142</v>
      </c>
      <c r="E329" s="2" t="s">
        <v>207</v>
      </c>
      <c r="F329" s="2" t="s">
        <v>15</v>
      </c>
      <c r="G329" s="2" t="s">
        <v>1029</v>
      </c>
      <c r="H329" s="2" t="s">
        <v>101</v>
      </c>
      <c r="I329" s="2" t="str">
        <f>IFERROR(__xludf.DUMMYFUNCTION("GOOGLETRANSLATE(C329,""fr"",""en"")"),"Hello,
I send you this email to express my very dissatisfaction.
Indeed after several exchanges with your services and the IMH served concerning the disaster home in 10/2019 !!
Your IMH advisor told me that you were going to pay me a sum of € 1750 "&amp;"corresponding to the quote provided by the craftsman I chose to do the work. Indeed after several months of delay and negotiations they turned out that your partner company cannot do the work in full.
I received a transfer from you an amount of € 1213 !!"&amp;"
I find that your management is slow and inadmissible in addition to repeated lies. I ask on behalf of the Data Protection Act and the full file and the notes registered there and the telephone recordings with your services and those of Intermovers Hab"&amp;"itat. The last date of 04/22/2020 where your IMH advisor told me the transfer within 4 days of the sum of 1750 €.
I also point out to you that all of my contracts: Housing + two cars and mortgage loan will be terminated if you do not pay me the agreed "&amp;"amount.
Thank you in advance for the treatment
Cordially.
")</f>
        <v>Hello,
I send you this email to express my very dissatisfaction.
Indeed after several exchanges with your services and the IMH served concerning the disaster home in 10/2019 !!
Your IMH advisor told me that you were going to pay me a sum of € 1750 corresponding to the quote provided by the craftsman I chose to do the work. Indeed after several months of delay and negotiations they turned out that your partner company cannot do the work in full.
I received a transfer from you an amount of € 1213 !!
I find that your management is slow and inadmissible in addition to repeated lies. I ask on behalf of the Data Protection Act and the full file and the notes registered there and the telephone recordings with your services and those of Intermovers Habitat. The last date of 04/22/2020 where your IMH advisor told me the transfer within 4 days of the sum of 1750 €.
I also point out to you that all of my contracts: Housing + two cars and mortgage loan will be terminated if you do not pay me the agreed amount.
Thank you in advance for the treatment
Cordially.
</v>
      </c>
    </row>
    <row r="330" ht="15.75" customHeight="1">
      <c r="A330" s="2">
        <v>1.0</v>
      </c>
      <c r="B330" s="2" t="s">
        <v>1030</v>
      </c>
      <c r="C330" s="2" t="s">
        <v>1031</v>
      </c>
      <c r="D330" s="2" t="s">
        <v>119</v>
      </c>
      <c r="E330" s="2" t="s">
        <v>207</v>
      </c>
      <c r="F330" s="2" t="s">
        <v>15</v>
      </c>
      <c r="G330" s="2" t="s">
        <v>112</v>
      </c>
      <c r="H330" s="2" t="s">
        <v>112</v>
      </c>
      <c r="I330" s="2" t="str">
        <f>IFERROR(__xludf.DUMMYFUNCTION("GOOGLETRANSLATE(C330,""fr"",""en"")"),"Following a non -responsible disaster, I desperately await AXA compensation for damage suffered ... almost 4 months of recovery to hear me say: ""It will happen at the latest weekend my little gentleman"". Basically, you have to understand that AXA is ver"&amp;"y welcoming for new customers but in the end treats you as a less than nothing. I have advanced all the costs of repairing and presented all the invoices ... A disaster!")</f>
        <v>Following a non -responsible disaster, I desperately await AXA compensation for damage suffered ... almost 4 months of recovery to hear me say: "It will happen at the latest weekend my little gentleman". Basically, you have to understand that AXA is very welcoming for new customers but in the end treats you as a less than nothing. I have advanced all the costs of repairing and presented all the invoices ... A disaster!</v>
      </c>
    </row>
    <row r="331" ht="15.75" customHeight="1">
      <c r="A331" s="2">
        <v>1.0</v>
      </c>
      <c r="B331" s="2" t="s">
        <v>1032</v>
      </c>
      <c r="C331" s="2" t="s">
        <v>1033</v>
      </c>
      <c r="D331" s="2" t="s">
        <v>20</v>
      </c>
      <c r="E331" s="2" t="s">
        <v>21</v>
      </c>
      <c r="F331" s="2" t="s">
        <v>15</v>
      </c>
      <c r="G331" s="2" t="s">
        <v>1034</v>
      </c>
      <c r="H331" s="2" t="s">
        <v>182</v>
      </c>
      <c r="I331" s="2" t="str">
        <f>IFERROR(__xludf.DUMMYFUNCTION("GOOGLETRANSLATE(C331,""fr"",""en"")"),"Radied due to late payment because I was abroad. I come back and regulate my subscription and I expect to be insured for a year less my delay in payment. And although Queneni, I paid a contribution of one year and they never assured me. All this for a del"&amp;"ay of less than two months.
They did not try to understand the situation. I had been insured for years at home and I have always paid Rubis on nail. In short, I especially do not recommend.")</f>
        <v>Radied due to late payment because I was abroad. I come back and regulate my subscription and I expect to be insured for a year less my delay in payment. And although Queneni, I paid a contribution of one year and they never assured me. All this for a delay of less than two months.
They did not try to understand the situation. I had been insured for years at home and I have always paid Rubis on nail. In short, I especially do not recommend.</v>
      </c>
    </row>
    <row r="332" ht="15.75" customHeight="1">
      <c r="A332" s="2">
        <v>1.0</v>
      </c>
      <c r="B332" s="2" t="s">
        <v>1035</v>
      </c>
      <c r="C332" s="2" t="s">
        <v>1036</v>
      </c>
      <c r="D332" s="2" t="s">
        <v>20</v>
      </c>
      <c r="E332" s="2" t="s">
        <v>21</v>
      </c>
      <c r="F332" s="2" t="s">
        <v>15</v>
      </c>
      <c r="G332" s="2" t="s">
        <v>1037</v>
      </c>
      <c r="H332" s="2" t="s">
        <v>888</v>
      </c>
      <c r="I332" s="2" t="str">
        <f>IFERROR(__xludf.DUMMYFUNCTION("GOOGLETRANSLATE(C332,""fr"",""en"")"),"I found an increase of 5% on a contract for any risk in car replacement 2 months after subscription. I wrote but I am told that it's normal ... repairs increase. I have been a client since 2014 but I'm looking to leave. In comparison they are now more exp"&amp;"ensive than anxa, mma, aviva, etc.")</f>
        <v>I found an increase of 5% on a contract for any risk in car replacement 2 months after subscription. I wrote but I am told that it's normal ... repairs increase. I have been a client since 2014 but I'm looking to leave. In comparison they are now more expensive than anxa, mma, aviva, etc.</v>
      </c>
    </row>
    <row r="333" ht="15.75" customHeight="1">
      <c r="A333" s="2">
        <v>1.0</v>
      </c>
      <c r="B333" s="2" t="s">
        <v>1038</v>
      </c>
      <c r="C333" s="2" t="s">
        <v>1039</v>
      </c>
      <c r="D333" s="2" t="s">
        <v>371</v>
      </c>
      <c r="E333" s="2" t="s">
        <v>14</v>
      </c>
      <c r="F333" s="2" t="s">
        <v>15</v>
      </c>
      <c r="G333" s="2" t="s">
        <v>1040</v>
      </c>
      <c r="H333" s="2" t="s">
        <v>274</v>
      </c>
      <c r="I333" s="2" t="str">
        <f>IFERROR(__xludf.DUMMYFUNCTION("GOOGLETRANSLATE(C333,""fr"",""en"")"),"Null customer service. Above all, you shouldn't see any problems. They wait 4 days before giving you an answer, if they remind you !!! Suddenly, they made me look at 4 months to have just a yes or a no")</f>
        <v>Null customer service. Above all, you shouldn't see any problems. They wait 4 days before giving you an answer, if they remind you !!! Suddenly, they made me look at 4 months to have just a yes or a no</v>
      </c>
    </row>
    <row r="334" ht="15.75" customHeight="1">
      <c r="A334" s="2">
        <v>5.0</v>
      </c>
      <c r="B334" s="2" t="s">
        <v>1041</v>
      </c>
      <c r="C334" s="2" t="s">
        <v>1042</v>
      </c>
      <c r="D334" s="2" t="s">
        <v>20</v>
      </c>
      <c r="E334" s="2" t="s">
        <v>21</v>
      </c>
      <c r="F334" s="2" t="s">
        <v>15</v>
      </c>
      <c r="G334" s="2" t="s">
        <v>609</v>
      </c>
      <c r="H334" s="2" t="s">
        <v>89</v>
      </c>
      <c r="I334" s="2" t="str">
        <f>IFERROR(__xludf.DUMMYFUNCTION("GOOGLETRANSLATE(C334,""fr"",""en"")"),"I am very satisfied with direct insurance.
I recommend the services and prices that are very competitive.
Really delighted with the entire site and everything.")</f>
        <v>I am very satisfied with direct insurance.
I recommend the services and prices that are very competitive.
Really delighted with the entire site and everything.</v>
      </c>
    </row>
    <row r="335" ht="15.75" customHeight="1">
      <c r="A335" s="2">
        <v>5.0</v>
      </c>
      <c r="B335" s="2" t="s">
        <v>1043</v>
      </c>
      <c r="C335" s="2" t="s">
        <v>1044</v>
      </c>
      <c r="D335" s="2" t="s">
        <v>64</v>
      </c>
      <c r="E335" s="2" t="s">
        <v>21</v>
      </c>
      <c r="F335" s="2" t="s">
        <v>15</v>
      </c>
      <c r="G335" s="2" t="s">
        <v>529</v>
      </c>
      <c r="H335" s="2" t="s">
        <v>23</v>
      </c>
      <c r="I335" s="2" t="str">
        <f>IFERROR(__xludf.DUMMYFUNCTION("GOOGLETRANSLATE(C335,""fr"",""en"")"),"On subscription and on the phone perfect now to see if necessary. The answers to my questions convinced me so I decided to validate the contract.")</f>
        <v>On subscription and on the phone perfect now to see if necessary. The answers to my questions convinced me so I decided to validate the contract.</v>
      </c>
    </row>
    <row r="336" ht="15.75" customHeight="1">
      <c r="A336" s="2">
        <v>3.0</v>
      </c>
      <c r="B336" s="2" t="s">
        <v>1045</v>
      </c>
      <c r="C336" s="2" t="s">
        <v>1046</v>
      </c>
      <c r="D336" s="2" t="s">
        <v>35</v>
      </c>
      <c r="E336" s="2" t="s">
        <v>21</v>
      </c>
      <c r="F336" s="2" t="s">
        <v>15</v>
      </c>
      <c r="G336" s="2" t="s">
        <v>1047</v>
      </c>
      <c r="H336" s="2" t="s">
        <v>70</v>
      </c>
      <c r="I336" s="2" t="str">
        <f>IFERROR(__xludf.DUMMYFUNCTION("GOOGLETRANSLATE(C336,""fr"",""en"")"),"Satisfied with the services offered by the GMF
The speed of implementation of the services offered
The ease and the autonomy offered by the website")</f>
        <v>Satisfied with the services offered by the GMF
The speed of implementation of the services offered
The ease and the autonomy offered by the website</v>
      </c>
    </row>
    <row r="337" ht="15.75" customHeight="1">
      <c r="A337" s="2">
        <v>1.0</v>
      </c>
      <c r="B337" s="2" t="s">
        <v>1048</v>
      </c>
      <c r="C337" s="2" t="s">
        <v>1049</v>
      </c>
      <c r="D337" s="2" t="s">
        <v>383</v>
      </c>
      <c r="E337" s="2" t="s">
        <v>110</v>
      </c>
      <c r="F337" s="2" t="s">
        <v>15</v>
      </c>
      <c r="G337" s="2" t="s">
        <v>1050</v>
      </c>
      <c r="H337" s="2" t="s">
        <v>832</v>
      </c>
      <c r="I337" s="2" t="str">
        <f>IFERROR(__xludf.DUMMYFUNCTION("GOOGLETRANSLATE(C337,""fr"",""en"")"),"A year ago, I subscribed to my insurance in this subsidiary for my two labradors. I had never assured my animals before. It was my veterinarians who advised me to assure them because my youngest presented to 4 months of the cuffs very lax and feared an in"&amp;"tervention; I would like to clarify that I was knowing that if it should be operated on, all the surgery would be my responsibility. In the event that my dog ​​would have any other health problem, since I was going to have to invest a big financial budget"&amp;" and that euthanasia on my dog ​​(proposed by the breeder) was formally prohibited !!! therefore, I Bring my puppy to a specialist, numerous examinations, radios, scanner, then operation. In December, I am told that my dog ​​must be operated on a bilatera"&amp;"l curvus radius. 5100 euros that will not be supported. I have no problem with this fact VI s inspected in insurance. The problem occurred yesterday, when I called the insurance to obtain information. I hope that the conversation was registered. The advis"&amp;"or was heard. Autain and raising my voice. She made me pass for an ESC .... telling me that my dog ​​had a birth disease and that I wanted to be reimbursed for care when I had taken out a contract with a dog sick. So that I have never asked for a reimburs"&amp;"ement on an intervention which cost me 6000 euros knowing relevantly that I was not entitled to it. hospitalized until next Friday because he had a fracture at the paw. He is deplorable and ashamed to speak to his customers, do you think that I try insura"&amp;"nce fraud when I have invested such a sum for my Animal. What has authorized my subscription, I have not hidden anything. This is that it is that if I I managed to collect this money I can do without insurance. What a false sloggan !!! you play with the f"&amp;"eelings of the owners for their animals. It's shameful !!! I informed my insurer who had made me subscribe because the advisor told me clearly that they did not understand anything in animals. I will ask for a termination of my two contracts. I knew the C"&amp;"lauses of my contract that I read and signed well as she repeated to me, I do not ask for any refund on the surgery of the radius curvus. This I denounce it is the total lack of respect, it is really necessary that madam Changing her job, fortunately she "&amp;"has her phone call and no one opposite, the tone would not be the same. Inhuman. Answer my comment with your sentences in all pretes. Need for explanations from you, I just wanted information that she knew how to give me: the fracture will not be taken ca"&amp;"re of, since my dog ​​has a birth disease: Madame is a veterinarian, all the teachers and veterinarians have judged Whether it was trauma.")</f>
        <v>A year ago, I subscribed to my insurance in this subsidiary for my two labradors. I had never assured my animals before. It was my veterinarians who advised me to assure them because my youngest presented to 4 months of the cuffs very lax and feared an intervention; I would like to clarify that I was knowing that if it should be operated on, all the surgery would be my responsibility. In the event that my dog ​​would have any other health problem, since I was going to have to invest a big financial budget and that euthanasia on my dog ​​(proposed by the breeder) was formally prohibited !!! therefore, I Bring my puppy to a specialist, numerous examinations, radios, scanner, then operation. In December, I am told that my dog ​​must be operated on a bilateral curvus radius. 5100 euros that will not be supported. I have no problem with this fact VI s inspected in insurance. The problem occurred yesterday, when I called the insurance to obtain information. I hope that the conversation was registered. The advisor was heard. Autain and raising my voice. She made me pass for an ESC .... telling me that my dog ​​had a birth disease and that I wanted to be reimbursed for care when I had taken out a contract with a dog sick. So that I have never asked for a reimbursement on an intervention which cost me 6000 euros knowing relevantly that I was not entitled to it. hospitalized until next Friday because he had a fracture at the paw. He is deplorable and ashamed to speak to his customers, do you think that I try insurance fraud when I have invested such a sum for my Animal. What has authorized my subscription, I have not hidden anything. This is that it is that if I I managed to collect this money I can do without insurance. What a false sloggan !!! you play with the feelings of the owners for their animals. It's shameful !!! I informed my insurer who had made me subscribe because the advisor told me clearly that they did not understand anything in animals. I will ask for a termination of my two contracts. I knew the Clauses of my contract that I read and signed well as she repeated to me, I do not ask for any refund on the surgery of the radius curvus. This I denounce it is the total lack of respect, it is really necessary that madam Changing her job, fortunately she has her phone call and no one opposite, the tone would not be the same. Inhuman. Answer my comment with your sentences in all pretes. Need for explanations from you, I just wanted information that she knew how to give me: the fracture will not be taken care of, since my dog ​​has a birth disease: Madame is a veterinarian, all the teachers and veterinarians have judged Whether it was trauma.</v>
      </c>
    </row>
    <row r="338" ht="15.75" customHeight="1">
      <c r="A338" s="2">
        <v>3.0</v>
      </c>
      <c r="B338" s="2" t="s">
        <v>1051</v>
      </c>
      <c r="C338" s="2" t="s">
        <v>1052</v>
      </c>
      <c r="D338" s="2" t="s">
        <v>20</v>
      </c>
      <c r="E338" s="2" t="s">
        <v>21</v>
      </c>
      <c r="F338" s="2" t="s">
        <v>15</v>
      </c>
      <c r="G338" s="2" t="s">
        <v>1053</v>
      </c>
      <c r="H338" s="2" t="s">
        <v>178</v>
      </c>
      <c r="I338" s="2" t="str">
        <f>IFERROR(__xludf.DUMMYFUNCTION("GOOGLETRANSLATE(C338,""fr"",""en"")"),"I am satisfied with the services offered, the prices are correct compared to other insurances and the answers by phone are fast and clear")</f>
        <v>I am satisfied with the services offered, the prices are correct compared to other insurances and the answers by phone are fast and clear</v>
      </c>
    </row>
    <row r="339" ht="15.75" customHeight="1">
      <c r="A339" s="2">
        <v>1.0</v>
      </c>
      <c r="B339" s="2" t="s">
        <v>1054</v>
      </c>
      <c r="C339" s="2" t="s">
        <v>1055</v>
      </c>
      <c r="D339" s="2" t="s">
        <v>142</v>
      </c>
      <c r="E339" s="2" t="s">
        <v>207</v>
      </c>
      <c r="F339" s="2" t="s">
        <v>15</v>
      </c>
      <c r="G339" s="2" t="s">
        <v>22</v>
      </c>
      <c r="H339" s="2" t="s">
        <v>23</v>
      </c>
      <c r="I339" s="2" t="str">
        <f>IFERROR(__xludf.DUMMYFUNCTION("GOOGLETRANSLATE(C339,""fr"",""en"")"),"Price always on the rise for services drawn downwards.
Recently need legal protection which does not want to pay evenly in part the costs of essential lawyers for my dispute.
Faithful for over 10 years with all the contracts in the same place I find una"&amp;"cceptable the way in which the former insured are treated.
If no news on your part I would be forced to go to competition
")</f>
        <v>Price always on the rise for services drawn downwards.
Recently need legal protection which does not want to pay evenly in part the costs of essential lawyers for my dispute.
Faithful for over 10 years with all the contracts in the same place I find unacceptable the way in which the former insured are treated.
If no news on your part I would be forced to go to competition
</v>
      </c>
    </row>
    <row r="340" ht="15.75" customHeight="1">
      <c r="A340" s="2">
        <v>4.0</v>
      </c>
      <c r="B340" s="2" t="s">
        <v>1056</v>
      </c>
      <c r="C340" s="2" t="s">
        <v>1057</v>
      </c>
      <c r="D340" s="2" t="s">
        <v>68</v>
      </c>
      <c r="E340" s="2" t="s">
        <v>14</v>
      </c>
      <c r="F340" s="2" t="s">
        <v>15</v>
      </c>
      <c r="G340" s="2" t="s">
        <v>1058</v>
      </c>
      <c r="H340" s="2" t="s">
        <v>274</v>
      </c>
      <c r="I340" s="2" t="str">
        <f>IFERROR(__xludf.DUMMYFUNCTION("GOOGLETRANSLATE(C340,""fr"",""en"")"),"Former client of Neolinane, I come back to this mutual or I appreciated the way of working. The value for service and reimbursement makes that I come back today as a new customer from this mutual")</f>
        <v>Former client of Neolinane, I come back to this mutual or I appreciated the way of working. The value for service and reimbursement makes that I come back today as a new customer from this mutual</v>
      </c>
    </row>
    <row r="341" ht="15.75" customHeight="1">
      <c r="A341" s="2">
        <v>4.0</v>
      </c>
      <c r="B341" s="2" t="s">
        <v>1059</v>
      </c>
      <c r="C341" s="2" t="s">
        <v>1060</v>
      </c>
      <c r="D341" s="2" t="s">
        <v>64</v>
      </c>
      <c r="E341" s="2" t="s">
        <v>21</v>
      </c>
      <c r="F341" s="2" t="s">
        <v>15</v>
      </c>
      <c r="G341" s="2" t="s">
        <v>1061</v>
      </c>
      <c r="H341" s="2" t="s">
        <v>182</v>
      </c>
      <c r="I341" s="2" t="str">
        <f>IFERROR(__xludf.DUMMYFUNCTION("GOOGLETRANSLATE(C341,""fr"",""en"")"),"Speed ​​of formalities. Clarity of information. Prices in the right average. Availability of advisers.
Well -designed, practical and simple to use personal space.
Reactivity in the event of a claim.")</f>
        <v>Speed ​​of formalities. Clarity of information. Prices in the right average. Availability of advisers.
Well -designed, practical and simple to use personal space.
Reactivity in the event of a claim.</v>
      </c>
    </row>
    <row r="342" ht="15.75" customHeight="1">
      <c r="A342" s="2">
        <v>1.0</v>
      </c>
      <c r="B342" s="2" t="s">
        <v>1062</v>
      </c>
      <c r="C342" s="2" t="s">
        <v>1063</v>
      </c>
      <c r="D342" s="2" t="s">
        <v>20</v>
      </c>
      <c r="E342" s="2" t="s">
        <v>21</v>
      </c>
      <c r="F342" s="2" t="s">
        <v>15</v>
      </c>
      <c r="G342" s="2" t="s">
        <v>1064</v>
      </c>
      <c r="H342" s="2" t="s">
        <v>139</v>
      </c>
      <c r="I342" s="2" t="str">
        <f>IFERROR(__xludf.DUMMYFUNCTION("GOOGLETRANSLATE(C342,""fr"",""en"")"),"I am very disappointed with the increase in my monthly payments while my car loses in value and I have had no accident since the start of my contract at Blablasure.
I will change insurance if my monthly payments are not lowered quickly.")</f>
        <v>I am very disappointed with the increase in my monthly payments while my car loses in value and I have had no accident since the start of my contract at Blablasure.
I will change insurance if my monthly payments are not lowered quickly.</v>
      </c>
    </row>
    <row r="343" ht="15.75" customHeight="1">
      <c r="A343" s="2">
        <v>2.0</v>
      </c>
      <c r="B343" s="2" t="s">
        <v>1065</v>
      </c>
      <c r="C343" s="2" t="s">
        <v>1066</v>
      </c>
      <c r="D343" s="2" t="s">
        <v>277</v>
      </c>
      <c r="E343" s="2" t="s">
        <v>21</v>
      </c>
      <c r="F343" s="2" t="s">
        <v>15</v>
      </c>
      <c r="G343" s="2" t="s">
        <v>1067</v>
      </c>
      <c r="H343" s="2" t="s">
        <v>209</v>
      </c>
      <c r="I343" s="2" t="str">
        <f>IFERROR(__xludf.DUMMYFUNCTION("GOOGLETRANSLATE(C343,""fr"",""en"")"),"Customer over the age of 15 without accident.
When you have a non -responsible accident it's okay, but when you have a responsible accident there is no one left and yet I am assured of all risks.
They advertise the maaf is the one I prefer but when you "&amp;"have a responsible accident they do not care completely of you. The fully incompetent and very slow expert to make a compensation report.
And you can, call nothing every day is done. This can last several weeks or even several months to be compensated (w"&amp;"hich they told me)")</f>
        <v>Customer over the age of 15 without accident.
When you have a non -responsible accident it's okay, but when you have a responsible accident there is no one left and yet I am assured of all risks.
They advertise the maaf is the one I prefer but when you have a responsible accident they do not care completely of you. The fully incompetent and very slow expert to make a compensation report.
And you can, call nothing every day is done. This can last several weeks or even several months to be compensated (which they told me)</v>
      </c>
    </row>
    <row r="344" ht="15.75" customHeight="1">
      <c r="A344" s="2">
        <v>5.0</v>
      </c>
      <c r="B344" s="2" t="s">
        <v>1068</v>
      </c>
      <c r="C344" s="2" t="s">
        <v>1069</v>
      </c>
      <c r="D344" s="2" t="s">
        <v>20</v>
      </c>
      <c r="E344" s="2" t="s">
        <v>21</v>
      </c>
      <c r="F344" s="2" t="s">
        <v>15</v>
      </c>
      <c r="G344" s="2" t="s">
        <v>149</v>
      </c>
      <c r="H344" s="2" t="s">
        <v>139</v>
      </c>
      <c r="I344" s="2" t="str">
        <f>IFERROR(__xludf.DUMMYFUNCTION("GOOGLETRANSLATE(C344,""fr"",""en"")"),"Satisfied with the price and the simplicity of subscription.
To see if all goes well this pass in the future with this insurance.
For the moment I recommend making a free quote to compare prices")</f>
        <v>Satisfied with the price and the simplicity of subscription.
To see if all goes well this pass in the future with this insurance.
For the moment I recommend making a free quote to compare prices</v>
      </c>
    </row>
    <row r="345" ht="15.75" customHeight="1">
      <c r="A345" s="2">
        <v>5.0</v>
      </c>
      <c r="B345" s="2" t="s">
        <v>1070</v>
      </c>
      <c r="C345" s="2" t="s">
        <v>1071</v>
      </c>
      <c r="D345" s="2" t="s">
        <v>20</v>
      </c>
      <c r="E345" s="2" t="s">
        <v>21</v>
      </c>
      <c r="F345" s="2" t="s">
        <v>15</v>
      </c>
      <c r="G345" s="2" t="s">
        <v>1047</v>
      </c>
      <c r="H345" s="2" t="s">
        <v>70</v>
      </c>
      <c r="I345" s="2" t="str">
        <f>IFERROR(__xludf.DUMMYFUNCTION("GOOGLETRANSLATE(C345,""fr"",""en"")"),"Prices suit me. It is very fast, it is very accessible, you can choose very easily the way you want to be insured
Regards to the whole team continued like that is great !!!!!!")</f>
        <v>Prices suit me. It is very fast, it is very accessible, you can choose very easily the way you want to be insured
Regards to the whole team continued like that is great !!!!!!</v>
      </c>
    </row>
    <row r="346" ht="15.75" customHeight="1">
      <c r="A346" s="2">
        <v>1.0</v>
      </c>
      <c r="B346" s="2" t="s">
        <v>1072</v>
      </c>
      <c r="C346" s="2" t="s">
        <v>1073</v>
      </c>
      <c r="D346" s="2" t="s">
        <v>277</v>
      </c>
      <c r="E346" s="2" t="s">
        <v>21</v>
      </c>
      <c r="F346" s="2" t="s">
        <v>15</v>
      </c>
      <c r="G346" s="2" t="s">
        <v>1074</v>
      </c>
      <c r="H346" s="2" t="s">
        <v>1075</v>
      </c>
      <c r="I346" s="2" t="str">
        <f>IFERROR(__xludf.DUMMYFUNCTION("GOOGLETRANSLATE(C346,""fr"",""en"")"),"Are you looking for an efficient and inexpensive insurer? Go your way! Maaf is only available to sell its products or only when everything is fine! Agence that is difficult to reachable (I'm not talking about my advisor), it is the cross and the banner ha"&amp;"ving someone on the phone. A shame for an insurer that highlights its effectiveness in its advertising spots! I leave the MAAF for competition without regrets.")</f>
        <v>Are you looking for an efficient and inexpensive insurer? Go your way! Maaf is only available to sell its products or only when everything is fine! Agence that is difficult to reachable (I'm not talking about my advisor), it is the cross and the banner having someone on the phone. A shame for an insurer that highlights its effectiveness in its advertising spots! I leave the MAAF for competition without regrets.</v>
      </c>
    </row>
    <row r="347" ht="15.75" customHeight="1">
      <c r="A347" s="2">
        <v>5.0</v>
      </c>
      <c r="B347" s="2" t="s">
        <v>1076</v>
      </c>
      <c r="C347" s="2" t="s">
        <v>1077</v>
      </c>
      <c r="D347" s="2" t="s">
        <v>78</v>
      </c>
      <c r="E347" s="2" t="s">
        <v>79</v>
      </c>
      <c r="F347" s="2" t="s">
        <v>15</v>
      </c>
      <c r="G347" s="2" t="s">
        <v>1078</v>
      </c>
      <c r="H347" s="2" t="s">
        <v>139</v>
      </c>
      <c r="I347" s="2" t="str">
        <f>IFERROR(__xludf.DUMMYFUNCTION("GOOGLETRANSLATE(C347,""fr"",""en"")"),"At the top of the list of insurance comparators.
Good compromise for a ""used"" vehicle without mileage limits
To see in time, if there are promotional offers for the tilting of my other motorcycles")</f>
        <v>At the top of the list of insurance comparators.
Good compromise for a "used" vehicle without mileage limits
To see in time, if there are promotional offers for the tilting of my other motorcycles</v>
      </c>
    </row>
    <row r="348" ht="15.75" customHeight="1">
      <c r="A348" s="2">
        <v>4.0</v>
      </c>
      <c r="B348" s="2" t="s">
        <v>1079</v>
      </c>
      <c r="C348" s="2" t="s">
        <v>1080</v>
      </c>
      <c r="D348" s="2" t="s">
        <v>78</v>
      </c>
      <c r="E348" s="2" t="s">
        <v>79</v>
      </c>
      <c r="F348" s="2" t="s">
        <v>15</v>
      </c>
      <c r="G348" s="2" t="s">
        <v>1081</v>
      </c>
      <c r="H348" s="2" t="s">
        <v>58</v>
      </c>
      <c r="I348" s="2" t="str">
        <f>IFERROR(__xludf.DUMMYFUNCTION("GOOGLETRANSLATE(C348,""fr"",""en"")"),"Fast and satisfactory
Secure and very fast transaction too.
I am satisfied with your services and I recommend this insurance. thanks again")</f>
        <v>Fast and satisfactory
Secure and very fast transaction too.
I am satisfied with your services and I recommend this insurance. thanks again</v>
      </c>
    </row>
    <row r="349" ht="15.75" customHeight="1">
      <c r="A349" s="2">
        <v>1.0</v>
      </c>
      <c r="B349" s="2" t="s">
        <v>1082</v>
      </c>
      <c r="C349" s="2" t="s">
        <v>1083</v>
      </c>
      <c r="D349" s="2" t="s">
        <v>371</v>
      </c>
      <c r="E349" s="2" t="s">
        <v>14</v>
      </c>
      <c r="F349" s="2" t="s">
        <v>15</v>
      </c>
      <c r="G349" s="2" t="s">
        <v>1084</v>
      </c>
      <c r="H349" s="2" t="s">
        <v>250</v>
      </c>
      <c r="I349" s="2" t="str">
        <f>IFERROR(__xludf.DUMMYFUNCTION("GOOGLETRANSLATE(C349,""fr"",""en"")"),"I join all the previous comments.
Affiliated via my employer (more than 2000 enrollments), I took the upper option for a good optical and dental refund.
Compared with the mutual insurance company that I had with my old work - a few months ago - it's day"&amp;" and night on all levels! 25% more expensive, 50% less reimbursement on optics and dental, no osteopathy reimbursement etc.
")</f>
        <v>I join all the previous comments.
Affiliated via my employer (more than 2000 enrollments), I took the upper option for a good optical and dental refund.
Compared with the mutual insurance company that I had with my old work - a few months ago - it's day and night on all levels! 25% more expensive, 50% less reimbursement on optics and dental, no osteopathy reimbursement etc.
</v>
      </c>
    </row>
    <row r="350" ht="15.75" customHeight="1">
      <c r="A350" s="2">
        <v>1.0</v>
      </c>
      <c r="B350" s="2" t="s">
        <v>1085</v>
      </c>
      <c r="C350" s="2" t="s">
        <v>1086</v>
      </c>
      <c r="D350" s="2" t="s">
        <v>392</v>
      </c>
      <c r="E350" s="2" t="s">
        <v>110</v>
      </c>
      <c r="F350" s="2" t="s">
        <v>15</v>
      </c>
      <c r="G350" s="2" t="s">
        <v>1087</v>
      </c>
      <c r="H350" s="2" t="s">
        <v>28</v>
      </c>
      <c r="I350" s="2" t="str">
        <f>IFERROR(__xludf.DUMMYFUNCTION("GOOGLETRANSLATE(C350,""fr"",""en"")"),"This insurer always finds a good excuse not to reimburse you. They search in the general conditions to find similarities and refuse you any refund. In addition, they index you every year of 10 euros minimum. The more you pay the less they reimburse. HAS
"&amp;" strongly not recommended.")</f>
        <v>This insurer always finds a good excuse not to reimburse you. They search in the general conditions to find similarities and refuse you any refund. In addition, they index you every year of 10 euros minimum. The more you pay the less they reimburse. HAS
 strongly not recommended.</v>
      </c>
    </row>
    <row r="351" ht="15.75" customHeight="1">
      <c r="A351" s="2">
        <v>4.0</v>
      </c>
      <c r="B351" s="2" t="s">
        <v>1088</v>
      </c>
      <c r="C351" s="2" t="s">
        <v>1089</v>
      </c>
      <c r="D351" s="2" t="s">
        <v>95</v>
      </c>
      <c r="E351" s="2" t="s">
        <v>21</v>
      </c>
      <c r="F351" s="2" t="s">
        <v>15</v>
      </c>
      <c r="G351" s="2" t="s">
        <v>1090</v>
      </c>
      <c r="H351" s="2" t="s">
        <v>667</v>
      </c>
      <c r="I351" s="2" t="str">
        <f>IFERROR(__xludf.DUMMYFUNCTION("GOOGLETRANSLATE(C351,""fr"",""en"")"),"Excellent welcome and very good advice from my Bergerac advisor (Anne-Marie Ducau). Available and smiling, I have been his client for 30 years, it creates bonds of trust that have never been betrayed.")</f>
        <v>Excellent welcome and very good advice from my Bergerac advisor (Anne-Marie Ducau). Available and smiling, I have been his client for 30 years, it creates bonds of trust that have never been betrayed.</v>
      </c>
    </row>
    <row r="352" ht="15.75" customHeight="1">
      <c r="A352" s="2">
        <v>4.0</v>
      </c>
      <c r="B352" s="2" t="s">
        <v>1091</v>
      </c>
      <c r="C352" s="2" t="s">
        <v>1092</v>
      </c>
      <c r="D352" s="2" t="s">
        <v>78</v>
      </c>
      <c r="E352" s="2" t="s">
        <v>79</v>
      </c>
      <c r="F352" s="2" t="s">
        <v>15</v>
      </c>
      <c r="G352" s="2" t="s">
        <v>682</v>
      </c>
      <c r="H352" s="2" t="s">
        <v>139</v>
      </c>
      <c r="I352" s="2" t="str">
        <f>IFERROR(__xludf.DUMMYFUNCTION("GOOGLETRANSLATE(C352,""fr"",""en"")"),"The service meets my expectations.
Customer service is responsive.
Pricing suits me.
I am satisfied to have chosen April Moto to make sure.")</f>
        <v>The service meets my expectations.
Customer service is responsive.
Pricing suits me.
I am satisfied to have chosen April Moto to make sure.</v>
      </c>
    </row>
    <row r="353" ht="15.75" customHeight="1">
      <c r="A353" s="2">
        <v>1.0</v>
      </c>
      <c r="B353" s="2" t="s">
        <v>1093</v>
      </c>
      <c r="C353" s="2" t="s">
        <v>1094</v>
      </c>
      <c r="D353" s="2" t="s">
        <v>119</v>
      </c>
      <c r="E353" s="2" t="s">
        <v>1095</v>
      </c>
      <c r="F353" s="2" t="s">
        <v>15</v>
      </c>
      <c r="G353" s="2" t="s">
        <v>411</v>
      </c>
      <c r="H353" s="2" t="s">
        <v>89</v>
      </c>
      <c r="I353" s="2" t="str">
        <f>IFERROR(__xludf.DUMMYFUNCTION("GOOGLETRANSLATE(C353,""fr"",""en"")"),"CATASTROPHIC. On sick leave for 4 months and being a self -employed worker, I have been contributing for several years to Agipi for a professional multi -risk. In theory, it must cover my fixed charges as well as my income. Having a long copy, so for 4 mo"&amp;"nths that I expect any compensation. Like Sister Anne, nothing on the horizon and especially no one to answer me.
Their argument: a 10 -year -old low back pain. They are looking for a link between the copy and the latter !!!!!!
For this type of contract"&amp;", flee this company (but are they not all the same?)")</f>
        <v>CATASTROPHIC. On sick leave for 4 months and being a self -employed worker, I have been contributing for several years to Agipi for a professional multi -risk. In theory, it must cover my fixed charges as well as my income. Having a long copy, so for 4 months that I expect any compensation. Like Sister Anne, nothing on the horizon and especially no one to answer me.
Their argument: a 10 -year -old low back pain. They are looking for a link between the copy and the latter !!!!!!
For this type of contract, flee this company (but are they not all the same?)</v>
      </c>
    </row>
    <row r="354" ht="15.75" customHeight="1">
      <c r="A354" s="2">
        <v>1.0</v>
      </c>
      <c r="B354" s="2" t="s">
        <v>1096</v>
      </c>
      <c r="C354" s="2" t="s">
        <v>1097</v>
      </c>
      <c r="D354" s="2" t="s">
        <v>277</v>
      </c>
      <c r="E354" s="2" t="s">
        <v>21</v>
      </c>
      <c r="F354" s="2" t="s">
        <v>15</v>
      </c>
      <c r="G354" s="2" t="s">
        <v>1098</v>
      </c>
      <c r="H354" s="2" t="s">
        <v>89</v>
      </c>
      <c r="I354" s="2" t="str">
        <f>IFERROR(__xludf.DUMMYFUNCTION("GOOGLETRANSLATE(C354,""fr"",""en"")"),"Maaf did not want to extend my car contract for no valid reason has not responded to my email and this for 15 days (for a refund)
I do not recommend this insurance.")</f>
        <v>Maaf did not want to extend my car contract for no valid reason has not responded to my email and this for 15 days (for a refund)
I do not recommend this insurance.</v>
      </c>
    </row>
    <row r="355" ht="15.75" customHeight="1">
      <c r="A355" s="2">
        <v>5.0</v>
      </c>
      <c r="B355" s="2" t="s">
        <v>1099</v>
      </c>
      <c r="C355" s="2" t="s">
        <v>1100</v>
      </c>
      <c r="D355" s="2" t="s">
        <v>20</v>
      </c>
      <c r="E355" s="2" t="s">
        <v>21</v>
      </c>
      <c r="F355" s="2" t="s">
        <v>15</v>
      </c>
      <c r="G355" s="2" t="s">
        <v>1101</v>
      </c>
      <c r="H355" s="2" t="s">
        <v>58</v>
      </c>
      <c r="I355" s="2" t="str">
        <f>IFERROR(__xludf.DUMMYFUNCTION("GOOGLETRANSLATE(C355,""fr"",""en"")"),"I have always been insured at Direct Insurance, and I am very satisfied to advise them his very professional and clear! The prices are very affordable everything is simple, thank you")</f>
        <v>I have always been insured at Direct Insurance, and I am very satisfied to advise them his very professional and clear! The prices are very affordable everything is simple, thank you</v>
      </c>
    </row>
    <row r="356" ht="15.75" customHeight="1">
      <c r="A356" s="2">
        <v>1.0</v>
      </c>
      <c r="B356" s="2" t="s">
        <v>1102</v>
      </c>
      <c r="C356" s="2" t="s">
        <v>1103</v>
      </c>
      <c r="D356" s="2" t="s">
        <v>26</v>
      </c>
      <c r="E356" s="2" t="s">
        <v>14</v>
      </c>
      <c r="F356" s="2" t="s">
        <v>15</v>
      </c>
      <c r="G356" s="2" t="s">
        <v>1104</v>
      </c>
      <c r="H356" s="2" t="s">
        <v>926</v>
      </c>
      <c r="I356" s="2" t="str">
        <f>IFERROR(__xludf.DUMMYFUNCTION("GOOGLETRANSLATE(C356,""fr"",""en"")"),"I am strongly denied, they reimburse when they want and above all it is very very very long. They always miss them a paper or other, in short to avoid absolutely. very great bad faith")</f>
        <v>I am strongly denied, they reimburse when they want and above all it is very very very long. They always miss them a paper or other, in short to avoid absolutely. very great bad faith</v>
      </c>
    </row>
    <row r="357" ht="15.75" customHeight="1">
      <c r="A357" s="2">
        <v>4.0</v>
      </c>
      <c r="B357" s="2" t="s">
        <v>1105</v>
      </c>
      <c r="C357" s="2" t="s">
        <v>1106</v>
      </c>
      <c r="D357" s="2" t="s">
        <v>20</v>
      </c>
      <c r="E357" s="2" t="s">
        <v>21</v>
      </c>
      <c r="F357" s="2" t="s">
        <v>15</v>
      </c>
      <c r="G357" s="2" t="s">
        <v>969</v>
      </c>
      <c r="H357" s="2" t="s">
        <v>23</v>
      </c>
      <c r="I357" s="2" t="str">
        <f>IFERROR(__xludf.DUMMYFUNCTION("GOOGLETRANSLATE(C357,""fr"",""en"")"),"Satisfied on telephone reception, advice on protections and prices and promotions.
Punctuality on the recall time of the advisor")</f>
        <v>Satisfied on telephone reception, advice on protections and prices and promotions.
Punctuality on the recall time of the advisor</v>
      </c>
    </row>
    <row r="358" ht="15.75" customHeight="1">
      <c r="A358" s="2">
        <v>1.0</v>
      </c>
      <c r="B358" s="2" t="s">
        <v>1107</v>
      </c>
      <c r="C358" s="2" t="s">
        <v>1108</v>
      </c>
      <c r="D358" s="2" t="s">
        <v>20</v>
      </c>
      <c r="E358" s="2" t="s">
        <v>21</v>
      </c>
      <c r="F358" s="2" t="s">
        <v>15</v>
      </c>
      <c r="G358" s="2" t="s">
        <v>1109</v>
      </c>
      <c r="H358" s="2" t="s">
        <v>116</v>
      </c>
      <c r="I358" s="2" t="str">
        <f>IFERROR(__xludf.DUMMYFUNCTION("GOOGLETRANSLATE(C358,""fr"",""en"")"),"Bad low cost insurance
Cheap but little warranty
Tjs difficult to reach
TJS new interlocutor
Incompetent")</f>
        <v>Bad low cost insurance
Cheap but little warranty
Tjs difficult to reach
TJS new interlocutor
Incompetent</v>
      </c>
    </row>
    <row r="359" ht="15.75" customHeight="1">
      <c r="A359" s="2">
        <v>2.0</v>
      </c>
      <c r="B359" s="2" t="s">
        <v>1110</v>
      </c>
      <c r="C359" s="2" t="s">
        <v>1111</v>
      </c>
      <c r="D359" s="2" t="s">
        <v>159</v>
      </c>
      <c r="E359" s="2" t="s">
        <v>74</v>
      </c>
      <c r="F359" s="2" t="s">
        <v>15</v>
      </c>
      <c r="G359" s="2" t="s">
        <v>975</v>
      </c>
      <c r="H359" s="2" t="s">
        <v>116</v>
      </c>
      <c r="I359" s="2" t="str">
        <f>IFERROR(__xludf.DUMMYFUNCTION("GOOGLETRANSLATE(C359,""fr"",""en"")"),"One wonders if their desire for delay and the processing of files is not a real strategy to pay less or even that we crack worse that we die before paying them the same when the whole file is complete")</f>
        <v>One wonders if their desire for delay and the processing of files is not a real strategy to pay less or even that we crack worse that we die before paying them the same when the whole file is complete</v>
      </c>
    </row>
    <row r="360" ht="15.75" customHeight="1">
      <c r="A360" s="2">
        <v>1.0</v>
      </c>
      <c r="B360" s="2" t="s">
        <v>1112</v>
      </c>
      <c r="C360" s="2" t="s">
        <v>1113</v>
      </c>
      <c r="D360" s="2" t="s">
        <v>13</v>
      </c>
      <c r="E360" s="2" t="s">
        <v>14</v>
      </c>
      <c r="F360" s="2" t="s">
        <v>15</v>
      </c>
      <c r="G360" s="2" t="s">
        <v>1114</v>
      </c>
      <c r="H360" s="2" t="s">
        <v>317</v>
      </c>
      <c r="I360" s="2" t="str">
        <f>IFERROR(__xludf.DUMMYFUNCTION("GOOGLETRANSLATE(C360,""fr"",""en"")"),"Almost impossible to reach on the phone and when you are fortunate to be in contact with an advisor, he will not be able to respond to an intelligence request concerning an termination made on time.
No more response to my request by E-mail ...
My Santia"&amp;"ne contract expanded by registered mail acknowledgment of receipt 10/28/2020 .... and that day on 10/26/2020 I receive an e-mail like what the termination is too late!
")</f>
        <v>Almost impossible to reach on the phone and when you are fortunate to be in contact with an advisor, he will not be able to respond to an intelligence request concerning an termination made on time.
No more response to my request by E-mail ...
My Santiane contract expanded by registered mail acknowledgment of receipt 10/28/2020 .... and that day on 10/26/2020 I receive an e-mail like what the termination is too late!
</v>
      </c>
    </row>
    <row r="361" ht="15.75" customHeight="1">
      <c r="A361" s="2">
        <v>5.0</v>
      </c>
      <c r="B361" s="2" t="s">
        <v>1115</v>
      </c>
      <c r="C361" s="2" t="s">
        <v>1116</v>
      </c>
      <c r="D361" s="2" t="s">
        <v>20</v>
      </c>
      <c r="E361" s="2" t="s">
        <v>21</v>
      </c>
      <c r="F361" s="2" t="s">
        <v>15</v>
      </c>
      <c r="G361" s="2" t="s">
        <v>456</v>
      </c>
      <c r="H361" s="2" t="s">
        <v>23</v>
      </c>
      <c r="I361" s="2" t="str">
        <f>IFERROR(__xludf.DUMMYFUNCTION("GOOGLETRANSLATE(C361,""fr"",""en"")"),"Satisfied with the price, I cannot say more for the moment because I do not know your insurance enough to be able to say other things.
thank you for your understanding")</f>
        <v>Satisfied with the price, I cannot say more for the moment because I do not know your insurance enough to be able to say other things.
thank you for your understanding</v>
      </c>
    </row>
    <row r="362" ht="15.75" customHeight="1">
      <c r="A362" s="2">
        <v>4.0</v>
      </c>
      <c r="B362" s="2" t="s">
        <v>1117</v>
      </c>
      <c r="C362" s="2" t="s">
        <v>1118</v>
      </c>
      <c r="D362" s="2" t="s">
        <v>20</v>
      </c>
      <c r="E362" s="2" t="s">
        <v>21</v>
      </c>
      <c r="F362" s="2" t="s">
        <v>15</v>
      </c>
      <c r="G362" s="2" t="s">
        <v>89</v>
      </c>
      <c r="H362" s="2" t="s">
        <v>89</v>
      </c>
      <c r="I362" s="2" t="str">
        <f>IFERROR(__xludf.DUMMYFUNCTION("GOOGLETRANSLATE(C362,""fr"",""en"")"),"I found that the subscription process was simple, intuitive and fast
The prices are interesting
There are 7n wide choice of options in the proposed formulas
")</f>
        <v>I found that the subscription process was simple, intuitive and fast
The prices are interesting
There are 7n wide choice of options in the proposed formulas
</v>
      </c>
    </row>
    <row r="363" ht="15.75" customHeight="1">
      <c r="A363" s="2">
        <v>1.0</v>
      </c>
      <c r="B363" s="2" t="s">
        <v>1119</v>
      </c>
      <c r="C363" s="2" t="s">
        <v>1120</v>
      </c>
      <c r="D363" s="2" t="s">
        <v>351</v>
      </c>
      <c r="E363" s="2" t="s">
        <v>261</v>
      </c>
      <c r="F363" s="2" t="s">
        <v>15</v>
      </c>
      <c r="G363" s="2" t="s">
        <v>1121</v>
      </c>
      <c r="H363" s="2" t="s">
        <v>667</v>
      </c>
      <c r="I363" s="2" t="str">
        <f>IFERROR(__xludf.DUMMYFUNCTION("GOOGLETRANSLATE(C363,""fr"",""en"")"),"Their service has become catastrophic!
Suffice to say that there is no more service ...
Request for arbitration not made: they do not answer on the phone, not to the email. No answer either via customer contact.
It has been several months since I tried"&amp;" to make an arbitration, it is lost in the limbo ... I was asked to send an email to the ""Customer complaint"" service: no answer! Not even an acknowledgment of reception: nothing!")</f>
        <v>Their service has become catastrophic!
Suffice to say that there is no more service ...
Request for arbitration not made: they do not answer on the phone, not to the email. No answer either via customer contact.
It has been several months since I tried to make an arbitration, it is lost in the limbo ... I was asked to send an email to the "Customer complaint" service: no answer! Not even an acknowledgment of reception: nothing!</v>
      </c>
    </row>
    <row r="364" ht="15.75" customHeight="1">
      <c r="A364" s="2">
        <v>2.0</v>
      </c>
      <c r="B364" s="2" t="s">
        <v>1122</v>
      </c>
      <c r="C364" s="2" t="s">
        <v>1123</v>
      </c>
      <c r="D364" s="2" t="s">
        <v>20</v>
      </c>
      <c r="E364" s="2" t="s">
        <v>21</v>
      </c>
      <c r="F364" s="2" t="s">
        <v>15</v>
      </c>
      <c r="G364" s="2" t="s">
        <v>1124</v>
      </c>
      <c r="H364" s="2" t="s">
        <v>321</v>
      </c>
      <c r="I364" s="2" t="str">
        <f>IFERROR(__xludf.DUMMYFUNCTION("GOOGLETRANSLATE(C364,""fr"",""en"")"),"Insurer who applies the accumulation of franchises, who considers a novice driver a person who has more than 15 years of license (following an interruption of a few months of insurance between 2 contracts but which can prove an assurance anteriority of at"&amp;" least 5 years without accident), which does not give clear information during a claim on applied franchises and which is accumulated (no information under the personal conditions of the contract on this cumulation).")</f>
        <v>Insurer who applies the accumulation of franchises, who considers a novice driver a person who has more than 15 years of license (following an interruption of a few months of insurance between 2 contracts but which can prove an assurance anteriority of at least 5 years without accident), which does not give clear information during a claim on applied franchises and which is accumulated (no information under the personal conditions of the contract on this cumulation).</v>
      </c>
    </row>
    <row r="365" ht="15.75" customHeight="1">
      <c r="A365" s="2">
        <v>4.0</v>
      </c>
      <c r="B365" s="2" t="s">
        <v>1125</v>
      </c>
      <c r="C365" s="2" t="s">
        <v>1126</v>
      </c>
      <c r="D365" s="2" t="s">
        <v>64</v>
      </c>
      <c r="E365" s="2" t="s">
        <v>21</v>
      </c>
      <c r="F365" s="2" t="s">
        <v>15</v>
      </c>
      <c r="G365" s="2" t="s">
        <v>960</v>
      </c>
      <c r="H365" s="2" t="s">
        <v>58</v>
      </c>
      <c r="I365" s="2" t="str">
        <f>IFERROR(__xludf.DUMMYFUNCTION("GOOGLETRANSLATE(C365,""fr"",""en"")"),"I am rather satisfied with your insurance,
The advisers are very well explained and it was very understandable.
They were all clear and precise.")</f>
        <v>I am rather satisfied with your insurance,
The advisers are very well explained and it was very understandable.
They were all clear and precise.</v>
      </c>
    </row>
    <row r="366" ht="15.75" customHeight="1">
      <c r="A366" s="2">
        <v>5.0</v>
      </c>
      <c r="B366" s="2" t="s">
        <v>1127</v>
      </c>
      <c r="C366" s="2" t="s">
        <v>1128</v>
      </c>
      <c r="D366" s="2" t="s">
        <v>64</v>
      </c>
      <c r="E366" s="2" t="s">
        <v>21</v>
      </c>
      <c r="F366" s="2" t="s">
        <v>15</v>
      </c>
      <c r="G366" s="2" t="s">
        <v>1129</v>
      </c>
      <c r="H366" s="2" t="s">
        <v>45</v>
      </c>
      <c r="I366" s="2" t="str">
        <f>IFERROR(__xludf.DUMMYFUNCTION("GOOGLETRANSLATE(C366,""fr"",""en"")"),"Prices suit me and customer service is serious.
The staff are attentive and they are responsive, the advice is useful and clear.
I recommend the olive assurance")</f>
        <v>Prices suit me and customer service is serious.
The staff are attentive and they are responsive, the advice is useful and clear.
I recommend the olive assurance</v>
      </c>
    </row>
    <row r="367" ht="15.75" customHeight="1">
      <c r="A367" s="2">
        <v>3.0</v>
      </c>
      <c r="B367" s="2" t="s">
        <v>1130</v>
      </c>
      <c r="C367" s="2" t="s">
        <v>1131</v>
      </c>
      <c r="D367" s="2" t="s">
        <v>20</v>
      </c>
      <c r="E367" s="2" t="s">
        <v>21</v>
      </c>
      <c r="F367" s="2" t="s">
        <v>15</v>
      </c>
      <c r="G367" s="2" t="s">
        <v>532</v>
      </c>
      <c r="H367" s="2" t="s">
        <v>32</v>
      </c>
      <c r="I367" s="2" t="str">
        <f>IFERROR(__xludf.DUMMYFUNCTION("GOOGLETRANSLATE(C367,""fr"",""en"")"),"The price is correct I am quite satisfied with the service I will consult others as rancid to compare the prices of my Mercedes class GLA thank you")</f>
        <v>The price is correct I am quite satisfied with the service I will consult others as rancid to compare the prices of my Mercedes class GLA thank you</v>
      </c>
    </row>
    <row r="368" ht="15.75" customHeight="1">
      <c r="A368" s="2">
        <v>5.0</v>
      </c>
      <c r="B368" s="2" t="s">
        <v>1132</v>
      </c>
      <c r="C368" s="2" t="s">
        <v>1133</v>
      </c>
      <c r="D368" s="2" t="s">
        <v>64</v>
      </c>
      <c r="E368" s="2" t="s">
        <v>21</v>
      </c>
      <c r="F368" s="2" t="s">
        <v>15</v>
      </c>
      <c r="G368" s="2" t="s">
        <v>1134</v>
      </c>
      <c r="H368" s="2" t="s">
        <v>468</v>
      </c>
      <c r="I368" s="2" t="str">
        <f>IFERROR(__xludf.DUMMYFUNCTION("GOOGLETRANSLATE(C368,""fr"",""en"")"),"Super car insurance for a small price and for exactly the same guarantees as among competitors who require much more expensive !!!")</f>
        <v>Super car insurance for a small price and for exactly the same guarantees as among competitors who require much more expensive !!!</v>
      </c>
    </row>
    <row r="369" ht="15.75" customHeight="1">
      <c r="A369" s="2">
        <v>1.0</v>
      </c>
      <c r="B369" s="2" t="s">
        <v>1135</v>
      </c>
      <c r="C369" s="2" t="s">
        <v>1136</v>
      </c>
      <c r="D369" s="2" t="s">
        <v>828</v>
      </c>
      <c r="E369" s="2" t="s">
        <v>207</v>
      </c>
      <c r="F369" s="2" t="s">
        <v>15</v>
      </c>
      <c r="G369" s="2" t="s">
        <v>1137</v>
      </c>
      <c r="H369" s="2" t="s">
        <v>671</v>
      </c>
      <c r="I369" s="2" t="str">
        <f>IFERROR(__xludf.DUMMYFUNCTION("GOOGLETRANSLATE(C369,""fr"",""en"")"),"I have been assured for my villa for my villa for 5 years has never had a claim and at the beginning of 2019 my neighbor has a pan of my fence. Month passes groupama to me that there was no recourse when I provided all the information required. I am very "&amp;"teaching and changing insurance in the coming days because Groupama is completely incompetent !!!!!!")</f>
        <v>I have been assured for my villa for my villa for 5 years has never had a claim and at the beginning of 2019 my neighbor has a pan of my fence. Month passes groupama to me that there was no recourse when I provided all the information required. I am very teaching and changing insurance in the coming days because Groupama is completely incompetent !!!!!!</v>
      </c>
    </row>
    <row r="370" ht="15.75" customHeight="1">
      <c r="A370" s="2">
        <v>1.0</v>
      </c>
      <c r="B370" s="2" t="s">
        <v>1138</v>
      </c>
      <c r="C370" s="2" t="s">
        <v>1139</v>
      </c>
      <c r="D370" s="2" t="s">
        <v>20</v>
      </c>
      <c r="E370" s="2" t="s">
        <v>21</v>
      </c>
      <c r="F370" s="2" t="s">
        <v>15</v>
      </c>
      <c r="G370" s="2" t="s">
        <v>1140</v>
      </c>
      <c r="H370" s="2" t="s">
        <v>178</v>
      </c>
      <c r="I370" s="2" t="str">
        <f>IFERROR(__xludf.DUMMYFUNCTION("GOOGLETRANSLATE(C370,""fr"",""en"")"),"I am not satisfied, and I would like another quote on my contract;
I am not ill and I would like to revise my contract
thank you for your reply")</f>
        <v>I am not satisfied, and I would like another quote on my contract;
I am not ill and I would like to revise my contract
thank you for your reply</v>
      </c>
    </row>
    <row r="371" ht="15.75" customHeight="1">
      <c r="A371" s="2">
        <v>5.0</v>
      </c>
      <c r="B371" s="2" t="s">
        <v>1141</v>
      </c>
      <c r="C371" s="2" t="s">
        <v>1142</v>
      </c>
      <c r="D371" s="2" t="s">
        <v>523</v>
      </c>
      <c r="E371" s="2" t="s">
        <v>450</v>
      </c>
      <c r="F371" s="2" t="s">
        <v>15</v>
      </c>
      <c r="G371" s="2" t="s">
        <v>1143</v>
      </c>
      <c r="H371" s="2" t="s">
        <v>380</v>
      </c>
      <c r="I371" s="2" t="str">
        <f>IFERROR(__xludf.DUMMYFUNCTION("GOOGLETRANSLATE(C371,""fr"",""en"")"),"Very good support from the person who manages the back -to -end file
The procedures are simple and the economy is important in relation to the borrower insurance of my bank")</f>
        <v>Very good support from the person who manages the back -to -end file
The procedures are simple and the economy is important in relation to the borrower insurance of my bank</v>
      </c>
    </row>
    <row r="372" ht="15.75" customHeight="1">
      <c r="A372" s="2">
        <v>1.0</v>
      </c>
      <c r="B372" s="2" t="s">
        <v>1144</v>
      </c>
      <c r="C372" s="2" t="s">
        <v>1145</v>
      </c>
      <c r="D372" s="2" t="s">
        <v>206</v>
      </c>
      <c r="E372" s="2" t="s">
        <v>207</v>
      </c>
      <c r="F372" s="2" t="s">
        <v>15</v>
      </c>
      <c r="G372" s="2" t="s">
        <v>1146</v>
      </c>
      <c r="H372" s="2" t="s">
        <v>250</v>
      </c>
      <c r="I372" s="2" t="str">
        <f>IFERROR(__xludf.DUMMYFUNCTION("GOOGLETRANSLATE(C372,""fr"",""en"")"),"Customer for more than 10 years at Maif, I had never had to complain, for the right and simple reason that I had never had any particular disaster, apart from a minor water damage ago there are 2 year.
Having subscribed the most expensive option of the"&amp;" contract, on advice from the MAIF contracts service, I was stunned to see that in the end, my compensation file was finally rejected, when it had been certified to me By 3 times (before subscribing the option and even after) that it would be well taken c"&amp;"are of.
After a month of waiting following my complaint (which had been advised to me by the manager of the MAIF service), I remind her to have news, and she tells me that an answer, that I do not I never received, left by post (while all the other exc"&amp;"hanges were made by email.
Obviously, the answer is once again a refusal to take into account my file. They now advise me to grasp a mediator ...
In short: quick to sell more expensive guarantees than elsewhere, but does everything possible not to com"&amp;"pensate when there is a claim, despite having several times certified that it would be well taken care of (on the phone, of course , never writing ...)
A relationship of trust with members? I was very naive ... my advice: systematically ask for a writt"&amp;"en trace of their promises")</f>
        <v>Customer for more than 10 years at Maif, I had never had to complain, for the right and simple reason that I had never had any particular disaster, apart from a minor water damage ago there are 2 year.
Having subscribed the most expensive option of the contract, on advice from the MAIF contracts service, I was stunned to see that in the end, my compensation file was finally rejected, when it had been certified to me By 3 times (before subscribing the option and even after) that it would be well taken care of.
After a month of waiting following my complaint (which had been advised to me by the manager of the MAIF service), I remind her to have news, and she tells me that an answer, that I do not I never received, left by post (while all the other exchanges were made by email.
Obviously, the answer is once again a refusal to take into account my file. They now advise me to grasp a mediator ...
In short: quick to sell more expensive guarantees than elsewhere, but does everything possible not to compensate when there is a claim, despite having several times certified that it would be well taken care of (on the phone, of course , never writing ...)
A relationship of trust with members? I was very naive ... my advice: systematically ask for a written trace of their promises</v>
      </c>
    </row>
    <row r="373" ht="15.75" customHeight="1">
      <c r="A373" s="2">
        <v>2.0</v>
      </c>
      <c r="B373" s="2" t="s">
        <v>1147</v>
      </c>
      <c r="C373" s="2" t="s">
        <v>1148</v>
      </c>
      <c r="D373" s="2" t="s">
        <v>351</v>
      </c>
      <c r="E373" s="2" t="s">
        <v>261</v>
      </c>
      <c r="F373" s="2" t="s">
        <v>15</v>
      </c>
      <c r="G373" s="2" t="s">
        <v>1149</v>
      </c>
      <c r="H373" s="2" t="s">
        <v>101</v>
      </c>
      <c r="I373" s="2" t="str">
        <f>IFERROR(__xludf.DUMMYFUNCTION("GOOGLETRANSLATE(C373,""fr"",""en"")"),"I carried out on January 9, 10 and 11 2020 three transfers of advance reimbursements on the AFER account
After 3 months of unsuccessful approaches to AFER, procedures of my advisor, phone calls (the rare times I managed to reach a correspondent), emails,"&amp;" the first two payments were finally credited, without my knowing 'elsewhere their value date.
For a reason that completely escapes me the third advance reimbursement of January 11, 2020 is still not taken into account despite many new steps
I provided "&amp;"AFER the three certificates of transfer from my bank.
I don't know what to do to have satisfaction.")</f>
        <v>I carried out on January 9, 10 and 11 2020 three transfers of advance reimbursements on the AFER account
After 3 months of unsuccessful approaches to AFER, procedures of my advisor, phone calls (the rare times I managed to reach a correspondent), emails, the first two payments were finally credited, without my knowing 'elsewhere their value date.
For a reason that completely escapes me the third advance reimbursement of January 11, 2020 is still not taken into account despite many new steps
I provided AFER the three certificates of transfer from my bank.
I don't know what to do to have satisfaction.</v>
      </c>
    </row>
    <row r="374" ht="15.75" customHeight="1">
      <c r="A374" s="2">
        <v>1.0</v>
      </c>
      <c r="B374" s="2" t="s">
        <v>1150</v>
      </c>
      <c r="C374" s="2" t="s">
        <v>1151</v>
      </c>
      <c r="D374" s="2" t="s">
        <v>68</v>
      </c>
      <c r="E374" s="2" t="s">
        <v>14</v>
      </c>
      <c r="F374" s="2" t="s">
        <v>15</v>
      </c>
      <c r="G374" s="2" t="s">
        <v>1152</v>
      </c>
      <c r="H374" s="2" t="s">
        <v>926</v>
      </c>
      <c r="I374" s="2" t="str">
        <f>IFERROR(__xludf.DUMMYFUNCTION("GOOGLETRANSLATE(C374,""fr"",""en"")"),"That's it, this time I'm tired of Neoliane, this morning 10 a.m., I still received a phone call from you, certainly I did not fate your insistence and there I did not not very kind, but to have it insulting, it goes beyond the limits, bravo neoliane and n"&amp;"ow forgot me, greetings")</f>
        <v>That's it, this time I'm tired of Neoliane, this morning 10 a.m., I still received a phone call from you, certainly I did not fate your insistence and there I did not not very kind, but to have it insulting, it goes beyond the limits, bravo neoliane and now forgot me, greetings</v>
      </c>
    </row>
    <row r="375" ht="15.75" customHeight="1">
      <c r="A375" s="2">
        <v>5.0</v>
      </c>
      <c r="B375" s="2" t="s">
        <v>1153</v>
      </c>
      <c r="C375" s="2" t="s">
        <v>1154</v>
      </c>
      <c r="D375" s="2" t="s">
        <v>40</v>
      </c>
      <c r="E375" s="2" t="s">
        <v>14</v>
      </c>
      <c r="F375" s="2" t="s">
        <v>15</v>
      </c>
      <c r="G375" s="2" t="s">
        <v>919</v>
      </c>
      <c r="H375" s="2" t="s">
        <v>380</v>
      </c>
      <c r="I375" s="2" t="str">
        <f>IFERROR(__xludf.DUMMYFUNCTION("GOOGLETRANSLATE(C375,""fr"",""en"")"),"I have been affiliated with the MGP for over 40 years, which proves that I am completely satisfied with its services and its prices.
The advisers have always answered my questions clearly and the care of my major mental disabled daughter is very efficien"&amp;"t and I want to thank them.
Good mutual")</f>
        <v>I have been affiliated with the MGP for over 40 years, which proves that I am completely satisfied with its services and its prices.
The advisers have always answered my questions clearly and the care of my major mental disabled daughter is very efficient and I want to thank them.
Good mutual</v>
      </c>
    </row>
    <row r="376" ht="15.75" customHeight="1">
      <c r="A376" s="2">
        <v>1.0</v>
      </c>
      <c r="B376" s="2" t="s">
        <v>1155</v>
      </c>
      <c r="C376" s="2" t="s">
        <v>1156</v>
      </c>
      <c r="D376" s="2" t="s">
        <v>64</v>
      </c>
      <c r="E376" s="2" t="s">
        <v>21</v>
      </c>
      <c r="F376" s="2" t="s">
        <v>15</v>
      </c>
      <c r="G376" s="2" t="s">
        <v>1157</v>
      </c>
      <c r="H376" s="2" t="s">
        <v>178</v>
      </c>
      <c r="I376" s="2" t="str">
        <f>IFERROR(__xludf.DUMMYFUNCTION("GOOGLETRANSLATE(C376,""fr"",""en"")"),"In my opinion, it is insurance that has the general conditions of the worst market.
In my case, following the death of my spouse, this insurer stopped without notice and without warning me the insurance of his vehicle. Unable to do the gray card before t"&amp;"he end of the estate No other insurer wanted to ensure a vehicle of which I was not the owner on the gray card. So I found myself with an uninsured vehicle for several months (which is prohibited by law). The Olivier Insurance could wait until the end of "&amp;"the succession files to terminate! Especially since the subscription was paid and there was no concern for payment. No discussion is possible, they stupidly apply a regulation written for their only profit.
Being the owner of many vehicles, I had several"&amp;" insurers, but this one is by far the worst.
TO FLEE!")</f>
        <v>In my opinion, it is insurance that has the general conditions of the worst market.
In my case, following the death of my spouse, this insurer stopped without notice and without warning me the insurance of his vehicle. Unable to do the gray card before the end of the estate No other insurer wanted to ensure a vehicle of which I was not the owner on the gray card. So I found myself with an uninsured vehicle for several months (which is prohibited by law). The Olivier Insurance could wait until the end of the succession files to terminate! Especially since the subscription was paid and there was no concern for payment. No discussion is possible, they stupidly apply a regulation written for their only profit.
Being the owner of many vehicles, I had several insurers, but this one is by far the worst.
TO FLEE!</v>
      </c>
    </row>
    <row r="377" ht="15.75" customHeight="1">
      <c r="A377" s="2">
        <v>3.0</v>
      </c>
      <c r="B377" s="2" t="s">
        <v>1158</v>
      </c>
      <c r="C377" s="2" t="s">
        <v>1159</v>
      </c>
      <c r="D377" s="2" t="s">
        <v>64</v>
      </c>
      <c r="E377" s="2" t="s">
        <v>21</v>
      </c>
      <c r="F377" s="2" t="s">
        <v>15</v>
      </c>
      <c r="G377" s="2" t="s">
        <v>61</v>
      </c>
      <c r="H377" s="2" t="s">
        <v>58</v>
      </c>
      <c r="I377" s="2" t="str">
        <f>IFERROR(__xludf.DUMMYFUNCTION("GOOGLETRANSLATE(C377,""fr"",""en"")"),"Well the price is correct and advise them to tap to establish the contract. To see if it holds up afterwards. The price is completely correct")</f>
        <v>Well the price is correct and advise them to tap to establish the contract. To see if it holds up afterwards. The price is completely correct</v>
      </c>
    </row>
    <row r="378" ht="15.75" customHeight="1">
      <c r="A378" s="2">
        <v>5.0</v>
      </c>
      <c r="B378" s="2" t="s">
        <v>1160</v>
      </c>
      <c r="C378" s="2" t="s">
        <v>1161</v>
      </c>
      <c r="D378" s="2" t="s">
        <v>64</v>
      </c>
      <c r="E378" s="2" t="s">
        <v>21</v>
      </c>
      <c r="F378" s="2" t="s">
        <v>15</v>
      </c>
      <c r="G378" s="2" t="s">
        <v>617</v>
      </c>
      <c r="H378" s="2" t="s">
        <v>45</v>
      </c>
      <c r="I378" s="2" t="str">
        <f>IFERROR(__xludf.DUMMYFUNCTION("GOOGLETRANSLATE(C378,""fr"",""en"")"),"Very satisfied with the quality of customer service (quick response, effective and very kind telephone operators).
Very satisfied with the value for money.")</f>
        <v>Very satisfied with the quality of customer service (quick response, effective and very kind telephone operators).
Very satisfied with the value for money.</v>
      </c>
    </row>
    <row r="379" ht="15.75" customHeight="1">
      <c r="A379" s="2">
        <v>3.0</v>
      </c>
      <c r="B379" s="2" t="s">
        <v>1162</v>
      </c>
      <c r="C379" s="2" t="s">
        <v>1163</v>
      </c>
      <c r="D379" s="2" t="s">
        <v>40</v>
      </c>
      <c r="E379" s="2" t="s">
        <v>14</v>
      </c>
      <c r="F379" s="2" t="s">
        <v>15</v>
      </c>
      <c r="G379" s="2" t="s">
        <v>1164</v>
      </c>
      <c r="H379" s="2" t="s">
        <v>380</v>
      </c>
      <c r="I379" s="2" t="str">
        <f>IFERROR(__xludf.DUMMYFUNCTION("GOOGLETRANSLATE(C379,""fr"",""en"")"),"My interlocutor communicated to me the information I needed. It was clear and precise. I was able to do my procedures easily. Thank you for your professionalism.")</f>
        <v>My interlocutor communicated to me the information I needed. It was clear and precise. I was able to do my procedures easily. Thank you for your professionalism.</v>
      </c>
    </row>
    <row r="380" ht="15.75" customHeight="1">
      <c r="A380" s="2">
        <v>1.0</v>
      </c>
      <c r="B380" s="2" t="s">
        <v>1165</v>
      </c>
      <c r="C380" s="2" t="s">
        <v>1166</v>
      </c>
      <c r="D380" s="2" t="s">
        <v>715</v>
      </c>
      <c r="E380" s="2" t="s">
        <v>14</v>
      </c>
      <c r="F380" s="2" t="s">
        <v>15</v>
      </c>
      <c r="G380" s="2" t="s">
        <v>1167</v>
      </c>
      <c r="H380" s="2" t="s">
        <v>489</v>
      </c>
      <c r="I380" s="2" t="str">
        <f>IFERROR(__xludf.DUMMYFUNCTION("GOOGLETRANSLATE(C380,""fr"",""en"")"),"Mutuelle subscribed via my employer, no teletransmission made since April 2019! No answer when I send email to mecer, I am redirected to a form to fill out which as soon as I want to validate it to send a brand document that it is momentarily unavailable."&amp;" It's a shame in 2019 to have such poor customer service!")</f>
        <v>Mutuelle subscribed via my employer, no teletransmission made since April 2019! No answer when I send email to mecer, I am redirected to a form to fill out which as soon as I want to validate it to send a brand document that it is momentarily unavailable. It's a shame in 2019 to have such poor customer service!</v>
      </c>
    </row>
    <row r="381" ht="15.75" customHeight="1">
      <c r="A381" s="2">
        <v>2.0</v>
      </c>
      <c r="B381" s="2" t="s">
        <v>1168</v>
      </c>
      <c r="C381" s="2" t="s">
        <v>1169</v>
      </c>
      <c r="D381" s="2" t="s">
        <v>20</v>
      </c>
      <c r="E381" s="2" t="s">
        <v>21</v>
      </c>
      <c r="F381" s="2" t="s">
        <v>15</v>
      </c>
      <c r="G381" s="2" t="s">
        <v>1170</v>
      </c>
      <c r="H381" s="2" t="s">
        <v>832</v>
      </c>
      <c r="I381" s="2" t="str">
        <f>IFERROR(__xludf.DUMMYFUNCTION("GOOGLETRANSLATE(C381,""fr"",""en"")"),"Subscription in France, perfect, kind! Then relocation to Morocco, as soon as your contract is subscribed.")</f>
        <v>Subscription in France, perfect, kind! Then relocation to Morocco, as soon as your contract is subscribed.</v>
      </c>
    </row>
    <row r="382" ht="15.75" customHeight="1">
      <c r="A382" s="2">
        <v>5.0</v>
      </c>
      <c r="B382" s="2" t="s">
        <v>1171</v>
      </c>
      <c r="C382" s="2" t="s">
        <v>1172</v>
      </c>
      <c r="D382" s="2" t="s">
        <v>26</v>
      </c>
      <c r="E382" s="2" t="s">
        <v>14</v>
      </c>
      <c r="F382" s="2" t="s">
        <v>15</v>
      </c>
      <c r="G382" s="2" t="s">
        <v>356</v>
      </c>
      <c r="H382" s="2" t="s">
        <v>17</v>
      </c>
      <c r="I382" s="2" t="str">
        <f>IFERROR(__xludf.DUMMYFUNCTION("GOOGLETRANSLATE(C382,""fr"",""en"")"),"I am very satisfied with this practical and fast management and clear management no need to move especially for the age age thank you for this effort")</f>
        <v>I am very satisfied with this practical and fast management and clear management no need to move especially for the age age thank you for this effort</v>
      </c>
    </row>
    <row r="383" ht="15.75" customHeight="1">
      <c r="A383" s="2">
        <v>4.0</v>
      </c>
      <c r="B383" s="2" t="s">
        <v>1173</v>
      </c>
      <c r="C383" s="2" t="s">
        <v>1174</v>
      </c>
      <c r="D383" s="2" t="s">
        <v>20</v>
      </c>
      <c r="E383" s="2" t="s">
        <v>21</v>
      </c>
      <c r="F383" s="2" t="s">
        <v>15</v>
      </c>
      <c r="G383" s="2" t="s">
        <v>75</v>
      </c>
      <c r="H383" s="2" t="s">
        <v>45</v>
      </c>
      <c r="I383" s="2" t="str">
        <f>IFERROR(__xludf.DUMMYFUNCTION("GOOGLETRANSLATE(C383,""fr"",""en"")"),"Adjustable package. Easy subscription online and automatic termination of the old one. Simple and practical. Suitable price and in any case the cheapest according to the comparator")</f>
        <v>Adjustable package. Easy subscription online and automatic termination of the old one. Simple and practical. Suitable price and in any case the cheapest according to the comparator</v>
      </c>
    </row>
    <row r="384" ht="15.75" customHeight="1">
      <c r="A384" s="2">
        <v>4.0</v>
      </c>
      <c r="B384" s="2" t="s">
        <v>1175</v>
      </c>
      <c r="C384" s="2" t="s">
        <v>1176</v>
      </c>
      <c r="D384" s="2" t="s">
        <v>78</v>
      </c>
      <c r="E384" s="2" t="s">
        <v>79</v>
      </c>
      <c r="F384" s="2" t="s">
        <v>15</v>
      </c>
      <c r="G384" s="2" t="s">
        <v>58</v>
      </c>
      <c r="H384" s="2" t="s">
        <v>58</v>
      </c>
      <c r="I384" s="2" t="str">
        <f>IFERROR(__xludf.DUMMYFUNCTION("GOOGLETRANSLATE(C384,""fr"",""en"")"),"I found the relatively simple subscription The three contract proposals are competitive and clear the questionnaire and very simple to answer, perfect")</f>
        <v>I found the relatively simple subscription The three contract proposals are competitive and clear the questionnaire and very simple to answer, perfect</v>
      </c>
    </row>
    <row r="385" ht="15.75" customHeight="1">
      <c r="A385" s="2">
        <v>1.0</v>
      </c>
      <c r="B385" s="2" t="s">
        <v>1177</v>
      </c>
      <c r="C385" s="2" t="s">
        <v>1178</v>
      </c>
      <c r="D385" s="2" t="s">
        <v>206</v>
      </c>
      <c r="E385" s="2" t="s">
        <v>207</v>
      </c>
      <c r="F385" s="2" t="s">
        <v>15</v>
      </c>
      <c r="G385" s="2" t="s">
        <v>1179</v>
      </c>
      <c r="H385" s="2" t="s">
        <v>70</v>
      </c>
      <c r="I385" s="2" t="str">
        <f>IFERROR(__xludf.DUMMYFUNCTION("GOOGLETRANSLATE(C385,""fr"",""en"")"),"Being insured with the novelia group for my house, my ex -partner terminated my contract under the cover of the Hamon law without warning me.
I received a notification from my insurer regretting my request for termination, very surprised by this situatio"&amp;"n, I contacted the Maif by telling them that I did not ask for anything and that it was a false.
I asked for the copy of the termination request, they refused including by proving my identity.
They are accomplices of false with my ex -partner, after 15 "&amp;"days threatening, they sent me the copy of the letter of termination request for Novelia sent by the MAIF.
I noticed the false signature
no comment !!!")</f>
        <v>Being insured with the novelia group for my house, my ex -partner terminated my contract under the cover of the Hamon law without warning me.
I received a notification from my insurer regretting my request for termination, very surprised by this situation, I contacted the Maif by telling them that I did not ask for anything and that it was a false.
I asked for the copy of the termination request, they refused including by proving my identity.
They are accomplices of false with my ex -partner, after 15 days threatening, they sent me the copy of the letter of termination request for Novelia sent by the MAIF.
I noticed the false signature
no comment !!!</v>
      </c>
    </row>
    <row r="386" ht="15.75" customHeight="1">
      <c r="A386" s="2">
        <v>4.0</v>
      </c>
      <c r="B386" s="2" t="s">
        <v>1180</v>
      </c>
      <c r="C386" s="2" t="s">
        <v>1181</v>
      </c>
      <c r="D386" s="2" t="s">
        <v>20</v>
      </c>
      <c r="E386" s="2" t="s">
        <v>21</v>
      </c>
      <c r="F386" s="2" t="s">
        <v>15</v>
      </c>
      <c r="G386" s="2" t="s">
        <v>643</v>
      </c>
      <c r="H386" s="2" t="s">
        <v>23</v>
      </c>
      <c r="I386" s="2" t="str">
        <f>IFERROR(__xludf.DUMMYFUNCTION("GOOGLETRANSLATE(C386,""fr"",""en"")"),"I am satisfied with the service: simple / practical / allows you to save, pleasant and responsive telephone staff, cool loan vehicle !!")</f>
        <v>I am satisfied with the service: simple / practical / allows you to save, pleasant and responsive telephone staff, cool loan vehicle !!</v>
      </c>
    </row>
    <row r="387" ht="15.75" customHeight="1">
      <c r="A387" s="2">
        <v>3.0</v>
      </c>
      <c r="B387" s="2" t="s">
        <v>1182</v>
      </c>
      <c r="C387" s="2" t="s">
        <v>1183</v>
      </c>
      <c r="D387" s="2" t="s">
        <v>20</v>
      </c>
      <c r="E387" s="2" t="s">
        <v>21</v>
      </c>
      <c r="F387" s="2" t="s">
        <v>15</v>
      </c>
      <c r="G387" s="2" t="s">
        <v>1184</v>
      </c>
      <c r="H387" s="2" t="s">
        <v>168</v>
      </c>
      <c r="I387" s="2" t="str">
        <f>IFERROR(__xludf.DUMMYFUNCTION("GOOGLETRANSLATE(C387,""fr"",""en"")"),"Attractive offer at first, the cheapest of walking when you do not go through a broker. Then when something happens to us this is the start of the disaster ... I paid around 58 euros for a 12 -year -old car because 1.18 bonus/penalty. Until then it's fine"&amp;". But after 3 months insured with them I have a non -responsible disaster. I declare to the insurance by phone all goes quickly, my vehicle after passing the expert is declared economically non -repairable ... No vehicle closely while the car is in very p"&amp;"oor condition and no longer protects me from A possible accident .... The close vehicle is authorized with an in addition to more guarantee 10 euros per month and only during repair of the vehicle. The Council of Customer Manager: file a complaint against"&amp;" the driver responsible for the accident and his insurance to possibly benefit from a reimbursement of the costs of rental of a car ... No need to tell you that between this procedures and Justice costs are not really profitable ...
I must then sell the "&amp;"vehicle to insurance to be reimbursed for the value of the car. The expert was rather correct on the amount. Except that the time between the sale of the vehicle and the reimbursement it spends 10 days well ... my schedule being governed by the car I am r"&amp;"eally in the galley ... I still manage to manage with someone To advance the money on the purchase of a new car: the same as the previous one with one more year and 1cv less .... The new direct insurance price for this car: almost double 105 euros per mon"&amp;"th .... is it a joke ???? Of course impossible to ask for a gesture may that everything goes through software that establishes prices with certain info and no other.
All that for a disaster for which I am not responsible ....
By then searching the net I"&amp;" read customer reviews saying that the offers at low prices were made to attract customers because after several years the prices increased without much reason ...")</f>
        <v>Attractive offer at first, the cheapest of walking when you do not go through a broker. Then when something happens to us this is the start of the disaster ... I paid around 58 euros for a 12 -year -old car because 1.18 bonus/penalty. Until then it's fine. But after 3 months insured with them I have a non -responsible disaster. I declare to the insurance by phone all goes quickly, my vehicle after passing the expert is declared economically non -repairable ... No vehicle closely while the car is in very poor condition and no longer protects me from A possible accident .... The close vehicle is authorized with an in addition to more guarantee 10 euros per month and only during repair of the vehicle. The Council of Customer Manager: file a complaint against the driver responsible for the accident and his insurance to possibly benefit from a reimbursement of the costs of rental of a car ... No need to tell you that between this procedures and Justice costs are not really profitable ...
I must then sell the vehicle to insurance to be reimbursed for the value of the car. The expert was rather correct on the amount. Except that the time between the sale of the vehicle and the reimbursement it spends 10 days well ... my schedule being governed by the car I am really in the galley ... I still manage to manage with someone To advance the money on the purchase of a new car: the same as the previous one with one more year and 1cv less .... The new direct insurance price for this car: almost double 105 euros per month .... is it a joke ???? Of course impossible to ask for a gesture may that everything goes through software that establishes prices with certain info and no other.
All that for a disaster for which I am not responsible ....
By then searching the net I read customer reviews saying that the offers at low prices were made to attract customers because after several years the prices increased without much reason ...</v>
      </c>
    </row>
    <row r="388" ht="15.75" customHeight="1">
      <c r="A388" s="2">
        <v>2.0</v>
      </c>
      <c r="B388" s="2" t="s">
        <v>1185</v>
      </c>
      <c r="C388" s="2" t="s">
        <v>1186</v>
      </c>
      <c r="D388" s="2" t="s">
        <v>20</v>
      </c>
      <c r="E388" s="2" t="s">
        <v>21</v>
      </c>
      <c r="F388" s="2" t="s">
        <v>15</v>
      </c>
      <c r="G388" s="2" t="s">
        <v>787</v>
      </c>
      <c r="H388" s="2" t="s">
        <v>70</v>
      </c>
      <c r="I388" s="2" t="str">
        <f>IFERROR(__xludf.DUMMYFUNCTION("GOOGLETRANSLATE(C388,""fr"",""en"")"),"Bonus 50 for 12 years and at home for 5 years and € 46.55 per month ... there or with other insurer we are at least € 5 cheaper.
It is not possible to download the info statement ... We feel a little taken on the trap, obligation to have an advisor and p"&amp;"eryte time for everyone. You only have to create an alert and remind you even if you are afraid of losing a contract following these requests ...")</f>
        <v>Bonus 50 for 12 years and at home for 5 years and € 46.55 per month ... there or with other insurer we are at least € 5 cheaper.
It is not possible to download the info statement ... We feel a little taken on the trap, obligation to have an advisor and peryte time for everyone. You only have to create an alert and remind you even if you are afraid of losing a contract following these requests ...</v>
      </c>
    </row>
    <row r="389" ht="15.75" customHeight="1">
      <c r="A389" s="2">
        <v>4.0</v>
      </c>
      <c r="B389" s="2" t="s">
        <v>1187</v>
      </c>
      <c r="C389" s="2" t="s">
        <v>1188</v>
      </c>
      <c r="D389" s="2" t="s">
        <v>20</v>
      </c>
      <c r="E389" s="2" t="s">
        <v>21</v>
      </c>
      <c r="F389" s="2" t="s">
        <v>15</v>
      </c>
      <c r="G389" s="2" t="s">
        <v>1189</v>
      </c>
      <c r="H389" s="2" t="s">
        <v>89</v>
      </c>
      <c r="I389" s="2" t="str">
        <f>IFERROR(__xludf.DUMMYFUNCTION("GOOGLETRANSLATE(C389,""fr"",""en"")"),"Top and very well to see in the long term what Dieec Insurance now offers me hoping that everything is correct at your level because it is the price and the report that")</f>
        <v>Top and very well to see in the long term what Dieec Insurance now offers me hoping that everything is correct at your level because it is the price and the report that</v>
      </c>
    </row>
    <row r="390" ht="15.75" customHeight="1">
      <c r="A390" s="2">
        <v>5.0</v>
      </c>
      <c r="B390" s="2" t="s">
        <v>1190</v>
      </c>
      <c r="C390" s="2" t="s">
        <v>1191</v>
      </c>
      <c r="D390" s="2" t="s">
        <v>20</v>
      </c>
      <c r="E390" s="2" t="s">
        <v>21</v>
      </c>
      <c r="F390" s="2" t="s">
        <v>15</v>
      </c>
      <c r="G390" s="2" t="s">
        <v>1192</v>
      </c>
      <c r="H390" s="2" t="s">
        <v>45</v>
      </c>
      <c r="I390" s="2" t="str">
        <f>IFERROR(__xludf.DUMMYFUNCTION("GOOGLETRANSLATE(C390,""fr"",""en"")"),"Very easy to use and fast. Very satisfied with this first contact. Very competitive price compared to other insurance organizations.")</f>
        <v>Very easy to use and fast. Very satisfied with this first contact. Very competitive price compared to other insurance organizations.</v>
      </c>
    </row>
    <row r="391" ht="15.75" customHeight="1">
      <c r="A391" s="2">
        <v>2.0</v>
      </c>
      <c r="B391" s="2" t="s">
        <v>1193</v>
      </c>
      <c r="C391" s="2" t="s">
        <v>1194</v>
      </c>
      <c r="D391" s="2" t="s">
        <v>383</v>
      </c>
      <c r="E391" s="2" t="s">
        <v>110</v>
      </c>
      <c r="F391" s="2" t="s">
        <v>15</v>
      </c>
      <c r="G391" s="2" t="s">
        <v>1195</v>
      </c>
      <c r="H391" s="2" t="s">
        <v>70</v>
      </c>
      <c r="I391" s="2" t="str">
        <f>IFERROR(__xludf.DUMMYFUNCTION("GOOGLETRANSLATE(C391,""fr"",""en"")"),"Following a withdrawal in the times planned with HealthEvet in February 2021, a levy has been made of 26.52 euros, you will be reimbursed within 30 days, to be done.")</f>
        <v>Following a withdrawal in the times planned with HealthEvet in February 2021, a levy has been made of 26.52 euros, you will be reimbursed within 30 days, to be done.</v>
      </c>
    </row>
    <row r="392" ht="15.75" customHeight="1">
      <c r="A392" s="2">
        <v>3.0</v>
      </c>
      <c r="B392" s="2" t="s">
        <v>1196</v>
      </c>
      <c r="C392" s="2" t="s">
        <v>1197</v>
      </c>
      <c r="D392" s="2" t="s">
        <v>35</v>
      </c>
      <c r="E392" s="2" t="s">
        <v>21</v>
      </c>
      <c r="F392" s="2" t="s">
        <v>15</v>
      </c>
      <c r="G392" s="2" t="s">
        <v>1198</v>
      </c>
      <c r="H392" s="2" t="s">
        <v>45</v>
      </c>
      <c r="I392" s="2" t="str">
        <f>IFERROR(__xludf.DUMMYFUNCTION("GOOGLETRANSLATE(C392,""fr"",""en"")"),"No gesture on your part when we have been customer for years
always an increase each year has when a commercial gesture
On all contracts")</f>
        <v>No gesture on your part when we have been customer for years
always an increase each year has when a commercial gesture
On all contracts</v>
      </c>
    </row>
    <row r="393" ht="15.75" customHeight="1">
      <c r="A393" s="2">
        <v>1.0</v>
      </c>
      <c r="B393" s="2" t="s">
        <v>1199</v>
      </c>
      <c r="C393" s="2" t="s">
        <v>1200</v>
      </c>
      <c r="D393" s="2" t="s">
        <v>375</v>
      </c>
      <c r="E393" s="2" t="s">
        <v>14</v>
      </c>
      <c r="F393" s="2" t="s">
        <v>15</v>
      </c>
      <c r="G393" s="2" t="s">
        <v>116</v>
      </c>
      <c r="H393" s="2" t="s">
        <v>116</v>
      </c>
      <c r="I393" s="2" t="str">
        <f>IFERROR(__xludf.DUMMYFUNCTION("GOOGLETRANSLATE(C393,""fr"",""en"")"),"Mutual subscribed December 2017. Refund for fairly fast current care. . But just improbable time for the little ones for which we pay dearly, and for which you have to fight. But the start of this year Increase in the rate of 25% without notice. Impossibl"&amp;"e to solve the problem, customer service takes a phenomenal time to answer you and even more to offer you a solution. For me it is termination.")</f>
        <v>Mutual subscribed December 2017. Refund for fairly fast current care. . But just improbable time for the little ones for which we pay dearly, and for which you have to fight. But the start of this year Increase in the rate of 25% without notice. Impossible to solve the problem, customer service takes a phenomenal time to answer you and even more to offer you a solution. For me it is termination.</v>
      </c>
    </row>
    <row r="394" ht="15.75" customHeight="1">
      <c r="A394" s="2">
        <v>1.0</v>
      </c>
      <c r="B394" s="2" t="s">
        <v>1201</v>
      </c>
      <c r="C394" s="2" t="s">
        <v>1202</v>
      </c>
      <c r="D394" s="2" t="s">
        <v>20</v>
      </c>
      <c r="E394" s="2" t="s">
        <v>21</v>
      </c>
      <c r="F394" s="2" t="s">
        <v>15</v>
      </c>
      <c r="G394" s="2" t="s">
        <v>45</v>
      </c>
      <c r="H394" s="2" t="s">
        <v>45</v>
      </c>
      <c r="I394" s="2" t="str">
        <f>IFERROR(__xludf.DUMMYFUNCTION("GOOGLETRANSLATE(C394,""fr"",""en"")"),"Very nice is very easy to do I really recommend
Very well and inexpensive insurance
And very fast compared to the insurance we have in our city")</f>
        <v>Very nice is very easy to do I really recommend
Very well and inexpensive insurance
And very fast compared to the insurance we have in our city</v>
      </c>
    </row>
    <row r="395" ht="15.75" customHeight="1">
      <c r="A395" s="2">
        <v>4.0</v>
      </c>
      <c r="B395" s="2" t="s">
        <v>1203</v>
      </c>
      <c r="C395" s="2" t="s">
        <v>1204</v>
      </c>
      <c r="D395" s="2" t="s">
        <v>20</v>
      </c>
      <c r="E395" s="2" t="s">
        <v>21</v>
      </c>
      <c r="F395" s="2" t="s">
        <v>15</v>
      </c>
      <c r="G395" s="2" t="s">
        <v>1205</v>
      </c>
      <c r="H395" s="2" t="s">
        <v>70</v>
      </c>
      <c r="I395" s="2" t="str">
        <f>IFERROR(__xludf.DUMMYFUNCTION("GOOGLETRANSLATE(C395,""fr"",""en"")"),"I am satisfied with your services so far.
Your online site is easy to use.
I await my documents and will not fail to follow my file by my personal space.
Thank you.")</f>
        <v>I am satisfied with your services so far.
Your online site is easy to use.
I await my documents and will not fail to follow my file by my personal space.
Thank you.</v>
      </c>
    </row>
    <row r="396" ht="15.75" customHeight="1">
      <c r="A396" s="2">
        <v>4.0</v>
      </c>
      <c r="B396" s="2" t="s">
        <v>1206</v>
      </c>
      <c r="C396" s="2" t="s">
        <v>1207</v>
      </c>
      <c r="D396" s="2" t="s">
        <v>78</v>
      </c>
      <c r="E396" s="2" t="s">
        <v>79</v>
      </c>
      <c r="F396" s="2" t="s">
        <v>15</v>
      </c>
      <c r="G396" s="2" t="s">
        <v>1021</v>
      </c>
      <c r="H396" s="2" t="s">
        <v>17</v>
      </c>
      <c r="I396" s="2" t="str">
        <f>IFERROR(__xludf.DUMMYFUNCTION("GOOGLETRANSLATE(C396,""fr"",""en"")"),"Quick and precise response I found the news on the internet and I made a comparison of the prices and the most interesting was that of your company")</f>
        <v>Quick and precise response I found the news on the internet and I made a comparison of the prices and the most interesting was that of your company</v>
      </c>
    </row>
    <row r="397" ht="15.75" customHeight="1">
      <c r="A397" s="2">
        <v>4.0</v>
      </c>
      <c r="B397" s="2" t="s">
        <v>1208</v>
      </c>
      <c r="C397" s="2" t="s">
        <v>1209</v>
      </c>
      <c r="D397" s="2" t="s">
        <v>20</v>
      </c>
      <c r="E397" s="2" t="s">
        <v>21</v>
      </c>
      <c r="F397" s="2" t="s">
        <v>15</v>
      </c>
      <c r="G397" s="2" t="s">
        <v>22</v>
      </c>
      <c r="H397" s="2" t="s">
        <v>23</v>
      </c>
      <c r="I397" s="2" t="str">
        <f>IFERROR(__xludf.DUMMYFUNCTION("GOOGLETRANSLATE(C397,""fr"",""en"")"),"For the moment I am very satisfied with the start -up he simple and practical by the internet I hope that it will be the same when I would need to enforce the clauses of my contract if a disaster occurs")</f>
        <v>For the moment I am very satisfied with the start -up he simple and practical by the internet I hope that it will be the same when I would need to enforce the clauses of my contract if a disaster occurs</v>
      </c>
    </row>
    <row r="398" ht="15.75" customHeight="1">
      <c r="A398" s="2">
        <v>3.0</v>
      </c>
      <c r="B398" s="2" t="s">
        <v>1210</v>
      </c>
      <c r="C398" s="2" t="s">
        <v>1211</v>
      </c>
      <c r="D398" s="2" t="s">
        <v>26</v>
      </c>
      <c r="E398" s="2" t="s">
        <v>14</v>
      </c>
      <c r="F398" s="2" t="s">
        <v>15</v>
      </c>
      <c r="G398" s="2" t="s">
        <v>48</v>
      </c>
      <c r="H398" s="2" t="s">
        <v>45</v>
      </c>
      <c r="I398" s="2" t="str">
        <f>IFERROR(__xludf.DUMMYFUNCTION("GOOGLETRANSLATE(C398,""fr"",""en"")"),"I just terminated my contract on 31/08. Why? The first 2 years (since 2017), I obtained an answer to my questions easily and quickly. But the more these last 2: in fact, my contract not being ""responsible"", I found myself dismissed from the new provisio"&amp;"ns of remains 0. April has a very solid operation (care, reimbursements ...) but fishing due to lack of follow -up of the insured. Like many mutuals that delegate commercial prospecting to brokers, their ""customers"" are not followed. Insurance swell the"&amp;"ir wallets and sell them to larger ones.
The termination, triggered by my new mutual, is going very well. Thank you April.
")</f>
        <v>I just terminated my contract on 31/08. Why? The first 2 years (since 2017), I obtained an answer to my questions easily and quickly. But the more these last 2: in fact, my contract not being "responsible", I found myself dismissed from the new provisions of remains 0. April has a very solid operation (care, reimbursements ...) but fishing due to lack of follow -up of the insured. Like many mutuals that delegate commercial prospecting to brokers, their "customers" are not followed. Insurance swell their wallets and sell them to larger ones.
The termination, triggered by my new mutual, is going very well. Thank you April.
</v>
      </c>
    </row>
    <row r="399" ht="15.75" customHeight="1">
      <c r="A399" s="2">
        <v>4.0</v>
      </c>
      <c r="B399" s="2" t="s">
        <v>1212</v>
      </c>
      <c r="C399" s="2" t="s">
        <v>1213</v>
      </c>
      <c r="D399" s="2" t="s">
        <v>64</v>
      </c>
      <c r="E399" s="2" t="s">
        <v>21</v>
      </c>
      <c r="F399" s="2" t="s">
        <v>15</v>
      </c>
      <c r="G399" s="2" t="s">
        <v>1214</v>
      </c>
      <c r="H399" s="2" t="s">
        <v>58</v>
      </c>
      <c r="I399" s="2" t="str">
        <f>IFERROR(__xludf.DUMMYFUNCTION("GOOGLETRANSLATE(C399,""fr"",""en"")"),"I recommend insurance is at the best price it is the less expensive at the market I am new and there are full of people who advised me to do it no better")</f>
        <v>I recommend insurance is at the best price it is the less expensive at the market I am new and there are full of people who advised me to do it no better</v>
      </c>
    </row>
    <row r="400" ht="15.75" customHeight="1">
      <c r="A400" s="2">
        <v>2.0</v>
      </c>
      <c r="B400" s="2" t="s">
        <v>1215</v>
      </c>
      <c r="C400" s="2" t="s">
        <v>1216</v>
      </c>
      <c r="D400" s="2" t="s">
        <v>1217</v>
      </c>
      <c r="E400" s="2" t="s">
        <v>450</v>
      </c>
      <c r="F400" s="2" t="s">
        <v>15</v>
      </c>
      <c r="G400" s="2" t="s">
        <v>127</v>
      </c>
      <c r="H400" s="2" t="s">
        <v>128</v>
      </c>
      <c r="I400" s="2" t="str">
        <f>IFERROR(__xludf.DUMMYFUNCTION("GOOGLETRANSLATE(C400,""fr"",""en"")"),"Absolutely impossible to reach !!! And the prices increase without justification any compared to what I signed in 2018.The first time it was the broker who had managed the file but now he tells me to manage with them, in short to flee !!!!")</f>
        <v>Absolutely impossible to reach !!! And the prices increase without justification any compared to what I signed in 2018.The first time it was the broker who had managed the file but now he tells me to manage with them, in short to flee !!!!</v>
      </c>
    </row>
    <row r="401" ht="15.75" customHeight="1">
      <c r="A401" s="2">
        <v>4.0</v>
      </c>
      <c r="B401" s="2" t="s">
        <v>1218</v>
      </c>
      <c r="C401" s="2" t="s">
        <v>1219</v>
      </c>
      <c r="D401" s="2" t="s">
        <v>20</v>
      </c>
      <c r="E401" s="2" t="s">
        <v>21</v>
      </c>
      <c r="F401" s="2" t="s">
        <v>15</v>
      </c>
      <c r="G401" s="2" t="s">
        <v>736</v>
      </c>
      <c r="H401" s="2" t="s">
        <v>58</v>
      </c>
      <c r="I401" s="2" t="str">
        <f>IFERROR(__xludf.DUMMYFUNCTION("GOOGLETRANSLATE(C401,""fr"",""en"")"),"Nothing to say, fast, efficient and much cheaper than most competition! I do not so arer. And overall fairly simple to contact.")</f>
        <v>Nothing to say, fast, efficient and much cheaper than most competition! I do not so arer. And overall fairly simple to contact.</v>
      </c>
    </row>
    <row r="402" ht="15.75" customHeight="1">
      <c r="A402" s="2">
        <v>5.0</v>
      </c>
      <c r="B402" s="2" t="s">
        <v>1220</v>
      </c>
      <c r="C402" s="2" t="s">
        <v>1221</v>
      </c>
      <c r="D402" s="2" t="s">
        <v>78</v>
      </c>
      <c r="E402" s="2" t="s">
        <v>79</v>
      </c>
      <c r="F402" s="2" t="s">
        <v>15</v>
      </c>
      <c r="G402" s="2" t="s">
        <v>417</v>
      </c>
      <c r="H402" s="2" t="s">
        <v>81</v>
      </c>
      <c r="I402" s="2" t="str">
        <f>IFERROR(__xludf.DUMMYFUNCTION("GOOGLETRANSLATE(C402,""fr"",""en"")"),"I am super satisfied with your simple and practical services thank you and the re -proof price I will recommend to knowledge again thank you to you super practical")</f>
        <v>I am super satisfied with your simple and practical services thank you and the re -proof price I will recommend to knowledge again thank you to you super practical</v>
      </c>
    </row>
    <row r="403" ht="15.75" customHeight="1">
      <c r="A403" s="2">
        <v>1.0</v>
      </c>
      <c r="B403" s="2" t="s">
        <v>1222</v>
      </c>
      <c r="C403" s="2" t="s">
        <v>1223</v>
      </c>
      <c r="D403" s="2" t="s">
        <v>64</v>
      </c>
      <c r="E403" s="2" t="s">
        <v>21</v>
      </c>
      <c r="F403" s="2" t="s">
        <v>15</v>
      </c>
      <c r="G403" s="2" t="s">
        <v>447</v>
      </c>
      <c r="H403" s="2" t="s">
        <v>58</v>
      </c>
      <c r="I403" s="2" t="str">
        <f>IFERROR(__xludf.DUMMYFUNCTION("GOOGLETRANSLATE(C403,""fr"",""en"")"),"Too expensive for this little, customer service impossible to have on the phone, 3 years of insurance and 3 years that it increases.
In short, do better, and review these prices to fuck.")</f>
        <v>Too expensive for this little, customer service impossible to have on the phone, 3 years of insurance and 3 years that it increases.
In short, do better, and review these prices to fuck.</v>
      </c>
    </row>
    <row r="404" ht="15.75" customHeight="1">
      <c r="A404" s="2">
        <v>4.0</v>
      </c>
      <c r="B404" s="2" t="s">
        <v>1224</v>
      </c>
      <c r="C404" s="2" t="s">
        <v>1225</v>
      </c>
      <c r="D404" s="2" t="s">
        <v>20</v>
      </c>
      <c r="E404" s="2" t="s">
        <v>21</v>
      </c>
      <c r="F404" s="2" t="s">
        <v>15</v>
      </c>
      <c r="G404" s="2" t="s">
        <v>503</v>
      </c>
      <c r="H404" s="2" t="s">
        <v>178</v>
      </c>
      <c r="I404" s="2" t="str">
        <f>IFERROR(__xludf.DUMMYFUNCTION("GOOGLETRANSLATE(C404,""fr"",""en"")"),"Privacy and price conditions that are proposed are satisfactory and the implementation of the coverage is simple and quick. This is my first contract subscribed online")</f>
        <v>Privacy and price conditions that are proposed are satisfactory and the implementation of the coverage is simple and quick. This is my first contract subscribed online</v>
      </c>
    </row>
    <row r="405" ht="15.75" customHeight="1">
      <c r="A405" s="2">
        <v>1.0</v>
      </c>
      <c r="B405" s="2" t="s">
        <v>1226</v>
      </c>
      <c r="C405" s="2" t="s">
        <v>1227</v>
      </c>
      <c r="D405" s="2" t="s">
        <v>715</v>
      </c>
      <c r="E405" s="2" t="s">
        <v>14</v>
      </c>
      <c r="F405" s="2" t="s">
        <v>15</v>
      </c>
      <c r="G405" s="2" t="s">
        <v>253</v>
      </c>
      <c r="H405" s="2" t="s">
        <v>178</v>
      </c>
      <c r="I405" s="2" t="str">
        <f>IFERROR(__xludf.DUMMYFUNCTION("GOOGLETRANSLATE(C405,""fr"",""en"")"),"To flee, flee does not advise you this mutual. Zoro customer service. Very unpleasant advisor and advisor, not at all professionals. Refund period too too long. The customer is abandoned.
At Mercer it's ""we take you your money but we will do nothing f"&amp;"or you and when you call us, we make you go for a walk""
I especially do not recommend this mutual.
Flee and don't go back.
They don't even deserve half a star.")</f>
        <v>To flee, flee does not advise you this mutual. Zoro customer service. Very unpleasant advisor and advisor, not at all professionals. Refund period too too long. The customer is abandoned.
At Mercer it's "we take you your money but we will do nothing for you and when you call us, we make you go for a walk"
I especially do not recommend this mutual.
Flee and don't go back.
They don't even deserve half a star.</v>
      </c>
    </row>
    <row r="406" ht="15.75" customHeight="1">
      <c r="A406" s="2">
        <v>3.0</v>
      </c>
      <c r="B406" s="2" t="s">
        <v>1228</v>
      </c>
      <c r="C406" s="2" t="s">
        <v>1229</v>
      </c>
      <c r="D406" s="2" t="s">
        <v>20</v>
      </c>
      <c r="E406" s="2" t="s">
        <v>21</v>
      </c>
      <c r="F406" s="2" t="s">
        <v>15</v>
      </c>
      <c r="G406" s="2" t="s">
        <v>174</v>
      </c>
      <c r="H406" s="2" t="s">
        <v>89</v>
      </c>
      <c r="I406" s="2" t="str">
        <f>IFERROR(__xludf.DUMMYFUNCTION("GOOGLETRANSLATE(C406,""fr"",""en"")"),"The prices suit me, looking forward to starting with your YouDrive insurance hoping to have a good reduction on my insurance. Quick and secure subscription.")</f>
        <v>The prices suit me, looking forward to starting with your YouDrive insurance hoping to have a good reduction on my insurance. Quick and secure subscription.</v>
      </c>
    </row>
    <row r="407" ht="15.75" customHeight="1">
      <c r="A407" s="2">
        <v>1.0</v>
      </c>
      <c r="B407" s="2" t="s">
        <v>1230</v>
      </c>
      <c r="C407" s="2" t="s">
        <v>1231</v>
      </c>
      <c r="D407" s="2" t="s">
        <v>95</v>
      </c>
      <c r="E407" s="2" t="s">
        <v>21</v>
      </c>
      <c r="F407" s="2" t="s">
        <v>15</v>
      </c>
      <c r="G407" s="2" t="s">
        <v>1232</v>
      </c>
      <c r="H407" s="2" t="s">
        <v>888</v>
      </c>
      <c r="I407" s="2" t="str">
        <f>IFERROR(__xludf.DUMMYFUNCTION("GOOGLETRANSLATE(C407,""fr"",""en"")"),"A star for your mediocre service, no reimbursement for employees in TT for the covid period, on the other hand, for unemployed people, is possible. 2 years that prices have been increasing but when it comes to returning a game, it speaks Chinese. In addit"&amp;"ion to that, the Matmut is far from the cheapest insurance for the same guarantees.")</f>
        <v>A star for your mediocre service, no reimbursement for employees in TT for the covid period, on the other hand, for unemployed people, is possible. 2 years that prices have been increasing but when it comes to returning a game, it speaks Chinese. In addition to that, the Matmut is far from the cheapest insurance for the same guarantees.</v>
      </c>
    </row>
    <row r="408" ht="15.75" customHeight="1">
      <c r="A408" s="2">
        <v>5.0</v>
      </c>
      <c r="B408" s="2" t="s">
        <v>1233</v>
      </c>
      <c r="C408" s="2" t="s">
        <v>1234</v>
      </c>
      <c r="D408" s="2" t="s">
        <v>64</v>
      </c>
      <c r="E408" s="2" t="s">
        <v>21</v>
      </c>
      <c r="F408" s="2" t="s">
        <v>15</v>
      </c>
      <c r="G408" s="2" t="s">
        <v>1235</v>
      </c>
      <c r="H408" s="2" t="s">
        <v>70</v>
      </c>
      <c r="I408" s="2" t="str">
        <f>IFERROR(__xludf.DUMMYFUNCTION("GOOGLETRANSLATE(C408,""fr"",""en"")"),"Very friendly team and attentive to others. I highly recommend as well as for more than reasonable prices, with ease of payment.")</f>
        <v>Very friendly team and attentive to others. I highly recommend as well as for more than reasonable prices, with ease of payment.</v>
      </c>
    </row>
    <row r="409" ht="15.75" customHeight="1">
      <c r="A409" s="2">
        <v>2.0</v>
      </c>
      <c r="B409" s="2" t="s">
        <v>1236</v>
      </c>
      <c r="C409" s="2" t="s">
        <v>1237</v>
      </c>
      <c r="D409" s="2" t="s">
        <v>155</v>
      </c>
      <c r="E409" s="2" t="s">
        <v>21</v>
      </c>
      <c r="F409" s="2" t="s">
        <v>15</v>
      </c>
      <c r="G409" s="2" t="s">
        <v>1238</v>
      </c>
      <c r="H409" s="2" t="s">
        <v>926</v>
      </c>
      <c r="I409" s="2" t="str">
        <f>IFERROR(__xludf.DUMMYFUNCTION("GOOGLETRANSLATE(C409,""fr"",""en"")"),"Insured since at least 2001 at Eurofil, I will be silent with friends this insurance ... In 2019 my wife has a hanging of which she is responsible and then eight months later a boar throws herself under my wheels one night. Impeccable customer service. Bu"&amp;"t in the process of termination for ""risk inadequacy with regard to acceptance policy"". With a 50% bonus and long worries, I wonder who has the right to be insured at home !!!!")</f>
        <v>Insured since at least 2001 at Eurofil, I will be silent with friends this insurance ... In 2019 my wife has a hanging of which she is responsible and then eight months later a boar throws herself under my wheels one night. Impeccable customer service. But in the process of termination for "risk inadequacy with regard to acceptance policy". With a 50% bonus and long worries, I wonder who has the right to be insured at home !!!!</v>
      </c>
    </row>
    <row r="410" ht="15.75" customHeight="1">
      <c r="A410" s="2">
        <v>1.0</v>
      </c>
      <c r="B410" s="2" t="s">
        <v>1239</v>
      </c>
      <c r="C410" s="2" t="s">
        <v>1240</v>
      </c>
      <c r="D410" s="2" t="s">
        <v>549</v>
      </c>
      <c r="E410" s="2" t="s">
        <v>550</v>
      </c>
      <c r="F410" s="2" t="s">
        <v>15</v>
      </c>
      <c r="G410" s="2" t="s">
        <v>1241</v>
      </c>
      <c r="H410" s="2" t="s">
        <v>290</v>
      </c>
      <c r="I410" s="2" t="str">
        <f>IFERROR(__xludf.DUMMYFUNCTION("GOOGLETRANSLATE(C410,""fr"",""en"")"),"The SMA as part of a damage to (ten -year) damage insurance collects money from building companies, but does not treat claims, does not move, does not answer the phone.")</f>
        <v>The SMA as part of a damage to (ten -year) damage insurance collects money from building companies, but does not treat claims, does not move, does not answer the phone.</v>
      </c>
    </row>
    <row r="411" ht="15.75" customHeight="1">
      <c r="A411" s="2">
        <v>1.0</v>
      </c>
      <c r="B411" s="2" t="s">
        <v>1242</v>
      </c>
      <c r="C411" s="2" t="s">
        <v>1243</v>
      </c>
      <c r="D411" s="2" t="s">
        <v>260</v>
      </c>
      <c r="E411" s="2" t="s">
        <v>450</v>
      </c>
      <c r="F411" s="2" t="s">
        <v>15</v>
      </c>
      <c r="G411" s="2" t="s">
        <v>1244</v>
      </c>
      <c r="H411" s="2" t="s">
        <v>195</v>
      </c>
      <c r="I411" s="2" t="str">
        <f>IFERROR(__xludf.DUMMYFUNCTION("GOOGLETRANSLATE(C411,""fr"",""en"")"),"I have been in disability cat 2 for 3 years. Impossible for me to rework.
Infarctus in 2011 with installation of 3 stends then apnea of ​​severe sleep with a risk of sleeping it behind the wheel.
In addition diabetic for 5 months.
Cardif sent me to the"&amp;"ir expert doctor.
Response from Cardif He deletes the reimbursement on the part for house credit.
I went to see my cardiologist, he finds it unacceptable.
I sent my complete file to my lawyer who will take legal action with request for damages and mora"&amp;"l damages.")</f>
        <v>I have been in disability cat 2 for 3 years. Impossible for me to rework.
Infarctus in 2011 with installation of 3 stends then apnea of ​​severe sleep with a risk of sleeping it behind the wheel.
In addition diabetic for 5 months.
Cardif sent me to their expert doctor.
Response from Cardif He deletes the reimbursement on the part for house credit.
I went to see my cardiologist, he finds it unacceptable.
I sent my complete file to my lawyer who will take legal action with request for damages and moral damages.</v>
      </c>
    </row>
    <row r="412" ht="15.75" customHeight="1">
      <c r="A412" s="2">
        <v>4.0</v>
      </c>
      <c r="B412" s="2" t="s">
        <v>1245</v>
      </c>
      <c r="C412" s="2" t="s">
        <v>1246</v>
      </c>
      <c r="D412" s="2" t="s">
        <v>20</v>
      </c>
      <c r="E412" s="2" t="s">
        <v>21</v>
      </c>
      <c r="F412" s="2" t="s">
        <v>15</v>
      </c>
      <c r="G412" s="2" t="s">
        <v>1247</v>
      </c>
      <c r="H412" s="2" t="s">
        <v>58</v>
      </c>
      <c r="I412" s="2" t="str">
        <f>IFERROR(__xludf.DUMMYFUNCTION("GOOGLETRANSLATE(C412,""fr"",""en"")"),"I am satisfied with the Direct Insurance Service.
I am disappointed with the prices for vehicles over 9hp.
But, I remain and recommend this insurance for the service and the quality / price ratio.")</f>
        <v>I am satisfied with the Direct Insurance Service.
I am disappointed with the prices for vehicles over 9hp.
But, I remain and recommend this insurance for the service and the quality / price ratio.</v>
      </c>
    </row>
    <row r="413" ht="15.75" customHeight="1">
      <c r="A413" s="2">
        <v>2.0</v>
      </c>
      <c r="B413" s="2" t="s">
        <v>1248</v>
      </c>
      <c r="C413" s="2" t="s">
        <v>1249</v>
      </c>
      <c r="D413" s="2" t="s">
        <v>20</v>
      </c>
      <c r="E413" s="2" t="s">
        <v>21</v>
      </c>
      <c r="F413" s="2" t="s">
        <v>15</v>
      </c>
      <c r="G413" s="2" t="s">
        <v>864</v>
      </c>
      <c r="H413" s="2" t="s">
        <v>139</v>
      </c>
      <c r="I413" s="2" t="str">
        <f>IFERROR(__xludf.DUMMYFUNCTION("GOOGLETRANSLATE(C413,""fr"",""en"")"),"By comparing with other insurances, I find direct insurance too expensive!
I plan to change very soon, the quotes are underway. shame")</f>
        <v>By comparing with other insurances, I find direct insurance too expensive!
I plan to change very soon, the quotes are underway. shame</v>
      </c>
    </row>
    <row r="414" ht="15.75" customHeight="1">
      <c r="A414" s="2">
        <v>1.0</v>
      </c>
      <c r="B414" s="2" t="s">
        <v>1250</v>
      </c>
      <c r="C414" s="2" t="s">
        <v>1251</v>
      </c>
      <c r="D414" s="2" t="s">
        <v>200</v>
      </c>
      <c r="E414" s="2" t="s">
        <v>21</v>
      </c>
      <c r="F414" s="2" t="s">
        <v>15</v>
      </c>
      <c r="G414" s="2" t="s">
        <v>576</v>
      </c>
      <c r="H414" s="2" t="s">
        <v>576</v>
      </c>
      <c r="I414" s="2" t="str">
        <f>IFERROR(__xludf.DUMMYFUNCTION("GOOGLETRANSLATE(C414,""fr"",""en"")"),"My car broke down on July 11, 2018 Impossible to reach them from July 11 to 22, 2018
I pay from my pocket the towing fresh 219
On July 22, I finally had them on the phone
They say to send an email with the invoice
 I lai does the same day, not new, 1 "&amp;"week later I call back
 I had them two days later
We before at least in Lattente on the phone
They are received email and the invoice is being processing
Until the day I write to you again
 I had them two days ago on the phone the gentleman told me
"&amp;"We contact you
I'm still waiting
 I at least like that before putting myself underground I will have my reimbursement
Because it became a latte of the end of my life
")</f>
        <v>My car broke down on July 11, 2018 Impossible to reach them from July 11 to 22, 2018
I pay from my pocket the towing fresh 219
On July 22, I finally had them on the phone
They say to send an email with the invoice
 I lai does the same day, not new, 1 week later I call back
 I had them two days later
We before at least in Lattente on the phone
They are received email and the invoice is being processing
Until the day I write to you again
 I had them two days ago on the phone the gentleman told me
We contact you
I'm still waiting
 I at least like that before putting myself underground I will have my reimbursement
Because it became a latte of the end of my life
</v>
      </c>
    </row>
    <row r="415" ht="15.75" customHeight="1">
      <c r="A415" s="2">
        <v>2.0</v>
      </c>
      <c r="B415" s="2" t="s">
        <v>1252</v>
      </c>
      <c r="C415" s="2" t="s">
        <v>1253</v>
      </c>
      <c r="D415" s="2" t="s">
        <v>277</v>
      </c>
      <c r="E415" s="2" t="s">
        <v>21</v>
      </c>
      <c r="F415" s="2" t="s">
        <v>15</v>
      </c>
      <c r="G415" s="2" t="s">
        <v>1254</v>
      </c>
      <c r="H415" s="2" t="s">
        <v>227</v>
      </c>
      <c r="I415" s="2" t="str">
        <f>IFERROR(__xludf.DUMMYFUNCTION("GOOGLETRANSLATE(C415,""fr"",""en"")"),"After 30 years of premium fired if we do not accept their dictac for 4 claims over 5 years, two of which are not attributable for the same high reasoning vehicle (more than 2000 Euro premium per year)")</f>
        <v>After 30 years of premium fired if we do not accept their dictac for 4 claims over 5 years, two of which are not attributable for the same high reasoning vehicle (more than 2000 Euro premium per year)</v>
      </c>
    </row>
    <row r="416" ht="15.75" customHeight="1">
      <c r="A416" s="2">
        <v>1.0</v>
      </c>
      <c r="B416" s="2" t="s">
        <v>1255</v>
      </c>
      <c r="C416" s="2" t="s">
        <v>1256</v>
      </c>
      <c r="D416" s="2" t="s">
        <v>891</v>
      </c>
      <c r="E416" s="2" t="s">
        <v>79</v>
      </c>
      <c r="F416" s="2" t="s">
        <v>15</v>
      </c>
      <c r="G416" s="2" t="s">
        <v>1026</v>
      </c>
      <c r="H416" s="2" t="s">
        <v>23</v>
      </c>
      <c r="I416" s="2" t="str">
        <f>IFERROR(__xludf.DUMMYFUNCTION("GOOGLETRANSLATE(C416,""fr"",""en"")"),"At the reception of my opinion of failure for the period 2021/2022 I noticed an increase of 15 percent of my insurance premium. percent of bonus I would like to know what justifies such an increase.
")</f>
        <v>At the reception of my opinion of failure for the period 2021/2022 I noticed an increase of 15 percent of my insurance premium. percent of bonus I would like to know what justifies such an increase.
</v>
      </c>
    </row>
    <row r="417" ht="15.75" customHeight="1">
      <c r="A417" s="2">
        <v>5.0</v>
      </c>
      <c r="B417" s="2" t="s">
        <v>1257</v>
      </c>
      <c r="C417" s="2" t="s">
        <v>1258</v>
      </c>
      <c r="D417" s="2" t="s">
        <v>142</v>
      </c>
      <c r="E417" s="2" t="s">
        <v>21</v>
      </c>
      <c r="F417" s="2" t="s">
        <v>15</v>
      </c>
      <c r="G417" s="2" t="s">
        <v>1259</v>
      </c>
      <c r="H417" s="2" t="s">
        <v>418</v>
      </c>
      <c r="I417" s="2" t="str">
        <f>IFERROR(__xludf.DUMMYFUNCTION("GOOGLETRANSLATE(C417,""fr"",""en"")"),"I have always been satisfied with my insurer, the Macif more, she contributed for her members by caregivers financially ... during the COVVID. In addition, we have self -employed delegates on whom we can rely ... frankly congratulations to them all ... gi"&amp;"ven the image we have insurers, they have nothing to envy to anyone. In addition we vote for the leaders who make up governance that give the strategic guidelines of the company. I have always read good road and all members who generally inform us of the "&amp;"mutual information ... that it lasts ...")</f>
        <v>I have always been satisfied with my insurer, the Macif more, she contributed for her members by caregivers financially ... during the COVVID. In addition, we have self -employed delegates on whom we can rely ... frankly congratulations to them all ... given the image we have insurers, they have nothing to envy to anyone. In addition we vote for the leaders who make up governance that give the strategic guidelines of the company. I have always read good road and all members who generally inform us of the mutual information ... that it lasts ...</v>
      </c>
    </row>
    <row r="418" ht="15.75" customHeight="1">
      <c r="A418" s="2">
        <v>4.0</v>
      </c>
      <c r="B418" s="2" t="s">
        <v>1260</v>
      </c>
      <c r="C418" s="2" t="s">
        <v>1261</v>
      </c>
      <c r="D418" s="2" t="s">
        <v>64</v>
      </c>
      <c r="E418" s="2" t="s">
        <v>21</v>
      </c>
      <c r="F418" s="2" t="s">
        <v>15</v>
      </c>
      <c r="G418" s="2" t="s">
        <v>341</v>
      </c>
      <c r="H418" s="2" t="s">
        <v>45</v>
      </c>
      <c r="I418" s="2" t="str">
        <f>IFERROR(__xludf.DUMMYFUNCTION("GOOGLETRANSLATE(C418,""fr"",""en"")"),"Good advisers. Reactive tresses. Simplicity for administrative procedures at the opening of the contract. Good discount on an annual payment, which is very significant.")</f>
        <v>Good advisers. Reactive tresses. Simplicity for administrative procedures at the opening of the contract. Good discount on an annual payment, which is very significant.</v>
      </c>
    </row>
    <row r="419" ht="15.75" customHeight="1">
      <c r="A419" s="2">
        <v>4.0</v>
      </c>
      <c r="B419" s="2" t="s">
        <v>1262</v>
      </c>
      <c r="C419" s="2" t="s">
        <v>1263</v>
      </c>
      <c r="D419" s="2" t="s">
        <v>68</v>
      </c>
      <c r="E419" s="2" t="s">
        <v>14</v>
      </c>
      <c r="F419" s="2" t="s">
        <v>15</v>
      </c>
      <c r="G419" s="2" t="s">
        <v>456</v>
      </c>
      <c r="H419" s="2" t="s">
        <v>23</v>
      </c>
      <c r="I419" s="2" t="str">
        <f>IFERROR(__xludf.DUMMYFUNCTION("GOOGLETRANSLATE(C419,""fr"",""en"")"),"After the death of my father, I contacted the customer service which was listening to my request. Kadija was effective and I received all the documents I needed direct by email.
")</f>
        <v>After the death of my father, I contacted the customer service which was listening to my request. Kadija was effective and I received all the documents I needed direct by email.
</v>
      </c>
    </row>
    <row r="420" ht="15.75" customHeight="1">
      <c r="A420" s="2">
        <v>1.0</v>
      </c>
      <c r="B420" s="2" t="s">
        <v>1264</v>
      </c>
      <c r="C420" s="2" t="s">
        <v>1265</v>
      </c>
      <c r="D420" s="2" t="s">
        <v>20</v>
      </c>
      <c r="E420" s="2" t="s">
        <v>21</v>
      </c>
      <c r="F420" s="2" t="s">
        <v>15</v>
      </c>
      <c r="G420" s="2" t="s">
        <v>1266</v>
      </c>
      <c r="H420" s="2" t="s">
        <v>1267</v>
      </c>
      <c r="I420" s="2" t="str">
        <f>IFERROR(__xludf.DUMMYFUNCTION("GOOGLETRANSLATE(C420,""fr"",""en"")"),"To flee. I am responsible for a claim in insurance and know my rights perfectly. Not responsible in an accident, this insurance refuses to provide me with a loan vehicle. I had to raise my tone and ask to speak to a manager so that Direct Insurance follow"&amp;"s up on my request. The manager gave me that for a commercial gesture. Let us be clear, this is not a commercial gesture but a legal obligation in the context of the full compensation for the victim's damage.")</f>
        <v>To flee. I am responsible for a claim in insurance and know my rights perfectly. Not responsible in an accident, this insurance refuses to provide me with a loan vehicle. I had to raise my tone and ask to speak to a manager so that Direct Insurance follows up on my request. The manager gave me that for a commercial gesture. Let us be clear, this is not a commercial gesture but a legal obligation in the context of the full compensation for the victim's damage.</v>
      </c>
    </row>
    <row r="421" ht="15.75" customHeight="1">
      <c r="A421" s="2">
        <v>4.0</v>
      </c>
      <c r="B421" s="2" t="s">
        <v>1268</v>
      </c>
      <c r="C421" s="2" t="s">
        <v>1269</v>
      </c>
      <c r="D421" s="2" t="s">
        <v>78</v>
      </c>
      <c r="E421" s="2" t="s">
        <v>79</v>
      </c>
      <c r="F421" s="2" t="s">
        <v>15</v>
      </c>
      <c r="G421" s="2" t="s">
        <v>421</v>
      </c>
      <c r="H421" s="2" t="s">
        <v>178</v>
      </c>
      <c r="I421" s="2" t="str">
        <f>IFERROR(__xludf.DUMMYFUNCTION("GOOGLETRANSLATE(C421,""fr"",""en"")"),"I am satisfied with the service which is fast and the prices are rather correct, however it remains a little more expensive than other online insurance.")</f>
        <v>I am satisfied with the service which is fast and the prices are rather correct, however it remains a little more expensive than other online insurance.</v>
      </c>
    </row>
    <row r="422" ht="15.75" customHeight="1">
      <c r="A422" s="2">
        <v>1.0</v>
      </c>
      <c r="B422" s="2" t="s">
        <v>1270</v>
      </c>
      <c r="C422" s="2" t="s">
        <v>1271</v>
      </c>
      <c r="D422" s="2" t="s">
        <v>13</v>
      </c>
      <c r="E422" s="2" t="s">
        <v>14</v>
      </c>
      <c r="F422" s="2" t="s">
        <v>15</v>
      </c>
      <c r="G422" s="2" t="s">
        <v>139</v>
      </c>
      <c r="H422" s="2" t="s">
        <v>139</v>
      </c>
      <c r="I422" s="2" t="str">
        <f>IFERROR(__xludf.DUMMYFUNCTION("GOOGLETRANSLATE(C422,""fr"",""en"")"),"Difficult or impossible to be reimbursed in particular dental services. I understood when I joined that the crowns were fully reimbursed;
This is not true when my lowest price practitioner.")</f>
        <v>Difficult or impossible to be reimbursed in particular dental services. I understood when I joined that the crowns were fully reimbursed;
This is not true when my lowest price practitioner.</v>
      </c>
    </row>
    <row r="423" ht="15.75" customHeight="1">
      <c r="A423" s="2">
        <v>5.0</v>
      </c>
      <c r="B423" s="2" t="s">
        <v>1272</v>
      </c>
      <c r="C423" s="2" t="s">
        <v>1273</v>
      </c>
      <c r="D423" s="2" t="s">
        <v>64</v>
      </c>
      <c r="E423" s="2" t="s">
        <v>21</v>
      </c>
      <c r="F423" s="2" t="s">
        <v>15</v>
      </c>
      <c r="G423" s="2" t="s">
        <v>1078</v>
      </c>
      <c r="H423" s="2" t="s">
        <v>139</v>
      </c>
      <c r="I423" s="2" t="str">
        <f>IFERROR(__xludf.DUMMYFUNCTION("GOOGLETRANSLATE(C423,""fr"",""en"")"),"I am satisfied with my requirements. The price is correct, the covers are almost correct. If the assistance service is good I do not see any faults in this insurance.")</f>
        <v>I am satisfied with my requirements. The price is correct, the covers are almost correct. If the assistance service is good I do not see any faults in this insurance.</v>
      </c>
    </row>
    <row r="424" ht="15.75" customHeight="1">
      <c r="A424" s="2">
        <v>3.0</v>
      </c>
      <c r="B424" s="2" t="s">
        <v>1274</v>
      </c>
      <c r="C424" s="2" t="s">
        <v>1275</v>
      </c>
      <c r="D424" s="2" t="s">
        <v>119</v>
      </c>
      <c r="E424" s="2" t="s">
        <v>207</v>
      </c>
      <c r="F424" s="2" t="s">
        <v>15</v>
      </c>
      <c r="G424" s="2" t="s">
        <v>1276</v>
      </c>
      <c r="H424" s="2" t="s">
        <v>671</v>
      </c>
      <c r="I424" s="2" t="str">
        <f>IFERROR(__xludf.DUMMYFUNCTION("GOOGLETRANSLATE(C424,""fr"",""en"")"),"In fact, what does owner home insurance include? Expert 3 Different never the same opinion they never come with the file of the former expert for the follow -up. Who must contact")</f>
        <v>In fact, what does owner home insurance include? Expert 3 Different never the same opinion they never come with the file of the former expert for the follow -up. Who must contact</v>
      </c>
    </row>
    <row r="425" ht="15.75" customHeight="1">
      <c r="A425" s="2">
        <v>1.0</v>
      </c>
      <c r="B425" s="2" t="s">
        <v>1277</v>
      </c>
      <c r="C425" s="2" t="s">
        <v>1278</v>
      </c>
      <c r="D425" s="2" t="s">
        <v>256</v>
      </c>
      <c r="E425" s="2" t="s">
        <v>207</v>
      </c>
      <c r="F425" s="2" t="s">
        <v>15</v>
      </c>
      <c r="G425" s="2" t="s">
        <v>1279</v>
      </c>
      <c r="H425" s="2" t="s">
        <v>42</v>
      </c>
      <c r="I425" s="2" t="str">
        <f>IFERROR(__xludf.DUMMYFUNCTION("GOOGLETRANSLATE(C425,""fr"",""en"")"),"Cahors, it's been 10 years since you take 2 times my mother aged 83 years old let we can't get one of the 2 contracts.")</f>
        <v>Cahors, it's been 10 years since you take 2 times my mother aged 83 years old let we can't get one of the 2 contracts.</v>
      </c>
    </row>
    <row r="426" ht="15.75" customHeight="1">
      <c r="A426" s="2">
        <v>1.0</v>
      </c>
      <c r="B426" s="2" t="s">
        <v>1280</v>
      </c>
      <c r="C426" s="2" t="s">
        <v>1281</v>
      </c>
      <c r="D426" s="2" t="s">
        <v>256</v>
      </c>
      <c r="E426" s="2" t="s">
        <v>21</v>
      </c>
      <c r="F426" s="2" t="s">
        <v>15</v>
      </c>
      <c r="G426" s="2" t="s">
        <v>1282</v>
      </c>
      <c r="H426" s="2" t="s">
        <v>32</v>
      </c>
      <c r="I426" s="2" t="str">
        <f>IFERROR(__xludf.DUMMYFUNCTION("GOOGLETRANSLATE(C426,""fr"",""en"")"),"Very bad experience following a disaster or I am absolutely not wrong
Pacifica does not want to pay me the value of my car estimated at 1500th")</f>
        <v>Very bad experience following a disaster or I am absolutely not wrong
Pacifica does not want to pay me the value of my car estimated at 1500th</v>
      </c>
    </row>
    <row r="427" ht="15.75" customHeight="1">
      <c r="A427" s="2">
        <v>4.0</v>
      </c>
      <c r="B427" s="2" t="s">
        <v>1283</v>
      </c>
      <c r="C427" s="2" t="s">
        <v>1284</v>
      </c>
      <c r="D427" s="2" t="s">
        <v>64</v>
      </c>
      <c r="E427" s="2" t="s">
        <v>21</v>
      </c>
      <c r="F427" s="2" t="s">
        <v>15</v>
      </c>
      <c r="G427" s="2" t="s">
        <v>1285</v>
      </c>
      <c r="H427" s="2" t="s">
        <v>70</v>
      </c>
      <c r="I427" s="2" t="str">
        <f>IFERROR(__xludf.DUMMYFUNCTION("GOOGLETRANSLATE(C427,""fr"",""en"")"),"This is the first time that I have done online car insurance, and frankly it is simplicity! Fast, it is clear and clear, moreover I recommend the olive tree.")</f>
        <v>This is the first time that I have done online car insurance, and frankly it is simplicity! Fast, it is clear and clear, moreover I recommend the olive tree.</v>
      </c>
    </row>
    <row r="428" ht="15.75" customHeight="1">
      <c r="A428" s="2">
        <v>1.0</v>
      </c>
      <c r="B428" s="2" t="s">
        <v>1286</v>
      </c>
      <c r="C428" s="2" t="s">
        <v>1287</v>
      </c>
      <c r="D428" s="2" t="s">
        <v>159</v>
      </c>
      <c r="E428" s="2" t="s">
        <v>74</v>
      </c>
      <c r="F428" s="2" t="s">
        <v>15</v>
      </c>
      <c r="G428" s="2" t="s">
        <v>1235</v>
      </c>
      <c r="H428" s="2" t="s">
        <v>70</v>
      </c>
      <c r="I428" s="2" t="str">
        <f>IFERROR(__xludf.DUMMYFUNCTION("GOOGLETRANSLATE(C428,""fr"",""en"")"),"In disability since December 2020, I have still perceived anything to date! Obviously, I am asked for documents in drop, my file is supposedly complete since the beginning of April, but ultimately I am still asked for documents, after 6 months ... it's sc"&amp;"andalous! Completely abusive! I get closer to consumer associations. Organization to flee !!")</f>
        <v>In disability since December 2020, I have still perceived anything to date! Obviously, I am asked for documents in drop, my file is supposedly complete since the beginning of April, but ultimately I am still asked for documents, after 6 months ... it's scandalous! Completely abusive! I get closer to consumer associations. Organization to flee !!</v>
      </c>
    </row>
    <row r="429" ht="15.75" customHeight="1">
      <c r="A429" s="2">
        <v>5.0</v>
      </c>
      <c r="B429" s="2" t="s">
        <v>1288</v>
      </c>
      <c r="C429" s="2" t="s">
        <v>1289</v>
      </c>
      <c r="D429" s="2" t="s">
        <v>20</v>
      </c>
      <c r="E429" s="2" t="s">
        <v>21</v>
      </c>
      <c r="F429" s="2" t="s">
        <v>15</v>
      </c>
      <c r="G429" s="2" t="s">
        <v>1290</v>
      </c>
      <c r="H429" s="2" t="s">
        <v>58</v>
      </c>
      <c r="I429" s="2" t="str">
        <f>IFERROR(__xludf.DUMMYFUNCTION("GOOGLETRANSLATE(C429,""fr"",""en"")"),"I am satisfied with your correct price contract well explains fast and explain well I am satisfied with your site and the recomande to my entourage")</f>
        <v>I am satisfied with your correct price contract well explains fast and explain well I am satisfied with your site and the recomande to my entourage</v>
      </c>
    </row>
    <row r="430" ht="15.75" customHeight="1">
      <c r="A430" s="2">
        <v>3.0</v>
      </c>
      <c r="B430" s="2" t="s">
        <v>1291</v>
      </c>
      <c r="C430" s="2" t="s">
        <v>1292</v>
      </c>
      <c r="D430" s="2" t="s">
        <v>95</v>
      </c>
      <c r="E430" s="2" t="s">
        <v>207</v>
      </c>
      <c r="F430" s="2" t="s">
        <v>15</v>
      </c>
      <c r="G430" s="2" t="s">
        <v>1293</v>
      </c>
      <c r="H430" s="2" t="s">
        <v>428</v>
      </c>
      <c r="I430" s="2" t="str">
        <f>IFERROR(__xludf.DUMMYFUNCTION("GOOGLETRANSLATE(C430,""fr"",""en"")"),"Their inspectors (Employees Matmut) intentionally make false declarations in order to not reimburse the damage and oblige you against expertise.")</f>
        <v>Their inspectors (Employees Matmut) intentionally make false declarations in order to not reimburse the damage and oblige you against expertise.</v>
      </c>
    </row>
    <row r="431" ht="15.75" customHeight="1">
      <c r="A431" s="2">
        <v>5.0</v>
      </c>
      <c r="B431" s="2" t="s">
        <v>1294</v>
      </c>
      <c r="C431" s="2" t="s">
        <v>1295</v>
      </c>
      <c r="D431" s="2" t="s">
        <v>64</v>
      </c>
      <c r="E431" s="2" t="s">
        <v>21</v>
      </c>
      <c r="F431" s="2" t="s">
        <v>15</v>
      </c>
      <c r="G431" s="2" t="s">
        <v>1296</v>
      </c>
      <c r="H431" s="2" t="s">
        <v>1297</v>
      </c>
      <c r="I431" s="2" t="str">
        <f>IFERROR(__xludf.DUMMYFUNCTION("GOOGLETRANSLATE(C431,""fr"",""en"")"),"I hope that the Olivier will start to do home insurance, because for car insurance I have nothing to complain about")</f>
        <v>I hope that the Olivier will start to do home insurance, because for car insurance I have nothing to complain about</v>
      </c>
    </row>
    <row r="432" ht="15.75" customHeight="1">
      <c r="A432" s="2">
        <v>5.0</v>
      </c>
      <c r="B432" s="2" t="s">
        <v>1298</v>
      </c>
      <c r="C432" s="2" t="s">
        <v>1299</v>
      </c>
      <c r="D432" s="2" t="s">
        <v>64</v>
      </c>
      <c r="E432" s="2" t="s">
        <v>21</v>
      </c>
      <c r="F432" s="2" t="s">
        <v>15</v>
      </c>
      <c r="G432" s="2" t="s">
        <v>751</v>
      </c>
      <c r="H432" s="2" t="s">
        <v>89</v>
      </c>
      <c r="I432" s="2" t="str">
        <f>IFERROR(__xludf.DUMMYFUNCTION("GOOGLETRANSLATE(C432,""fr"",""en"")"),"Simple efficient practice
PERFECT PRICE COVERY REPORT
Clarity of documents to sign
Procedure facilitated by automatic signature
No complaints")</f>
        <v>Simple efficient practice
PERFECT PRICE COVERY REPORT
Clarity of documents to sign
Procedure facilitated by automatic signature
No complaints</v>
      </c>
    </row>
    <row r="433" ht="15.75" customHeight="1">
      <c r="A433" s="2">
        <v>2.0</v>
      </c>
      <c r="B433" s="2" t="s">
        <v>1300</v>
      </c>
      <c r="C433" s="2" t="s">
        <v>1301</v>
      </c>
      <c r="D433" s="2" t="s">
        <v>563</v>
      </c>
      <c r="E433" s="2" t="s">
        <v>207</v>
      </c>
      <c r="F433" s="2" t="s">
        <v>15</v>
      </c>
      <c r="G433" s="2" t="s">
        <v>1302</v>
      </c>
      <c r="H433" s="2" t="s">
        <v>832</v>
      </c>
      <c r="I433" s="2" t="str">
        <f>IFERROR(__xludf.DUMMYFUNCTION("GOOGLETRANSLATE(C433,""fr"",""en"")"),"I have just seen on your site a soggessur client who had the same mishap as we following the bad weather of May 2016 in Essonne. The repairs of our roof. I specify that before this event we had no water infiltration.
Here is the last response of the insu"&amp;"rer:
This disaster is not a natural disaster, even if a decree had been recorded in the Official Journal, damage to the roof cannot mobilize this origin. Only a substantial climate event (important wind force, similar damage to the surroundings) could ha"&amp;"ve made it possible to mobilize this guarantee, which is not the case.
As it stands, this is clearly a need for maintenance on your roof, which has generated water infiltrations damaging the embellishments of your home under the ""Water damage"" warranty"&amp;".
")</f>
        <v>I have just seen on your site a soggessur client who had the same mishap as we following the bad weather of May 2016 in Essonne. The repairs of our roof. I specify that before this event we had no water infiltration.
Here is the last response of the insurer:
This disaster is not a natural disaster, even if a decree had been recorded in the Official Journal, damage to the roof cannot mobilize this origin. Only a substantial climate event (important wind force, similar damage to the surroundings) could have made it possible to mobilize this guarantee, which is not the case.
As it stands, this is clearly a need for maintenance on your roof, which has generated water infiltrations damaging the embellishments of your home under the "Water damage" warranty.
</v>
      </c>
    </row>
    <row r="434" ht="15.75" customHeight="1">
      <c r="A434" s="2">
        <v>1.0</v>
      </c>
      <c r="B434" s="2" t="s">
        <v>1303</v>
      </c>
      <c r="C434" s="2" t="s">
        <v>1304</v>
      </c>
      <c r="D434" s="2" t="s">
        <v>371</v>
      </c>
      <c r="E434" s="2" t="s">
        <v>74</v>
      </c>
      <c r="F434" s="2" t="s">
        <v>15</v>
      </c>
      <c r="G434" s="2" t="s">
        <v>1305</v>
      </c>
      <c r="H434" s="2" t="s">
        <v>990</v>
      </c>
      <c r="I434" s="2" t="str">
        <f>IFERROR(__xludf.DUMMYFUNCTION("GOOGLETRANSLATE(C434,""fr"",""en"")"),"Work stoppage of December 6, 2019 still no additional salary to date even after a balance of any account for dismissal on February 18, 2020 No way to contact who is no one responds to the employer refers to AG2R and them Insurance employer to recommend ev"&amp;"en in personal insurance")</f>
        <v>Work stoppage of December 6, 2019 still no additional salary to date even after a balance of any account for dismissal on February 18, 2020 No way to contact who is no one responds to the employer refers to AG2R and them Insurance employer to recommend even in personal insurance</v>
      </c>
    </row>
    <row r="435" ht="15.75" customHeight="1">
      <c r="A435" s="2">
        <v>1.0</v>
      </c>
      <c r="B435" s="2" t="s">
        <v>1306</v>
      </c>
      <c r="C435" s="2" t="s">
        <v>1307</v>
      </c>
      <c r="D435" s="2" t="s">
        <v>715</v>
      </c>
      <c r="E435" s="2" t="s">
        <v>14</v>
      </c>
      <c r="F435" s="2" t="s">
        <v>15</v>
      </c>
      <c r="G435" s="2" t="s">
        <v>1308</v>
      </c>
      <c r="H435" s="2" t="s">
        <v>283</v>
      </c>
      <c r="I435" s="2" t="str">
        <f>IFERROR(__xludf.DUMMYFUNCTION("GOOGLETRANSLATE(C435,""fr"",""en"")"),"No agency no answers by tel you can spend 30 minutes to such without having an additional answer is paid in short, almost impossible to contact them, they put my file in radiation without informing me and in full processing at the dentist")</f>
        <v>No agency no answers by tel you can spend 30 minutes to such without having an additional answer is paid in short, almost impossible to contact them, they put my file in radiation without informing me and in full processing at the dentist</v>
      </c>
    </row>
    <row r="436" ht="15.75" customHeight="1">
      <c r="A436" s="2">
        <v>4.0</v>
      </c>
      <c r="B436" s="2" t="s">
        <v>1309</v>
      </c>
      <c r="C436" s="2" t="s">
        <v>1310</v>
      </c>
      <c r="D436" s="2" t="s">
        <v>64</v>
      </c>
      <c r="E436" s="2" t="s">
        <v>21</v>
      </c>
      <c r="F436" s="2" t="s">
        <v>15</v>
      </c>
      <c r="G436" s="2" t="s">
        <v>1064</v>
      </c>
      <c r="H436" s="2" t="s">
        <v>139</v>
      </c>
      <c r="I436" s="2" t="str">
        <f>IFERROR(__xludf.DUMMYFUNCTION("GOOGLETRANSLATE(C436,""fr"",""en"")"),"High franchise for the ""all risks"", hoping that the subscription will be re-evaluated after sending the statement Information Professional insurance;
Very long file validation time on the phone, but very pleasant all the same.")</f>
        <v>High franchise for the "all risks", hoping that the subscription will be re-evaluated after sending the statement Information Professional insurance;
Very long file validation time on the phone, but very pleasant all the same.</v>
      </c>
    </row>
    <row r="437" ht="15.75" customHeight="1">
      <c r="A437" s="2">
        <v>2.0</v>
      </c>
      <c r="B437" s="2" t="s">
        <v>1311</v>
      </c>
      <c r="C437" s="2" t="s">
        <v>1312</v>
      </c>
      <c r="D437" s="2" t="s">
        <v>20</v>
      </c>
      <c r="E437" s="2" t="s">
        <v>21</v>
      </c>
      <c r="F437" s="2" t="s">
        <v>15</v>
      </c>
      <c r="G437" s="2" t="s">
        <v>1313</v>
      </c>
      <c r="H437" s="2" t="s">
        <v>178</v>
      </c>
      <c r="I437" s="2" t="str">
        <f>IFERROR(__xludf.DUMMYFUNCTION("GOOGLETRANSLATE(C437,""fr"",""en"")"),"Certainly cheap…. On the other hand, you should not expect anything more in terms of service. I provide 2 vehicles with them. The second vehicle is late on delivery. The garage offers me a loan from another vehicle in the meantime, Direct Insurance refuse"&amp;"s to insure it !!! (Reason they do not provide loan vehicles ...) It starts well !! Basically there is only to tighten the buttocks so that nothing happens ... not even a break of ice otherwise it is malus after I could tell me to go see elsewhere but as "&amp;"the insurers are all the same as much the cheapest.")</f>
        <v>Certainly cheap…. On the other hand, you should not expect anything more in terms of service. I provide 2 vehicles with them. The second vehicle is late on delivery. The garage offers me a loan from another vehicle in the meantime, Direct Insurance refuses to insure it !!! (Reason they do not provide loan vehicles ...) It starts well !! Basically there is only to tighten the buttocks so that nothing happens ... not even a break of ice otherwise it is malus after I could tell me to go see elsewhere but as the insurers are all the same as much the cheapest.</v>
      </c>
    </row>
    <row r="438" ht="15.75" customHeight="1">
      <c r="A438" s="2">
        <v>3.0</v>
      </c>
      <c r="B438" s="2" t="s">
        <v>1314</v>
      </c>
      <c r="C438" s="2" t="s">
        <v>1315</v>
      </c>
      <c r="D438" s="2" t="s">
        <v>269</v>
      </c>
      <c r="E438" s="2" t="s">
        <v>207</v>
      </c>
      <c r="F438" s="2" t="s">
        <v>15</v>
      </c>
      <c r="G438" s="2" t="s">
        <v>1316</v>
      </c>
      <c r="H438" s="2" t="s">
        <v>116</v>
      </c>
      <c r="I438" s="2" t="str">
        <f>IFERROR(__xludf.DUMMYFUNCTION("GOOGLETRANSLATE(C438,""fr"",""en"")"),"High insurance price and really poor service quality .. to avoid")</f>
        <v>High insurance price and really poor service quality .. to avoid</v>
      </c>
    </row>
    <row r="439" ht="15.75" customHeight="1">
      <c r="A439" s="2">
        <v>4.0</v>
      </c>
      <c r="B439" s="2" t="s">
        <v>1317</v>
      </c>
      <c r="C439" s="2" t="s">
        <v>1318</v>
      </c>
      <c r="D439" s="2" t="s">
        <v>64</v>
      </c>
      <c r="E439" s="2" t="s">
        <v>21</v>
      </c>
      <c r="F439" s="2" t="s">
        <v>15</v>
      </c>
      <c r="G439" s="2" t="s">
        <v>149</v>
      </c>
      <c r="H439" s="2" t="s">
        <v>139</v>
      </c>
      <c r="I439" s="2" t="str">
        <f>IFERROR(__xludf.DUMMYFUNCTION("GOOGLETRANSLATE(C439,""fr"",""en"")"),"Satisfied with the price, services, guarantees, franchises and fast, efficient and friendly online service.
Thank you for worrying about customers")</f>
        <v>Satisfied with the price, services, guarantees, franchises and fast, efficient and friendly online service.
Thank you for worrying about customers</v>
      </c>
    </row>
    <row r="440" ht="15.75" customHeight="1">
      <c r="A440" s="2">
        <v>1.0</v>
      </c>
      <c r="B440" s="2" t="s">
        <v>1319</v>
      </c>
      <c r="C440" s="2" t="s">
        <v>1320</v>
      </c>
      <c r="D440" s="2" t="s">
        <v>20</v>
      </c>
      <c r="E440" s="2" t="s">
        <v>21</v>
      </c>
      <c r="F440" s="2" t="s">
        <v>15</v>
      </c>
      <c r="G440" s="2" t="s">
        <v>442</v>
      </c>
      <c r="H440" s="2" t="s">
        <v>23</v>
      </c>
      <c r="I440" s="2" t="str">
        <f>IFERROR(__xludf.DUMMYFUNCTION("GOOGLETRANSLATE(C440,""fr"",""en"")"),"I returned the registration of my car for the quote, once the contract is establishing the double price? supposedly by what the mine type of my car is different? I nevertheless grasped his immmatted for the quote and it was you who attributed the type min"&amp;"e!?")</f>
        <v>I returned the registration of my car for the quote, once the contract is establishing the double price? supposedly by what the mine type of my car is different? I nevertheless grasped his immmatted for the quote and it was you who attributed the type mine!?</v>
      </c>
    </row>
    <row r="441" ht="15.75" customHeight="1">
      <c r="A441" s="2">
        <v>3.0</v>
      </c>
      <c r="B441" s="2" t="s">
        <v>1321</v>
      </c>
      <c r="C441" s="2" t="s">
        <v>1322</v>
      </c>
      <c r="D441" s="2" t="s">
        <v>20</v>
      </c>
      <c r="E441" s="2" t="s">
        <v>21</v>
      </c>
      <c r="F441" s="2" t="s">
        <v>15</v>
      </c>
      <c r="G441" s="2" t="s">
        <v>1323</v>
      </c>
      <c r="H441" s="2" t="s">
        <v>178</v>
      </c>
      <c r="I441" s="2" t="str">
        <f>IFERROR(__xludf.DUMMYFUNCTION("GOOGLETRANSLATE(C441,""fr"",""en"")"),"several subscriptions, and always well
I come back to it after study of competition and I hope to be always satisfied with my contract
To be continued!")</f>
        <v>several subscriptions, and always well
I come back to it after study of competition and I hope to be always satisfied with my contract
To be continued!</v>
      </c>
    </row>
    <row r="442" ht="15.75" customHeight="1">
      <c r="A442" s="2">
        <v>1.0</v>
      </c>
      <c r="B442" s="2" t="s">
        <v>1324</v>
      </c>
      <c r="C442" s="2" t="s">
        <v>1325</v>
      </c>
      <c r="D442" s="2" t="s">
        <v>35</v>
      </c>
      <c r="E442" s="2" t="s">
        <v>21</v>
      </c>
      <c r="F442" s="2" t="s">
        <v>15</v>
      </c>
      <c r="G442" s="2" t="s">
        <v>1326</v>
      </c>
      <c r="H442" s="2" t="s">
        <v>178</v>
      </c>
      <c r="I442" s="2" t="str">
        <f>IFERROR(__xludf.DUMMYFUNCTION("GOOGLETRANSLATE(C442,""fr"",""en"")"),"Change of insurance to GMF 3 years ago the worst customer relationships and the worst treatment of customers as well. Unnecessary telephone platform unnecessary counters, no one can manage an entire file. What good?")</f>
        <v>Change of insurance to GMF 3 years ago the worst customer relationships and the worst treatment of customers as well. Unnecessary telephone platform unnecessary counters, no one can manage an entire file. What good?</v>
      </c>
    </row>
    <row r="443" ht="15.75" customHeight="1">
      <c r="A443" s="2">
        <v>3.0</v>
      </c>
      <c r="B443" s="2" t="s">
        <v>1327</v>
      </c>
      <c r="C443" s="2" t="s">
        <v>1328</v>
      </c>
      <c r="D443" s="2" t="s">
        <v>206</v>
      </c>
      <c r="E443" s="2" t="s">
        <v>207</v>
      </c>
      <c r="F443" s="2" t="s">
        <v>15</v>
      </c>
      <c r="G443" s="2" t="s">
        <v>1329</v>
      </c>
      <c r="H443" s="2" t="s">
        <v>742</v>
      </c>
      <c r="I443" s="2" t="str">
        <f>IFERROR(__xludf.DUMMYFUNCTION("GOOGLETRANSLATE(C443,""fr"",""en"")"),"Member for many years, I had a water damage that was not my fact, taken care of the Maif, derisory and very long, I therefore sent a letter in RAR, receipt on November 14, In order to terminate all my contracts (Hamon law) plus mails of complaint no respo"&amp;"nse, but they had the cheek to send me the deadline for 2017, despite my reminders, I think they must be in great Difficulties given the dissatisfaction of the members, and therefore does not respond to the complaint, while I am in my right!")</f>
        <v>Member for many years, I had a water damage that was not my fact, taken care of the Maif, derisory and very long, I therefore sent a letter in RAR, receipt on November 14, In order to terminate all my contracts (Hamon law) plus mails of complaint no response, but they had the cheek to send me the deadline for 2017, despite my reminders, I think they must be in great Difficulties given the dissatisfaction of the members, and therefore does not respond to the complaint, while I am in my right!</v>
      </c>
    </row>
    <row r="444" ht="15.75" customHeight="1">
      <c r="A444" s="2">
        <v>2.0</v>
      </c>
      <c r="B444" s="2" t="s">
        <v>1330</v>
      </c>
      <c r="C444" s="2" t="s">
        <v>1331</v>
      </c>
      <c r="D444" s="2" t="s">
        <v>256</v>
      </c>
      <c r="E444" s="2" t="s">
        <v>207</v>
      </c>
      <c r="F444" s="2" t="s">
        <v>15</v>
      </c>
      <c r="G444" s="2" t="s">
        <v>1332</v>
      </c>
      <c r="H444" s="2" t="s">
        <v>671</v>
      </c>
      <c r="I444" s="2" t="str">
        <f>IFERROR(__xludf.DUMMYFUNCTION("GOOGLETRANSLATE(C444,""fr"",""en"")"),"My Pacifica application tells me that I don't have a contract on my SCI account, while I have 2 insurance contracts and 9 on their own name thank you for answering me cdt gc")</f>
        <v>My Pacifica application tells me that I don't have a contract on my SCI account, while I have 2 insurance contracts and 9 on their own name thank you for answering me cdt gc</v>
      </c>
    </row>
    <row r="445" ht="15.75" customHeight="1">
      <c r="A445" s="2">
        <v>1.0</v>
      </c>
      <c r="B445" s="2" t="s">
        <v>1333</v>
      </c>
      <c r="C445" s="2" t="s">
        <v>1334</v>
      </c>
      <c r="D445" s="2" t="s">
        <v>95</v>
      </c>
      <c r="E445" s="2" t="s">
        <v>21</v>
      </c>
      <c r="F445" s="2" t="s">
        <v>15</v>
      </c>
      <c r="G445" s="2" t="s">
        <v>135</v>
      </c>
      <c r="H445" s="2" t="s">
        <v>17</v>
      </c>
      <c r="I445" s="2" t="str">
        <f>IFERROR(__xludf.DUMMYFUNCTION("GOOGLETRANSLATE(C445,""fr"",""en"")"),"Refusal to ensure a second vehicle and termination of our 1st contract with the reason:
3 breezes changed between 2018 and 2021 (not 2 in the same year)
2 non -responsible accidents (therefore reimbursed by opposing insurance)
1 responsible accident (1"&amp;" scratch on another vehicle at a cost of a hundred euros)
Record 100 €/month for several years (almost 10 years) they know how to do it.
By cons if you cost them barely 1/10th of what you have paid them, they no longer assure you.
Being fired by in"&amp;"surance when we are not responsible for the damage made on our vehicle is incomprehensible!
This company makes fun of its customers and is only concerned with its profits.")</f>
        <v>Refusal to ensure a second vehicle and termination of our 1st contract with the reason:
3 breezes changed between 2018 and 2021 (not 2 in the same year)
2 non -responsible accidents (therefore reimbursed by opposing insurance)
1 responsible accident (1 scratch on another vehicle at a cost of a hundred euros)
Record 100 €/month for several years (almost 10 years) they know how to do it.
By cons if you cost them barely 1/10th of what you have paid them, they no longer assure you.
Being fired by insurance when we are not responsible for the damage made on our vehicle is incomprehensible!
This company makes fun of its customers and is only concerned with its profits.</v>
      </c>
    </row>
    <row r="446" ht="15.75" customHeight="1">
      <c r="A446" s="2">
        <v>1.0</v>
      </c>
      <c r="B446" s="2" t="s">
        <v>1335</v>
      </c>
      <c r="C446" s="2" t="s">
        <v>1336</v>
      </c>
      <c r="D446" s="2" t="s">
        <v>119</v>
      </c>
      <c r="E446" s="2" t="s">
        <v>21</v>
      </c>
      <c r="F446" s="2" t="s">
        <v>15</v>
      </c>
      <c r="G446" s="2" t="s">
        <v>1326</v>
      </c>
      <c r="H446" s="2" t="s">
        <v>178</v>
      </c>
      <c r="I446" s="2" t="str">
        <f>IFERROR(__xludf.DUMMYFUNCTION("GOOGLETRANSLATE(C446,""fr"",""en"")"),"In September 2018, I am on a motorcycle, stopping normally at an orange and red fire. I get struck from the back by a motorist who has not seen the fire go to the orange and projects me 20 meters further at the heart of the crossroads ...
Assessment:
"&amp;"
Lesions which still today cause disabling back and migraines. With a life treatment of anti-inflammatory drugs on the injured joints.
Quasi new motorcycle destroyed
Laptop Destroying work tool, (I am a biology researcher, so the PC is not a trivial la"&amp;"ptop!)
Helmet, leather, gloves, destroyed shoes ...
Compensation: € 10,800 in February 2019, more than 4 months after the accident
Motorcycle: bought almost new € 14,000 in March 2018.
Laptop PC: purchased € 3500 a year earlier
Leather, helmet, glo"&amp;"ves and shoes: nothing, when that's what protected it and limited the damage!
Body: Nothing… it has been dragging for 30 months!
I have to call on a lawyer for things to move forward.
As a reminder, I am a victim who is not responsible !!!!
Other "&amp;"cases have been reported for me for which the AXA strategy is to have dragged and repay as little as possible.
You will understand that I have no desire to engage anything with this company and that I actively take care of praising the skills ... in no"&amp;"n-munization.")</f>
        <v>In September 2018, I am on a motorcycle, stopping normally at an orange and red fire. I get struck from the back by a motorist who has not seen the fire go to the orange and projects me 20 meters further at the heart of the crossroads ...
Assessment:
Lesions which still today cause disabling back and migraines. With a life treatment of anti-inflammatory drugs on the injured joints.
Quasi new motorcycle destroyed
Laptop Destroying work tool, (I am a biology researcher, so the PC is not a trivial laptop!)
Helmet, leather, gloves, destroyed shoes ...
Compensation: € 10,800 in February 2019, more than 4 months after the accident
Motorcycle: bought almost new € 14,000 in March 2018.
Laptop PC: purchased € 3500 a year earlier
Leather, helmet, gloves and shoes: nothing, when that's what protected it and limited the damage!
Body: Nothing… it has been dragging for 30 months!
I have to call on a lawyer for things to move forward.
As a reminder, I am a victim who is not responsible !!!!
Other cases have been reported for me for which the AXA strategy is to have dragged and repay as little as possible.
You will understand that I have no desire to engage anything with this company and that I actively take care of praising the skills ... in non-munization.</v>
      </c>
    </row>
    <row r="447" ht="15.75" customHeight="1">
      <c r="A447" s="2">
        <v>4.0</v>
      </c>
      <c r="B447" s="2" t="s">
        <v>1337</v>
      </c>
      <c r="C447" s="2" t="s">
        <v>1338</v>
      </c>
      <c r="D447" s="2" t="s">
        <v>68</v>
      </c>
      <c r="E447" s="2" t="s">
        <v>14</v>
      </c>
      <c r="F447" s="2" t="s">
        <v>15</v>
      </c>
      <c r="G447" s="2" t="s">
        <v>658</v>
      </c>
      <c r="H447" s="2" t="s">
        <v>274</v>
      </c>
      <c r="I447" s="2" t="str">
        <f>IFERROR(__xludf.DUMMYFUNCTION("GOOGLETRANSLATE(C447,""fr"",""en"")"),"I have been at Neoliane since 2016 and am very satisfied with the services offered. Quick refund. I wanted to make the points with them to see if my situation was always good I received a answer right away")</f>
        <v>I have been at Neoliane since 2016 and am very satisfied with the services offered. Quick refund. I wanted to make the points with them to see if my situation was always good I received a answer right away</v>
      </c>
    </row>
    <row r="448" ht="15.75" customHeight="1">
      <c r="A448" s="2">
        <v>5.0</v>
      </c>
      <c r="B448" s="2" t="s">
        <v>1339</v>
      </c>
      <c r="C448" s="2" t="s">
        <v>1340</v>
      </c>
      <c r="D448" s="2" t="s">
        <v>64</v>
      </c>
      <c r="E448" s="2" t="s">
        <v>21</v>
      </c>
      <c r="F448" s="2" t="s">
        <v>15</v>
      </c>
      <c r="G448" s="2" t="s">
        <v>1061</v>
      </c>
      <c r="H448" s="2" t="s">
        <v>182</v>
      </c>
      <c r="I448" s="2" t="str">
        <f>IFERROR(__xludf.DUMMYFUNCTION("GOOGLETRANSLATE(C448,""fr"",""en"")"),"The best prices that are offered to me.
Very good service even after the total loss of a vehicle.
Only that I also observed in other insurers; They go up prices every year. So they must be remembered.
But unlike other insurances which have the same p"&amp;"ractice the olive tree takes into account and corrects the draw and finds a very very competitive price.")</f>
        <v>The best prices that are offered to me.
Very good service even after the total loss of a vehicle.
Only that I also observed in other insurers; They go up prices every year. So they must be remembered.
But unlike other insurances which have the same practice the olive tree takes into account and corrects the draw and finds a very very competitive price.</v>
      </c>
    </row>
    <row r="449" ht="15.75" customHeight="1">
      <c r="A449" s="2">
        <v>1.0</v>
      </c>
      <c r="B449" s="2" t="s">
        <v>1341</v>
      </c>
      <c r="C449" s="2" t="s">
        <v>1342</v>
      </c>
      <c r="D449" s="2" t="s">
        <v>277</v>
      </c>
      <c r="E449" s="2" t="s">
        <v>207</v>
      </c>
      <c r="F449" s="2" t="s">
        <v>15</v>
      </c>
      <c r="G449" s="2" t="s">
        <v>1343</v>
      </c>
      <c r="H449" s="2" t="s">
        <v>317</v>
      </c>
      <c r="I449" s="2" t="str">
        <f>IFERROR(__xludf.DUMMYFUNCTION("GOOGLETRANSLATE(C449,""fr"",""en"")"),"
Very strongly disappointed with the MAAF, home insurance contract for tenant, unpaid rent option.
Already at the price level (+- € 500/year), but there was not much on the market in 2010.
Then in the event of a problem, (in June 2013)
The agenc"&amp;"y does not take care of the file directly, the Maaf company either,
He subtracts the file has another company, the DAS (???)
Difficult to start reimbursement of the rents following the tenant's defect (2 months to make them accept to operate the contr"&amp;"act, then, excluding deadlines!), Before having finally satisfied (it starts well!).
Quarterly rent regulations from June 2013 to March 2015
No information on the tenant on their part, or he lives, if he is found? Despite my request.
At the end of "&amp;"the contract, (02/2015 The tenant spun ""English"", without address, without returning the keys or of course, inventory)
 - No refund of additional costs, (this is marked in the contract!)
 - no compliance with the judgment of the court (does not concer"&amp;"n them, however the option of the contract provides them)
 - blackmail loss of subrogation if I do not reimburse the too perceived, (quarterly regulations, I owe them 1 month too perceived, but big error in their calculation of the too perceived)
 - No "&amp;"understanding for the restoration of the accommodation which was destroyed by the tenant before his departure and all this despite my recovery letters, my photos, my quotes ... (this too was notified in the contract)
Business that begins in 2013, and t"&amp;"oday in 2020, he asked me to provide them with documents that do not concern them (over -indebtedness file of the tenant, because he owes me other costs, so I launched a personally procedure ) and they still continue to blackmail subrogation when they owe"&amp;" me the error of the too perceived, and the restoration of the accommodation !!!
Added well with patience, make reminders to which they do not answer (no news from 2015 to 2020).
Since 2015, the MAAF has not done this kind of insurance, this shows u"&amp;"s that they are far from competent, and especially bad faith as soon as they have to financially solve a problem !!
MichelzPro@hotmail.com
")</f>
        <v>
Very strongly disappointed with the MAAF, home insurance contract for tenant, unpaid rent option.
Already at the price level (+- € 500/year), but there was not much on the market in 2010.
Then in the event of a problem, (in June 2013)
The agency does not take care of the file directly, the Maaf company either,
He subtracts the file has another company, the DAS (???)
Difficult to start reimbursement of the rents following the tenant's defect (2 months to make them accept to operate the contract, then, excluding deadlines!), Before having finally satisfied (it starts well!).
Quarterly rent regulations from June 2013 to March 2015
No information on the tenant on their part, or he lives, if he is found? Despite my request.
At the end of the contract, (02/2015 The tenant spun "English", without address, without returning the keys or of course, inventory)
 - No refund of additional costs, (this is marked in the contract!)
 - no compliance with the judgment of the court (does not concern them, however the option of the contract provides them)
 - blackmail loss of subrogation if I do not reimburse the too perceived, (quarterly regulations, I owe them 1 month too perceived, but big error in their calculation of the too perceived)
 - No understanding for the restoration of the accommodation which was destroyed by the tenant before his departure and all this despite my recovery letters, my photos, my quotes ... (this too was notified in the contract)
Business that begins in 2013, and today in 2020, he asked me to provide them with documents that do not concern them (over -indebtedness file of the tenant, because he owes me other costs, so I launched a personally procedure ) and they still continue to blackmail subrogation when they owe me the error of the too perceived, and the restoration of the accommodation !!!
Added well with patience, make reminders to which they do not answer (no news from 2015 to 2020).
Since 2015, the MAAF has not done this kind of insurance, this shows us that they are far from competent, and especially bad faith as soon as they have to financially solve a problem !!
MichelzPro@hotmail.com
</v>
      </c>
    </row>
    <row r="450" ht="15.75" customHeight="1">
      <c r="A450" s="2">
        <v>2.0</v>
      </c>
      <c r="B450" s="2" t="s">
        <v>1344</v>
      </c>
      <c r="C450" s="2" t="s">
        <v>1345</v>
      </c>
      <c r="D450" s="2" t="s">
        <v>256</v>
      </c>
      <c r="E450" s="2" t="s">
        <v>21</v>
      </c>
      <c r="F450" s="2" t="s">
        <v>15</v>
      </c>
      <c r="G450" s="2" t="s">
        <v>127</v>
      </c>
      <c r="H450" s="2" t="s">
        <v>128</v>
      </c>
      <c r="I450" s="2" t="str">
        <f>IFERROR(__xludf.DUMMYFUNCTION("GOOGLETRANSLATE(C450,""fr"",""en"")"),"I do not recommend, certainly to start insurance at a stroke of such it is done but when there is a problem this never solved
Pacifica has owed 1,400 euros to my father for 10 years but everyone sen's mad, me they owe me 360 ​​euros for insurance that I "&amp;"have to pay when I no longer had the vehicle but everyone feels mad any pretext is good to find an excuse and not reimbursed")</f>
        <v>I do not recommend, certainly to start insurance at a stroke of such it is done but when there is a problem this never solved
Pacifica has owed 1,400 euros to my father for 10 years but everyone sen's mad, me they owe me 360 ​​euros for insurance that I have to pay when I no longer had the vehicle but everyone feels mad any pretext is good to find an excuse and not reimbursed</v>
      </c>
    </row>
    <row r="451" ht="15.75" customHeight="1">
      <c r="A451" s="2">
        <v>5.0</v>
      </c>
      <c r="B451" s="2" t="s">
        <v>1346</v>
      </c>
      <c r="C451" s="2" t="s">
        <v>1347</v>
      </c>
      <c r="D451" s="2" t="s">
        <v>64</v>
      </c>
      <c r="E451" s="2" t="s">
        <v>21</v>
      </c>
      <c r="F451" s="2" t="s">
        <v>15</v>
      </c>
      <c r="G451" s="2" t="s">
        <v>1348</v>
      </c>
      <c r="H451" s="2" t="s">
        <v>17</v>
      </c>
      <c r="I451" s="2" t="str">
        <f>IFERROR(__xludf.DUMMYFUNCTION("GOOGLETRANSLATE(C451,""fr"",""en"")"),"I am disappointed that there is also little advertising on the part of the olive tree. But I am very happy to have been able to find this insurance and I plan to transfer all my contracts to them.")</f>
        <v>I am disappointed that there is also little advertising on the part of the olive tree. But I am very happy to have been able to find this insurance and I plan to transfer all my contracts to them.</v>
      </c>
    </row>
    <row r="452" ht="15.75" customHeight="1">
      <c r="A452" s="2">
        <v>1.0</v>
      </c>
      <c r="B452" s="2" t="s">
        <v>1349</v>
      </c>
      <c r="C452" s="2" t="s">
        <v>1350</v>
      </c>
      <c r="D452" s="2" t="s">
        <v>64</v>
      </c>
      <c r="E452" s="2" t="s">
        <v>21</v>
      </c>
      <c r="F452" s="2" t="s">
        <v>15</v>
      </c>
      <c r="G452" s="2" t="s">
        <v>1351</v>
      </c>
      <c r="H452" s="2" t="s">
        <v>408</v>
      </c>
      <c r="I452" s="2" t="str">
        <f>IFERROR(__xludf.DUMMYFUNCTION("GOOGLETRANSLATE(C452,""fr"",""en"")"),"Insurance to vomit! Customer service does not manage customer problems. As soon as you want to leave this insurance, we do everything to prevent you from it and we push you to pay the annual subscription, even if you have terminated. We make you understan"&amp;"d that you have not completed the formalities on time ... We want to steal from you and nothing more. This is called the abuse of power! And if you obstinate yourself to stand up to them, they send you a formal notice, then their henchmen who are lawyers "&amp;"and bailiffs! In short, with the olive assurance, you have people without faith or law! And with them, the hypocrisy goes so far that they then try to contact you despite everything via this site ... In short, we would sincerely want to wish this company "&amp;"with two balls, to shoot yourself somewhere! And after such words, believe me I have nothing to fear, because in addition to being totally inhuman and contemptuous, this company is loose!")</f>
        <v>Insurance to vomit! Customer service does not manage customer problems. As soon as you want to leave this insurance, we do everything to prevent you from it and we push you to pay the annual subscription, even if you have terminated. We make you understand that you have not completed the formalities on time ... We want to steal from you and nothing more. This is called the abuse of power! And if you obstinate yourself to stand up to them, they send you a formal notice, then their henchmen who are lawyers and bailiffs! In short, with the olive assurance, you have people without faith or law! And with them, the hypocrisy goes so far that they then try to contact you despite everything via this site ... In short, we would sincerely want to wish this company with two balls, to shoot yourself somewhere! And after such words, believe me I have nothing to fear, because in addition to being totally inhuman and contemptuous, this company is loose!</v>
      </c>
    </row>
    <row r="453" ht="15.75" customHeight="1">
      <c r="A453" s="2">
        <v>4.0</v>
      </c>
      <c r="B453" s="2" t="s">
        <v>1352</v>
      </c>
      <c r="C453" s="2" t="s">
        <v>1353</v>
      </c>
      <c r="D453" s="2" t="s">
        <v>64</v>
      </c>
      <c r="E453" s="2" t="s">
        <v>21</v>
      </c>
      <c r="F453" s="2" t="s">
        <v>15</v>
      </c>
      <c r="G453" s="2" t="s">
        <v>84</v>
      </c>
      <c r="H453" s="2" t="s">
        <v>45</v>
      </c>
      <c r="I453" s="2" t="str">
        <f>IFERROR(__xludf.DUMMYFUNCTION("GOOGLETRANSLATE(C453,""fr"",""en"")"),"I am satisfied with the service, whether telephone or the efficiency of procedures by emails, message and internet. The prices are a bit expensive but still remains affordable compared to the market.")</f>
        <v>I am satisfied with the service, whether telephone or the efficiency of procedures by emails, message and internet. The prices are a bit expensive but still remains affordable compared to the market.</v>
      </c>
    </row>
    <row r="454" ht="15.75" customHeight="1">
      <c r="A454" s="2">
        <v>1.0</v>
      </c>
      <c r="B454" s="2" t="s">
        <v>1354</v>
      </c>
      <c r="C454" s="2" t="s">
        <v>1355</v>
      </c>
      <c r="D454" s="2" t="s">
        <v>20</v>
      </c>
      <c r="E454" s="2" t="s">
        <v>21</v>
      </c>
      <c r="F454" s="2" t="s">
        <v>15</v>
      </c>
      <c r="G454" s="2" t="s">
        <v>467</v>
      </c>
      <c r="H454" s="2" t="s">
        <v>468</v>
      </c>
      <c r="I454" s="2" t="str">
        <f>IFERROR(__xludf.DUMMYFUNCTION("GOOGLETRANSLATE(C454,""fr"",""en"")"),"Never had an accident, 5 years that I have the license, 5 years that I am at home, 5 years that I am increased: change of vehicle? It will be 50 euros more madam (I specify that I did not go from a 206 to a Ferrari). Wish of monthly payment? 9% more madam"&amp;". Result of the races I find myself paying 640 euros per third party at the flush of the Pâquerettes for a car with 1/2 horse under hood (as a comparison, with exactly the MM data, several insurances offer me on average 400/450 euros and in passing in Any"&amp;" more risk!)")</f>
        <v>Never had an accident, 5 years that I have the license, 5 years that I am at home, 5 years that I am increased: change of vehicle? It will be 50 euros more madam (I specify that I did not go from a 206 to a Ferrari). Wish of monthly payment? 9% more madam. Result of the races I find myself paying 640 euros per third party at the flush of the Pâquerettes for a car with 1/2 horse under hood (as a comparison, with exactly the MM data, several insurances offer me on average 400/450 euros and in passing in Any more risk!)</v>
      </c>
    </row>
    <row r="455" ht="15.75" customHeight="1">
      <c r="A455" s="2">
        <v>1.0</v>
      </c>
      <c r="B455" s="2" t="s">
        <v>1356</v>
      </c>
      <c r="C455" s="2" t="s">
        <v>1357</v>
      </c>
      <c r="D455" s="2" t="s">
        <v>64</v>
      </c>
      <c r="E455" s="2" t="s">
        <v>21</v>
      </c>
      <c r="F455" s="2" t="s">
        <v>15</v>
      </c>
      <c r="G455" s="2" t="s">
        <v>178</v>
      </c>
      <c r="H455" s="2" t="s">
        <v>178</v>
      </c>
      <c r="I455" s="2" t="str">
        <f>IFERROR(__xludf.DUMMYFUNCTION("GOOGLETRANSLATE(C455,""fr"",""en"")"),"I have to pay suddenly that is to say 1499.89 euro per year and I do not have the choice to pay per month !! 0")</f>
        <v>I have to pay suddenly that is to say 1499.89 euro per year and I do not have the choice to pay per month !! 0</v>
      </c>
    </row>
    <row r="456" ht="15.75" customHeight="1">
      <c r="A456" s="2">
        <v>4.0</v>
      </c>
      <c r="B456" s="2" t="s">
        <v>1358</v>
      </c>
      <c r="C456" s="2" t="s">
        <v>1359</v>
      </c>
      <c r="D456" s="2" t="s">
        <v>35</v>
      </c>
      <c r="E456" s="2" t="s">
        <v>21</v>
      </c>
      <c r="F456" s="2" t="s">
        <v>15</v>
      </c>
      <c r="G456" s="2" t="s">
        <v>1235</v>
      </c>
      <c r="H456" s="2" t="s">
        <v>70</v>
      </c>
      <c r="I456" s="2" t="str">
        <f>IFERROR(__xludf.DUMMYFUNCTION("GOOGLETRANSLATE(C456,""fr"",""en"")"),"very satisfied with the service
cost of insurance contracts still high
Getting satisfactory appointment, reception, advice and quality information from GMF insurers")</f>
        <v>very satisfied with the service
cost of insurance contracts still high
Getting satisfactory appointment, reception, advice and quality information from GMF insurers</v>
      </c>
    </row>
    <row r="457" ht="15.75" customHeight="1">
      <c r="A457" s="2">
        <v>5.0</v>
      </c>
      <c r="B457" s="2" t="s">
        <v>1360</v>
      </c>
      <c r="C457" s="2" t="s">
        <v>1361</v>
      </c>
      <c r="D457" s="2" t="s">
        <v>20</v>
      </c>
      <c r="E457" s="2" t="s">
        <v>21</v>
      </c>
      <c r="F457" s="2" t="s">
        <v>15</v>
      </c>
      <c r="G457" s="2" t="s">
        <v>546</v>
      </c>
      <c r="H457" s="2" t="s">
        <v>45</v>
      </c>
      <c r="I457" s="2" t="str">
        <f>IFERROR(__xludf.DUMMYFUNCTION("GOOGLETRANSLATE(C457,""fr"",""en"")"),"Simple and quick provided to conitre all the answers !!
Not everyone knows their bonus/penalty coef for example. And what is the point of indicating that I am a proprietary or tenant of my accommodation to ensure a vehicle?
")</f>
        <v>Simple and quick provided to conitre all the answers !!
Not everyone knows their bonus/penalty coef for example. And what is the point of indicating that I am a proprietary or tenant of my accommodation to ensure a vehicle?
</v>
      </c>
    </row>
    <row r="458" ht="15.75" customHeight="1">
      <c r="A458" s="2">
        <v>5.0</v>
      </c>
      <c r="B458" s="2" t="s">
        <v>1362</v>
      </c>
      <c r="C458" s="2" t="s">
        <v>1363</v>
      </c>
      <c r="D458" s="2" t="s">
        <v>87</v>
      </c>
      <c r="E458" s="2" t="s">
        <v>79</v>
      </c>
      <c r="F458" s="2" t="s">
        <v>15</v>
      </c>
      <c r="G458" s="2" t="s">
        <v>1364</v>
      </c>
      <c r="H458" s="2" t="s">
        <v>139</v>
      </c>
      <c r="I458" s="2" t="str">
        <f>IFERROR(__xludf.DUMMYFUNCTION("GOOGLETRANSLATE(C458,""fr"",""en"")"),"Very fast service, and attentive.
Unbeatable price for superb cover, my two motorcycles are insured at AMV I highly recommend. Good road V")</f>
        <v>Very fast service, and attentive.
Unbeatable price for superb cover, my two motorcycles are insured at AMV I highly recommend. Good road V</v>
      </c>
    </row>
    <row r="459" ht="15.75" customHeight="1">
      <c r="A459" s="2">
        <v>1.0</v>
      </c>
      <c r="B459" s="2" t="s">
        <v>1365</v>
      </c>
      <c r="C459" s="2" t="s">
        <v>1366</v>
      </c>
      <c r="D459" s="2" t="s">
        <v>471</v>
      </c>
      <c r="E459" s="2" t="s">
        <v>74</v>
      </c>
      <c r="F459" s="2" t="s">
        <v>15</v>
      </c>
      <c r="G459" s="2" t="s">
        <v>327</v>
      </c>
      <c r="H459" s="2" t="s">
        <v>317</v>
      </c>
      <c r="I459" s="2" t="str">
        <f>IFERROR(__xludf.DUMMYFUNCTION("GOOGLETRANSLATE(C459,""fr"",""en"")"),"We have contributed in a CNP contract for more than 30 years. Today that this product has arrived in the long term, we asked for the payment of capital (we had taken the lead by anticipating our request for four months so largely in advance. To avoid any "&amp;"disappointment, we sent AR letters). Today when the contract has matured, we have still not recovered our capital: a real shame for such a brand. They do everything to delay payment (requesting additional parts not claimed at the start, ... So many pretex"&amp;"ts and stratagems to delay the liquidation) even though we have entrusted our savings for years. We are really disgusted where our testimony of this day. We cannot advise such an insurer and recommend the greatest caution.
We voluntarily put the insurer "&amp;"in copying of this and will keep you informed of the rest of the file. On the other hand, unlike the CNP, we also had a general contract which is very serious (no waiting for payment, ...): to recommend without the slightest hesitation.")</f>
        <v>We have contributed in a CNP contract for more than 30 years. Today that this product has arrived in the long term, we asked for the payment of capital (we had taken the lead by anticipating our request for four months so largely in advance. To avoid any disappointment, we sent AR letters). Today when the contract has matured, we have still not recovered our capital: a real shame for such a brand. They do everything to delay payment (requesting additional parts not claimed at the start, ... So many pretexts and stratagems to delay the liquidation) even though we have entrusted our savings for years. We are really disgusted where our testimony of this day. We cannot advise such an insurer and recommend the greatest caution.
We voluntarily put the insurer in copying of this and will keep you informed of the rest of the file. On the other hand, unlike the CNP, we also had a general contract which is very serious (no waiting for payment, ...): to recommend without the slightest hesitation.</v>
      </c>
    </row>
    <row r="460" ht="15.75" customHeight="1">
      <c r="A460" s="2">
        <v>4.0</v>
      </c>
      <c r="B460" s="2" t="s">
        <v>1367</v>
      </c>
      <c r="C460" s="2" t="s">
        <v>1368</v>
      </c>
      <c r="D460" s="2" t="s">
        <v>13</v>
      </c>
      <c r="E460" s="2" t="s">
        <v>14</v>
      </c>
      <c r="F460" s="2" t="s">
        <v>15</v>
      </c>
      <c r="G460" s="2" t="s">
        <v>1369</v>
      </c>
      <c r="H460" s="2" t="s">
        <v>439</v>
      </c>
      <c r="I460" s="2" t="str">
        <f>IFERROR(__xludf.DUMMYFUNCTION("GOOGLETRANSLATE(C460,""fr"",""en"")"),"Nelly was able to advise me and clarify the situation.
good advice. Super insurance.")</f>
        <v>Nelly was able to advise me and clarify the situation.
good advice. Super insurance.</v>
      </c>
    </row>
    <row r="461" ht="15.75" customHeight="1">
      <c r="A461" s="2">
        <v>1.0</v>
      </c>
      <c r="B461" s="2" t="s">
        <v>1370</v>
      </c>
      <c r="C461" s="2" t="s">
        <v>1371</v>
      </c>
      <c r="D461" s="2" t="s">
        <v>20</v>
      </c>
      <c r="E461" s="2" t="s">
        <v>21</v>
      </c>
      <c r="F461" s="2" t="s">
        <v>15</v>
      </c>
      <c r="G461" s="2" t="s">
        <v>1205</v>
      </c>
      <c r="H461" s="2" t="s">
        <v>70</v>
      </c>
      <c r="I461" s="2" t="str">
        <f>IFERROR(__xludf.DUMMYFUNCTION("GOOGLETRANSLATE(C461,""fr"",""en"")"),"I am not at all satisfied because the prices increases from year to year especially I did no accident I started 59th and the I am at 75th so it is normal? What is increasing? costs I do not know in short I will change insurance ..")</f>
        <v>I am not at all satisfied because the prices increases from year to year especially I did no accident I started 59th and the I am at 75th so it is normal? What is increasing? costs I do not know in short I will change insurance ..</v>
      </c>
    </row>
    <row r="462" ht="15.75" customHeight="1">
      <c r="A462" s="2">
        <v>3.0</v>
      </c>
      <c r="B462" s="2" t="s">
        <v>1372</v>
      </c>
      <c r="C462" s="2" t="s">
        <v>1373</v>
      </c>
      <c r="D462" s="2" t="s">
        <v>20</v>
      </c>
      <c r="E462" s="2" t="s">
        <v>21</v>
      </c>
      <c r="F462" s="2" t="s">
        <v>15</v>
      </c>
      <c r="G462" s="2" t="s">
        <v>1374</v>
      </c>
      <c r="H462" s="2" t="s">
        <v>23</v>
      </c>
      <c r="I462" s="2" t="str">
        <f>IFERROR(__xludf.DUMMYFUNCTION("GOOGLETRANSLATE(C462,""fr"",""en"")"),"I am satisfied with the service even if the price of 1500th annual is too high for me. The reductions applied over the years is very low in addition (less than 5%)")</f>
        <v>I am satisfied with the service even if the price of 1500th annual is too high for me. The reductions applied over the years is very low in addition (less than 5%)</v>
      </c>
    </row>
    <row r="463" ht="15.75" customHeight="1">
      <c r="A463" s="2">
        <v>1.0</v>
      </c>
      <c r="B463" s="2" t="s">
        <v>1375</v>
      </c>
      <c r="C463" s="2" t="s">
        <v>1376</v>
      </c>
      <c r="D463" s="2" t="s">
        <v>281</v>
      </c>
      <c r="E463" s="2" t="s">
        <v>207</v>
      </c>
      <c r="F463" s="2" t="s">
        <v>15</v>
      </c>
      <c r="G463" s="2" t="s">
        <v>560</v>
      </c>
      <c r="H463" s="2" t="s">
        <v>178</v>
      </c>
      <c r="I463" s="2" t="str">
        <f>IFERROR(__xludf.DUMMYFUNCTION("GOOGLETRANSLATE(C463,""fr"",""en"")"),"30 euros in insurance for an apartment of 32m2, it's huge. I finish my contract with them, for the same surface I found for 12 euros with the same guarantees.")</f>
        <v>30 euros in insurance for an apartment of 32m2, it's huge. I finish my contract with them, for the same surface I found for 12 euros with the same guarantees.</v>
      </c>
    </row>
    <row r="464" ht="15.75" customHeight="1">
      <c r="A464" s="2">
        <v>1.0</v>
      </c>
      <c r="B464" s="2" t="s">
        <v>1377</v>
      </c>
      <c r="C464" s="2" t="s">
        <v>1378</v>
      </c>
      <c r="D464" s="2" t="s">
        <v>20</v>
      </c>
      <c r="E464" s="2" t="s">
        <v>207</v>
      </c>
      <c r="F464" s="2" t="s">
        <v>15</v>
      </c>
      <c r="G464" s="2" t="s">
        <v>1379</v>
      </c>
      <c r="H464" s="2" t="s">
        <v>128</v>
      </c>
      <c r="I464" s="2" t="str">
        <f>IFERROR(__xludf.DUMMYFUNCTION("GOOGLETRANSLATE(C464,""fr"",""en"")"),"To flee, incredible but true, we have never had a claim for years and never any demand.
We have omitted to settle our home in time that we settle immediately the year and surprise we are terminated anyway and direct insurance clearly tells us to go elsew"&amp;"here.
I do not recommend direct insurance because after that we imagine the rest in the event of a disaster !!!")</f>
        <v>To flee, incredible but true, we have never had a claim for years and never any demand.
We have omitted to settle our home in time that we settle immediately the year and surprise we are terminated anyway and direct insurance clearly tells us to go elsewhere.
I do not recommend direct insurance because after that we imagine the rest in the event of a disaster !!!</v>
      </c>
    </row>
    <row r="465" ht="15.75" customHeight="1">
      <c r="A465" s="2">
        <v>5.0</v>
      </c>
      <c r="B465" s="2" t="s">
        <v>1380</v>
      </c>
      <c r="C465" s="2" t="s">
        <v>1381</v>
      </c>
      <c r="D465" s="2" t="s">
        <v>64</v>
      </c>
      <c r="E465" s="2" t="s">
        <v>21</v>
      </c>
      <c r="F465" s="2" t="s">
        <v>15</v>
      </c>
      <c r="G465" s="2" t="s">
        <v>682</v>
      </c>
      <c r="H465" s="2" t="s">
        <v>139</v>
      </c>
      <c r="I465" s="2" t="str">
        <f>IFERROR(__xludf.DUMMYFUNCTION("GOOGLETRANSLATE(C465,""fr"",""en"")"),"Thank you to the advisor who accompanied me with great professionalism and good advice. I could not use the investigation after the call (a bug no doubt). Have a good day.")</f>
        <v>Thank you to the advisor who accompanied me with great professionalism and good advice. I could not use the investigation after the call (a bug no doubt). Have a good day.</v>
      </c>
    </row>
    <row r="466" ht="15.75" customHeight="1">
      <c r="A466" s="2">
        <v>3.0</v>
      </c>
      <c r="B466" s="2" t="s">
        <v>1382</v>
      </c>
      <c r="C466" s="2" t="s">
        <v>1383</v>
      </c>
      <c r="D466" s="2" t="s">
        <v>20</v>
      </c>
      <c r="E466" s="2" t="s">
        <v>21</v>
      </c>
      <c r="F466" s="2" t="s">
        <v>15</v>
      </c>
      <c r="G466" s="2" t="s">
        <v>926</v>
      </c>
      <c r="H466" s="2" t="s">
        <v>926</v>
      </c>
      <c r="I466" s="2" t="str">
        <f>IFERROR(__xludf.DUMMYFUNCTION("GOOGLETRANSLATE(C466,""fr"",""en"")"),"Since more than two anx insured at Direct Insurance and in February 2107 I have had a non -responsible accident, my file sent quickly by their site in addition to a letter the next day my file was already processed and I had the possibility of following i"&amp;"t by step until the distribution I was very happy")</f>
        <v>Since more than two anx insured at Direct Insurance and in February 2107 I have had a non -responsible accident, my file sent quickly by their site in addition to a letter the next day my file was already processed and I had the possibility of following it by step until the distribution I was very happy</v>
      </c>
    </row>
    <row r="467" ht="15.75" customHeight="1">
      <c r="A467" s="2">
        <v>5.0</v>
      </c>
      <c r="B467" s="2" t="s">
        <v>1384</v>
      </c>
      <c r="C467" s="2" t="s">
        <v>1385</v>
      </c>
      <c r="D467" s="2" t="s">
        <v>20</v>
      </c>
      <c r="E467" s="2" t="s">
        <v>21</v>
      </c>
      <c r="F467" s="2" t="s">
        <v>15</v>
      </c>
      <c r="G467" s="2" t="s">
        <v>1374</v>
      </c>
      <c r="H467" s="2" t="s">
        <v>23</v>
      </c>
      <c r="I467" s="2" t="str">
        <f>IFERROR(__xludf.DUMMYFUNCTION("GOOGLETRANSLATE(C467,""fr"",""en"")"),"I am satisfied with the service…
Prices suit me….
Simple, fast and effective…
Ease of access to all….
Price satisfactory and accessible to everyone
")</f>
        <v>I am satisfied with the service…
Prices suit me….
Simple, fast and effective…
Ease of access to all….
Price satisfactory and accessible to everyone
</v>
      </c>
    </row>
    <row r="468" ht="15.75" customHeight="1">
      <c r="A468" s="2">
        <v>2.0</v>
      </c>
      <c r="B468" s="2" t="s">
        <v>1386</v>
      </c>
      <c r="C468" s="2" t="s">
        <v>1387</v>
      </c>
      <c r="D468" s="2" t="s">
        <v>715</v>
      </c>
      <c r="E468" s="2" t="s">
        <v>14</v>
      </c>
      <c r="F468" s="2" t="s">
        <v>15</v>
      </c>
      <c r="G468" s="2" t="s">
        <v>237</v>
      </c>
      <c r="H468" s="2" t="s">
        <v>237</v>
      </c>
      <c r="I468" s="2" t="str">
        <f>IFERROR(__xludf.DUMMYFUNCTION("GOOGLETRANSLATE(C468,""fr"",""en"")"),"Almost 2 months that I am waiting for a refund, still no news except that they asked me to return the documents that I had already transmitted a month ago.")</f>
        <v>Almost 2 months that I am waiting for a refund, still no news except that they asked me to return the documents that I had already transmitted a month ago.</v>
      </c>
    </row>
    <row r="469" ht="15.75" customHeight="1">
      <c r="A469" s="2">
        <v>3.0</v>
      </c>
      <c r="B469" s="2" t="s">
        <v>1388</v>
      </c>
      <c r="C469" s="2" t="s">
        <v>1389</v>
      </c>
      <c r="D469" s="2" t="s">
        <v>64</v>
      </c>
      <c r="E469" s="2" t="s">
        <v>21</v>
      </c>
      <c r="F469" s="2" t="s">
        <v>15</v>
      </c>
      <c r="G469" s="2" t="s">
        <v>1390</v>
      </c>
      <c r="H469" s="2" t="s">
        <v>178</v>
      </c>
      <c r="I469" s="2" t="str">
        <f>IFERROR(__xludf.DUMMYFUNCTION("GOOGLETRANSLATE(C469,""fr"",""en"")"),"Operator on the patient and competent phone who managed to manage my secondary annoyance to final pricing conditions not in accordance with what was announced during telephone canvassing")</f>
        <v>Operator on the patient and competent phone who managed to manage my secondary annoyance to final pricing conditions not in accordance with what was announced during telephone canvassing</v>
      </c>
    </row>
    <row r="470" ht="15.75" customHeight="1">
      <c r="A470" s="2">
        <v>2.0</v>
      </c>
      <c r="B470" s="2" t="s">
        <v>1391</v>
      </c>
      <c r="C470" s="2" t="s">
        <v>1392</v>
      </c>
      <c r="D470" s="2" t="s">
        <v>20</v>
      </c>
      <c r="E470" s="2" t="s">
        <v>21</v>
      </c>
      <c r="F470" s="2" t="s">
        <v>15</v>
      </c>
      <c r="G470" s="2" t="s">
        <v>376</v>
      </c>
      <c r="H470" s="2" t="s">
        <v>23</v>
      </c>
      <c r="I470" s="2" t="str">
        <f>IFERROR(__xludf.DUMMYFUNCTION("GOOGLETRANSLATE(C470,""fr"",""en"")"),"I expect to benefit from my rights to give an opinion on the care and listening to your employees
Cordially
Thanking you for your completeness")</f>
        <v>I expect to benefit from my rights to give an opinion on the care and listening to your employees
Cordially
Thanking you for your completeness</v>
      </c>
    </row>
    <row r="471" ht="15.75" customHeight="1">
      <c r="A471" s="2">
        <v>3.0</v>
      </c>
      <c r="B471" s="2" t="s">
        <v>1393</v>
      </c>
      <c r="C471" s="2" t="s">
        <v>1394</v>
      </c>
      <c r="D471" s="2" t="s">
        <v>20</v>
      </c>
      <c r="E471" s="2" t="s">
        <v>21</v>
      </c>
      <c r="F471" s="2" t="s">
        <v>15</v>
      </c>
      <c r="G471" s="2" t="s">
        <v>503</v>
      </c>
      <c r="H471" s="2" t="s">
        <v>178</v>
      </c>
      <c r="I471" s="2" t="str">
        <f>IFERROR(__xludf.DUMMYFUNCTION("GOOGLETRANSLATE(C471,""fr"",""en"")"),"fast service
easy
lack of screws on certain information to provide
lack of online chat customer service to advise when subscribing")</f>
        <v>fast service
easy
lack of screws on certain information to provide
lack of online chat customer service to advise when subscribing</v>
      </c>
    </row>
    <row r="472" ht="15.75" customHeight="1">
      <c r="A472" s="2">
        <v>5.0</v>
      </c>
      <c r="B472" s="2" t="s">
        <v>1395</v>
      </c>
      <c r="C472" s="2" t="s">
        <v>1396</v>
      </c>
      <c r="D472" s="2" t="s">
        <v>64</v>
      </c>
      <c r="E472" s="2" t="s">
        <v>21</v>
      </c>
      <c r="F472" s="2" t="s">
        <v>15</v>
      </c>
      <c r="G472" s="2" t="s">
        <v>1078</v>
      </c>
      <c r="H472" s="2" t="s">
        <v>139</v>
      </c>
      <c r="I472" s="2" t="str">
        <f>IFERROR(__xludf.DUMMYFUNCTION("GOOGLETRANSLATE(C472,""fr"",""en"")"),"Very satisfied. Listening and friendly advisers.
Correct price.
- My opinion is finished. I put lots of characters just to be able to send ..")</f>
        <v>Very satisfied. Listening and friendly advisers.
Correct price.
- My opinion is finished. I put lots of characters just to be able to send ..</v>
      </c>
    </row>
    <row r="473" ht="15.75" customHeight="1">
      <c r="A473" s="2">
        <v>1.0</v>
      </c>
      <c r="B473" s="2" t="s">
        <v>1397</v>
      </c>
      <c r="C473" s="2" t="s">
        <v>1398</v>
      </c>
      <c r="D473" s="2" t="s">
        <v>256</v>
      </c>
      <c r="E473" s="2" t="s">
        <v>21</v>
      </c>
      <c r="F473" s="2" t="s">
        <v>15</v>
      </c>
      <c r="G473" s="2" t="s">
        <v>1399</v>
      </c>
      <c r="H473" s="2" t="s">
        <v>353</v>
      </c>
      <c r="I473" s="2" t="str">
        <f>IFERROR(__xludf.DUMMYFUNCTION("GOOGLETRANSLATE(C473,""fr"",""en"")"),"An unpaid and you are asked for the following months to pay until the contract engagement date. No arrangement was proposed to me when the error came from my advisor who had not transmitted my info. So I was struck off and I owed them the remaining months"&amp;" to pay.
Even if all the insurances are the same with something ready, are part of those who do not help people when it is necessary.")</f>
        <v>An unpaid and you are asked for the following months to pay until the contract engagement date. No arrangement was proposed to me when the error came from my advisor who had not transmitted my info. So I was struck off and I owed them the remaining months to pay.
Even if all the insurances are the same with something ready, are part of those who do not help people when it is necessary.</v>
      </c>
    </row>
    <row r="474" ht="15.75" customHeight="1">
      <c r="A474" s="2">
        <v>1.0</v>
      </c>
      <c r="B474" s="2" t="s">
        <v>1400</v>
      </c>
      <c r="C474" s="2" t="s">
        <v>1401</v>
      </c>
      <c r="D474" s="2" t="s">
        <v>281</v>
      </c>
      <c r="E474" s="2" t="s">
        <v>21</v>
      </c>
      <c r="F474" s="2" t="s">
        <v>15</v>
      </c>
      <c r="G474" s="2" t="s">
        <v>61</v>
      </c>
      <c r="H474" s="2" t="s">
        <v>58</v>
      </c>
      <c r="I474" s="2" t="str">
        <f>IFERROR(__xludf.DUMMYFUNCTION("GOOGLETRANSLATE(C474,""fr"",""en"")"),"Following a non -responsible accident or someone puts in I find myself scandalous! While I have no accidents wrongly and it will soon be 2 years that I am with you I am sincerely very very disappointed.")</f>
        <v>Following a non -responsible accident or someone puts in I find myself scandalous! While I have no accidents wrongly and it will soon be 2 years that I am with you I am sincerely very very disappointed.</v>
      </c>
    </row>
    <row r="475" ht="15.75" customHeight="1">
      <c r="A475" s="2">
        <v>3.0</v>
      </c>
      <c r="B475" s="2" t="s">
        <v>1402</v>
      </c>
      <c r="C475" s="2" t="s">
        <v>1403</v>
      </c>
      <c r="D475" s="2" t="s">
        <v>64</v>
      </c>
      <c r="E475" s="2" t="s">
        <v>21</v>
      </c>
      <c r="F475" s="2" t="s">
        <v>15</v>
      </c>
      <c r="G475" s="2" t="s">
        <v>864</v>
      </c>
      <c r="H475" s="2" t="s">
        <v>139</v>
      </c>
      <c r="I475" s="2" t="str">
        <f>IFERROR(__xludf.DUMMYFUNCTION("GOOGLETRANSLATE(C475,""fr"",""en"")"),"I am satisfied with the customers hoping that it will continue like that on the other hand it is a shame the broken ice is not indicated on a simple formula on a simple formula")</f>
        <v>I am satisfied with the customers hoping that it will continue like that on the other hand it is a shame the broken ice is not indicated on a simple formula on a simple formula</v>
      </c>
    </row>
    <row r="476" ht="15.75" customHeight="1">
      <c r="A476" s="2">
        <v>1.0</v>
      </c>
      <c r="B476" s="2" t="s">
        <v>1404</v>
      </c>
      <c r="C476" s="2" t="s">
        <v>1405</v>
      </c>
      <c r="D476" s="2" t="s">
        <v>64</v>
      </c>
      <c r="E476" s="2" t="s">
        <v>21</v>
      </c>
      <c r="F476" s="2" t="s">
        <v>15</v>
      </c>
      <c r="G476" s="2" t="s">
        <v>1406</v>
      </c>
      <c r="H476" s="2" t="s">
        <v>37</v>
      </c>
      <c r="I476" s="2" t="str">
        <f>IFERROR(__xludf.DUMMYFUNCTION("GOOGLETRANSLATE(C476,""fr"",""en"")"),"Before being claimed there is nothing to say but once the problems arise, we realize the mediocrity of this insurance :.
incompetent person in the management of claims
Interminable withdrawal to be reimbursed, 4 months!
. Tropping interlocutor who take"&amp;"s up the file to zero each time.")</f>
        <v>Before being claimed there is nothing to say but once the problems arise, we realize the mediocrity of this insurance :.
incompetent person in the management of claims
Interminable withdrawal to be reimbursed, 4 months!
. Tropping interlocutor who takes up the file to zero each time.</v>
      </c>
    </row>
    <row r="477" ht="15.75" customHeight="1">
      <c r="A477" s="2">
        <v>4.0</v>
      </c>
      <c r="B477" s="2" t="s">
        <v>1407</v>
      </c>
      <c r="C477" s="2" t="s">
        <v>1408</v>
      </c>
      <c r="D477" s="2" t="s">
        <v>64</v>
      </c>
      <c r="E477" s="2" t="s">
        <v>21</v>
      </c>
      <c r="F477" s="2" t="s">
        <v>15</v>
      </c>
      <c r="G477" s="2" t="s">
        <v>1409</v>
      </c>
      <c r="H477" s="2" t="s">
        <v>274</v>
      </c>
      <c r="I477" s="2" t="str">
        <f>IFERROR(__xludf.DUMMYFUNCTION("GOOGLETRANSLATE(C477,""fr"",""en"")"),"Following accident not responsible for an insured vehicle at the third party at home everything has been very well managed by the assistance
  The reception The support for explanations The follow -up.")</f>
        <v>Following accident not responsible for an insured vehicle at the third party at home everything has been very well managed by the assistance
  The reception The support for explanations The follow -up.</v>
      </c>
    </row>
    <row r="478" ht="15.75" customHeight="1">
      <c r="A478" s="2">
        <v>2.0</v>
      </c>
      <c r="B478" s="2" t="s">
        <v>1410</v>
      </c>
      <c r="C478" s="2" t="s">
        <v>1411</v>
      </c>
      <c r="D478" s="2" t="s">
        <v>20</v>
      </c>
      <c r="E478" s="2" t="s">
        <v>21</v>
      </c>
      <c r="F478" s="2" t="s">
        <v>15</v>
      </c>
      <c r="G478" s="2" t="s">
        <v>1412</v>
      </c>
      <c r="H478" s="2" t="s">
        <v>139</v>
      </c>
      <c r="I478" s="2" t="str">
        <f>IFERROR(__xludf.DUMMYFUNCTION("GOOGLETRANSLATE(C478,""fr"",""en"")"),"A little long to join you apart from that, we don't have too much perspective towards your service we will discover. This is the first contract
Regards Sandrine Bourgoin")</f>
        <v>A little long to join you apart from that, we don't have too much perspective towards your service we will discover. This is the first contract
Regards Sandrine Bourgoin</v>
      </c>
    </row>
    <row r="479" ht="15.75" customHeight="1">
      <c r="A479" s="2">
        <v>5.0</v>
      </c>
      <c r="B479" s="2" t="s">
        <v>1413</v>
      </c>
      <c r="C479" s="2" t="s">
        <v>1414</v>
      </c>
      <c r="D479" s="2" t="s">
        <v>87</v>
      </c>
      <c r="E479" s="2" t="s">
        <v>79</v>
      </c>
      <c r="F479" s="2" t="s">
        <v>15</v>
      </c>
      <c r="G479" s="2" t="s">
        <v>236</v>
      </c>
      <c r="H479" s="2" t="s">
        <v>237</v>
      </c>
      <c r="I479" s="2" t="str">
        <f>IFERROR(__xludf.DUMMYFUNCTION("GOOGLETRANSLATE(C479,""fr"",""en"")"),"Whenever I needed information (change of contract, incident) I was well received and advisor")</f>
        <v>Whenever I needed information (change of contract, incident) I was well received and advisor</v>
      </c>
    </row>
    <row r="480" ht="15.75" customHeight="1">
      <c r="A480" s="2">
        <v>1.0</v>
      </c>
      <c r="B480" s="2" t="s">
        <v>1415</v>
      </c>
      <c r="C480" s="2" t="s">
        <v>1416</v>
      </c>
      <c r="D480" s="2" t="s">
        <v>68</v>
      </c>
      <c r="E480" s="2" t="s">
        <v>14</v>
      </c>
      <c r="F480" s="2" t="s">
        <v>15</v>
      </c>
      <c r="G480" s="2" t="s">
        <v>874</v>
      </c>
      <c r="H480" s="2" t="s">
        <v>112</v>
      </c>
      <c r="I480" s="2" t="str">
        <f>IFERROR(__xludf.DUMMYFUNCTION("GOOGLETRANSLATE(C480,""fr"",""en"")"),"I would have liked to put 0, but unfortunately, it is not possible. I was contacted by phone and I never signed any contract, whether by handwritten or electronic signature. Despite this, samples have been taken. No response from the customer service desp"&amp;"ite the sending of several letters, on the other hand the direct debit invoices, I receive them.")</f>
        <v>I would have liked to put 0, but unfortunately, it is not possible. I was contacted by phone and I never signed any contract, whether by handwritten or electronic signature. Despite this, samples have been taken. No response from the customer service despite the sending of several letters, on the other hand the direct debit invoices, I receive them.</v>
      </c>
    </row>
    <row r="481" ht="15.75" customHeight="1">
      <c r="A481" s="2">
        <v>4.0</v>
      </c>
      <c r="B481" s="2" t="s">
        <v>1417</v>
      </c>
      <c r="C481" s="2" t="s">
        <v>1418</v>
      </c>
      <c r="D481" s="2" t="s">
        <v>20</v>
      </c>
      <c r="E481" s="2" t="s">
        <v>21</v>
      </c>
      <c r="F481" s="2" t="s">
        <v>15</v>
      </c>
      <c r="G481" s="2" t="s">
        <v>177</v>
      </c>
      <c r="H481" s="2" t="s">
        <v>178</v>
      </c>
      <c r="I481" s="2" t="str">
        <f>IFERROR(__xludf.DUMMYFUNCTION("GOOGLETRANSLATE(C481,""fr"",""en"")"),"I just made sure and I find that this online operation was rather simple and quick to perform.
I'm now waiting for the finalization of my contract")</f>
        <v>I just made sure and I find that this online operation was rather simple and quick to perform.
I'm now waiting for the finalization of my contract</v>
      </c>
    </row>
    <row r="482" ht="15.75" customHeight="1">
      <c r="A482" s="2">
        <v>1.0</v>
      </c>
      <c r="B482" s="2" t="s">
        <v>1419</v>
      </c>
      <c r="C482" s="2" t="s">
        <v>1420</v>
      </c>
      <c r="D482" s="2" t="s">
        <v>281</v>
      </c>
      <c r="E482" s="2" t="s">
        <v>21</v>
      </c>
      <c r="F482" s="2" t="s">
        <v>15</v>
      </c>
      <c r="G482" s="2" t="s">
        <v>1421</v>
      </c>
      <c r="H482" s="2" t="s">
        <v>418</v>
      </c>
      <c r="I482" s="2" t="str">
        <f>IFERROR(__xludf.DUMMYFUNCTION("GOOGLETRANSLATE(C482,""fr"",""en"")"),"I am extremely disappointed with your services.
I have tried to join you many times since March. I couldn't reach you until last week. You had to remind me but I received no calls.
(I want to go to the third party for my 307)
The only letter I received"&amp;" from you was to tell me that I did not honor my last sample and that in the event of a recurrence, I would no longer be assured. It was an error on your part but you have Not considered useful to call me or send me an email.
I had no accident in 20 year"&amp;"s of license and therefore since I was insured with you (2 car contracts and a home contract) however my monthly payments will increase in 2021.
This is the first time that I have been doing it since my arrival in Allianz, I have looked at the prices of "&amp;"other companies to leave yours, disappointed with your lack of consideration")</f>
        <v>I am extremely disappointed with your services.
I have tried to join you many times since March. I couldn't reach you until last week. You had to remind me but I received no calls.
(I want to go to the third party for my 307)
The only letter I received from you was to tell me that I did not honor my last sample and that in the event of a recurrence, I would no longer be assured. It was an error on your part but you have Not considered useful to call me or send me an email.
I had no accident in 20 years of license and therefore since I was insured with you (2 car contracts and a home contract) however my monthly payments will increase in 2021.
This is the first time that I have been doing it since my arrival in Allianz, I have looked at the prices of other companies to leave yours, disappointed with your lack of consideration</v>
      </c>
    </row>
    <row r="483" ht="15.75" customHeight="1">
      <c r="A483" s="2">
        <v>4.0</v>
      </c>
      <c r="B483" s="2" t="s">
        <v>1422</v>
      </c>
      <c r="C483" s="2" t="s">
        <v>1423</v>
      </c>
      <c r="D483" s="2" t="s">
        <v>26</v>
      </c>
      <c r="E483" s="2" t="s">
        <v>14</v>
      </c>
      <c r="F483" s="2" t="s">
        <v>15</v>
      </c>
      <c r="G483" s="2" t="s">
        <v>566</v>
      </c>
      <c r="H483" s="2" t="s">
        <v>17</v>
      </c>
      <c r="I483" s="2" t="str">
        <f>IFERROR(__xludf.DUMMYFUNCTION("GOOGLETRANSLATE(C483,""fr"",""en"")"),"For the moment, I am satisfied with reception, responsiveness and await the rest.
Faithful customer, I was disappointed with the ""all vaccination"" behavior of the mutualist sector
and consecutive infantilization of their members.
Long live freedom,"&amp;" choice, contradictory debate and respect for our discernment capacities !!!!")</f>
        <v>For the moment, I am satisfied with reception, responsiveness and await the rest.
Faithful customer, I was disappointed with the "all vaccination" behavior of the mutualist sector
and consecutive infantilization of their members.
Long live freedom, choice, contradictory debate and respect for our discernment capacities !!!!</v>
      </c>
    </row>
    <row r="484" ht="15.75" customHeight="1">
      <c r="A484" s="2">
        <v>3.0</v>
      </c>
      <c r="B484" s="2" t="s">
        <v>1424</v>
      </c>
      <c r="C484" s="2" t="s">
        <v>1425</v>
      </c>
      <c r="D484" s="2" t="s">
        <v>20</v>
      </c>
      <c r="E484" s="2" t="s">
        <v>21</v>
      </c>
      <c r="F484" s="2" t="s">
        <v>15</v>
      </c>
      <c r="G484" s="2" t="s">
        <v>1426</v>
      </c>
      <c r="H484" s="2" t="s">
        <v>182</v>
      </c>
      <c r="I484" s="2" t="str">
        <f>IFERROR(__xludf.DUMMYFUNCTION("GOOGLETRANSLATE(C484,""fr"",""en"")"),"Graduated in general, but I find that Direct Insurance has lost competitiveness /value for money. It is no longer the champion that it was before.
Regarding current management, communication lacks clarity, responsiveness and efficiency: I had to repeat m"&amp;"yself several times. The response times are quite long. It is more difficult than before on the site to obtain information for daily management, especially when you want to terminate your contract ...")</f>
        <v>Graduated in general, but I find that Direct Insurance has lost competitiveness /value for money. It is no longer the champion that it was before.
Regarding current management, communication lacks clarity, responsiveness and efficiency: I had to repeat myself several times. The response times are quite long. It is more difficult than before on the site to obtain information for daily management, especially when you want to terminate your contract ...</v>
      </c>
    </row>
    <row r="485" ht="15.75" customHeight="1">
      <c r="A485" s="2">
        <v>1.0</v>
      </c>
      <c r="B485" s="2" t="s">
        <v>1427</v>
      </c>
      <c r="C485" s="2" t="s">
        <v>1428</v>
      </c>
      <c r="D485" s="2" t="s">
        <v>20</v>
      </c>
      <c r="E485" s="2" t="s">
        <v>21</v>
      </c>
      <c r="F485" s="2" t="s">
        <v>15</v>
      </c>
      <c r="G485" s="2" t="s">
        <v>1429</v>
      </c>
      <c r="H485" s="2" t="s">
        <v>394</v>
      </c>
      <c r="I485" s="2" t="str">
        <f>IFERROR(__xludf.DUMMYFUNCTION("GOOGLETRANSLATE(C485,""fr"",""en"")")," Until then I was rather satisfied until the day I needed to replace one of the windows of the hard top of my pick-up, I do not know how she was broken but he asks me more than 470 € Franchise to have me replaced a window which is worth 370 Euro labor inc"&amp;"luded, I am in all risk with all the options and in addition they tell me that this franchise does not even cover stolen objects ... knowing that I 'Use my vehicle for the private and the professional, I am a craftsman ...")</f>
        <v> Until then I was rather satisfied until the day I needed to replace one of the windows of the hard top of my pick-up, I do not know how she was broken but he asks me more than 470 € Franchise to have me replaced a window which is worth 370 Euro labor included, I am in all risk with all the options and in addition they tell me that this franchise does not even cover stolen objects ... knowing that I 'Use my vehicle for the private and the professional, I am a craftsman ...</v>
      </c>
    </row>
    <row r="486" ht="15.75" customHeight="1">
      <c r="A486" s="2">
        <v>5.0</v>
      </c>
      <c r="B486" s="2" t="s">
        <v>1430</v>
      </c>
      <c r="C486" s="2" t="s">
        <v>1431</v>
      </c>
      <c r="D486" s="2" t="s">
        <v>375</v>
      </c>
      <c r="E486" s="2" t="s">
        <v>14</v>
      </c>
      <c r="F486" s="2" t="s">
        <v>15</v>
      </c>
      <c r="G486" s="2" t="s">
        <v>1432</v>
      </c>
      <c r="H486" s="2" t="s">
        <v>37</v>
      </c>
      <c r="I486" s="2" t="str">
        <f>IFERROR(__xludf.DUMMYFUNCTION("GOOGLETRANSLATE(C486,""fr"",""en"")"),"Mutual of my employer, I took the additional option and I do not regret at all, the excess fees are well taken care of for specialists and hospitalizations.
Telephone reception always kind and very helpful.")</f>
        <v>Mutual of my employer, I took the additional option and I do not regret at all, the excess fees are well taken care of for specialists and hospitalizations.
Telephone reception always kind and very helpful.</v>
      </c>
    </row>
    <row r="487" ht="15.75" customHeight="1">
      <c r="A487" s="2">
        <v>4.0</v>
      </c>
      <c r="B487" s="2" t="s">
        <v>1433</v>
      </c>
      <c r="C487" s="2" t="s">
        <v>1434</v>
      </c>
      <c r="D487" s="2" t="s">
        <v>64</v>
      </c>
      <c r="E487" s="2" t="s">
        <v>21</v>
      </c>
      <c r="F487" s="2" t="s">
        <v>15</v>
      </c>
      <c r="G487" s="2" t="s">
        <v>1435</v>
      </c>
      <c r="H487" s="2" t="s">
        <v>101</v>
      </c>
      <c r="I487" s="2" t="str">
        <f>IFERROR(__xludf.DUMMYFUNCTION("GOOGLETRANSLATE(C487,""fr"",""en"")"),"Impeccable following a disaster. The whole left side of my car was stamped and the Olivier Insurance took care of me quickly.")</f>
        <v>Impeccable following a disaster. The whole left side of my car was stamped and the Olivier Insurance took care of me quickly.</v>
      </c>
    </row>
    <row r="488" ht="15.75" customHeight="1">
      <c r="A488" s="2">
        <v>5.0</v>
      </c>
      <c r="B488" s="2" t="s">
        <v>1436</v>
      </c>
      <c r="C488" s="2" t="s">
        <v>1437</v>
      </c>
      <c r="D488" s="2" t="s">
        <v>20</v>
      </c>
      <c r="E488" s="2" t="s">
        <v>21</v>
      </c>
      <c r="F488" s="2" t="s">
        <v>15</v>
      </c>
      <c r="G488" s="2" t="s">
        <v>1438</v>
      </c>
      <c r="H488" s="2" t="s">
        <v>23</v>
      </c>
      <c r="I488" s="2" t="str">
        <f>IFERROR(__xludf.DUMMYFUNCTION("GOOGLETRANSLATE(C488,""fr"",""en"")"),"Very effective and cost for any information and information is very clear.
Several solutions are offered when the customer asks questions")</f>
        <v>Very effective and cost for any information and information is very clear.
Several solutions are offered when the customer asks questions</v>
      </c>
    </row>
    <row r="489" ht="15.75" customHeight="1">
      <c r="A489" s="2">
        <v>1.0</v>
      </c>
      <c r="B489" s="2" t="s">
        <v>1439</v>
      </c>
      <c r="C489" s="2" t="s">
        <v>1440</v>
      </c>
      <c r="D489" s="2" t="s">
        <v>142</v>
      </c>
      <c r="E489" s="2" t="s">
        <v>207</v>
      </c>
      <c r="F489" s="2" t="s">
        <v>15</v>
      </c>
      <c r="G489" s="2" t="s">
        <v>1441</v>
      </c>
      <c r="H489" s="2" t="s">
        <v>428</v>
      </c>
      <c r="I489" s="2" t="str">
        <f>IFERROR(__xludf.DUMMYFUNCTION("GOOGLETRANSLATE(C489,""fr"",""en"")"),"In an indescribable nerves in the face of so much incompetence, indifference and arrogance. Despite a friendly and pragmatic manager yesterday, and some in the previous days but in vain, still wandered for months without monitoring or support. Immeasurabl"&amp;"e loss of time and energy, and I still have to resume everything to make a complaint before the mediation service?! The key to their success probably: to discourage people who no longer have the energy to fight.")</f>
        <v>In an indescribable nerves in the face of so much incompetence, indifference and arrogance. Despite a friendly and pragmatic manager yesterday, and some in the previous days but in vain, still wandered for months without monitoring or support. Immeasurable loss of time and energy, and I still have to resume everything to make a complaint before the mediation service?! The key to their success probably: to discourage people who no longer have the energy to fight.</v>
      </c>
    </row>
    <row r="490" ht="15.75" customHeight="1">
      <c r="A490" s="2">
        <v>1.0</v>
      </c>
      <c r="B490" s="2" t="s">
        <v>1442</v>
      </c>
      <c r="C490" s="2" t="s">
        <v>1443</v>
      </c>
      <c r="D490" s="2" t="s">
        <v>64</v>
      </c>
      <c r="E490" s="2" t="s">
        <v>21</v>
      </c>
      <c r="F490" s="2" t="s">
        <v>15</v>
      </c>
      <c r="G490" s="2" t="s">
        <v>882</v>
      </c>
      <c r="H490" s="2" t="s">
        <v>178</v>
      </c>
      <c r="I490" s="2" t="str">
        <f>IFERROR(__xludf.DUMMYFUNCTION("GOOGLETRANSLATE(C490,""fr"",""en"")"),"I subscribed to the Olivier Insurance a year ago for its attractive price. A year later he increases me my contributions which go from 37 euros to 60 euros per month !!!!!!! Knowing that I had no claim! And that my car is insured at the third party with o"&amp;"ption broken ice.
Make them.")</f>
        <v>I subscribed to the Olivier Insurance a year ago for its attractive price. A year later he increases me my contributions which go from 37 euros to 60 euros per month !!!!!!! Knowing that I had no claim! And that my car is insured at the third party with option broken ice.
Make them.</v>
      </c>
    </row>
    <row r="491" ht="15.75" customHeight="1">
      <c r="A491" s="2">
        <v>5.0</v>
      </c>
      <c r="B491" s="2" t="s">
        <v>1444</v>
      </c>
      <c r="C491" s="2" t="s">
        <v>1445</v>
      </c>
      <c r="D491" s="2" t="s">
        <v>20</v>
      </c>
      <c r="E491" s="2" t="s">
        <v>21</v>
      </c>
      <c r="F491" s="2" t="s">
        <v>15</v>
      </c>
      <c r="G491" s="2" t="s">
        <v>1446</v>
      </c>
      <c r="H491" s="2" t="s">
        <v>23</v>
      </c>
      <c r="I491" s="2" t="str">
        <f>IFERROR(__xludf.DUMMYFUNCTION("GOOGLETRANSLATE(C491,""fr"",""en"")"),"Simple quick and clear quote. Competitive prices except for franchises but I am satisfied with the offer offered for my vehicle by Direct Assurances Avanssur.")</f>
        <v>Simple quick and clear quote. Competitive prices except for franchises but I am satisfied with the offer offered for my vehicle by Direct Assurances Avanssur.</v>
      </c>
    </row>
    <row r="492" ht="15.75" customHeight="1">
      <c r="A492" s="2">
        <v>1.0</v>
      </c>
      <c r="B492" s="2" t="s">
        <v>1447</v>
      </c>
      <c r="C492" s="2" t="s">
        <v>1448</v>
      </c>
      <c r="D492" s="2" t="s">
        <v>277</v>
      </c>
      <c r="E492" s="2" t="s">
        <v>21</v>
      </c>
      <c r="F492" s="2" t="s">
        <v>15</v>
      </c>
      <c r="G492" s="2" t="s">
        <v>1449</v>
      </c>
      <c r="H492" s="2" t="s">
        <v>362</v>
      </c>
      <c r="I492" s="2" t="str">
        <f>IFERROR(__xludf.DUMMYFUNCTION("GOOGLETRANSLATE(C492,""fr"",""en"")"),"Driven after 13 years of car and motorcycle insurance ... cause 2 non -responsible claims (while I was parked and not in the vehicle) in 2 years!")</f>
        <v>Driven after 13 years of car and motorcycle insurance ... cause 2 non -responsible claims (while I was parked and not in the vehicle) in 2 years!</v>
      </c>
    </row>
    <row r="493" ht="15.75" customHeight="1">
      <c r="A493" s="2">
        <v>3.0</v>
      </c>
      <c r="B493" s="2" t="s">
        <v>1450</v>
      </c>
      <c r="C493" s="2" t="s">
        <v>1451</v>
      </c>
      <c r="D493" s="2" t="s">
        <v>68</v>
      </c>
      <c r="E493" s="2" t="s">
        <v>14</v>
      </c>
      <c r="F493" s="2" t="s">
        <v>15</v>
      </c>
      <c r="G493" s="2" t="s">
        <v>765</v>
      </c>
      <c r="H493" s="2" t="s">
        <v>23</v>
      </c>
      <c r="I493" s="2" t="str">
        <f>IFERROR(__xludf.DUMMYFUNCTION("GOOGLETRANSLATE(C493,""fr"",""en"")"),"Call this day for a request for hospital care, after a fairly long wait on the phone I had Emeline online, a very efficient and very kind person, she met my expectations and even more. Customer satisfaction is there. Congratulations to Emeline having alre"&amp;"ady worked as a sales assistant and now retirement I appreciate her professionalism. I hope she will be rewarded.")</f>
        <v>Call this day for a request for hospital care, after a fairly long wait on the phone I had Emeline online, a very efficient and very kind person, she met my expectations and even more. Customer satisfaction is there. Congratulations to Emeline having already worked as a sales assistant and now retirement I appreciate her professionalism. I hope she will be rewarded.</v>
      </c>
    </row>
    <row r="494" ht="15.75" customHeight="1">
      <c r="A494" s="2">
        <v>4.0</v>
      </c>
      <c r="B494" s="2" t="s">
        <v>1452</v>
      </c>
      <c r="C494" s="2" t="s">
        <v>1453</v>
      </c>
      <c r="D494" s="2" t="s">
        <v>20</v>
      </c>
      <c r="E494" s="2" t="s">
        <v>21</v>
      </c>
      <c r="F494" s="2" t="s">
        <v>15</v>
      </c>
      <c r="G494" s="2" t="s">
        <v>54</v>
      </c>
      <c r="H494" s="2" t="s">
        <v>23</v>
      </c>
      <c r="I494" s="2" t="str">
        <f>IFERROR(__xludf.DUMMYFUNCTION("GOOGLETRANSLATE(C494,""fr"",""en"")"),"I am satisfied with the service, but having 50% bonus and having no claim since 2019, I find that the increase for the year 2021 is excessive and is not at all justified.")</f>
        <v>I am satisfied with the service, but having 50% bonus and having no claim since 2019, I find that the increase for the year 2021 is excessive and is not at all justified.</v>
      </c>
    </row>
    <row r="495" ht="15.75" customHeight="1">
      <c r="A495" s="2">
        <v>1.0</v>
      </c>
      <c r="B495" s="2" t="s">
        <v>1454</v>
      </c>
      <c r="C495" s="2" t="s">
        <v>1455</v>
      </c>
      <c r="D495" s="2" t="s">
        <v>281</v>
      </c>
      <c r="E495" s="2" t="s">
        <v>207</v>
      </c>
      <c r="F495" s="2" t="s">
        <v>15</v>
      </c>
      <c r="G495" s="2" t="s">
        <v>1456</v>
      </c>
      <c r="H495" s="2" t="s">
        <v>121</v>
      </c>
      <c r="I495" s="2" t="str">
        <f>IFERROR(__xludf.DUMMYFUNCTION("GOOGLETRANSLATE(C495,""fr"",""en"")"),"Allianz with us from A to Z?")</f>
        <v>Allianz with us from A to Z?</v>
      </c>
    </row>
    <row r="496" ht="15.75" customHeight="1">
      <c r="A496" s="2">
        <v>1.0</v>
      </c>
      <c r="B496" s="2" t="s">
        <v>1457</v>
      </c>
      <c r="C496" s="2" t="s">
        <v>1458</v>
      </c>
      <c r="D496" s="2" t="s">
        <v>68</v>
      </c>
      <c r="E496" s="2" t="s">
        <v>14</v>
      </c>
      <c r="F496" s="2" t="s">
        <v>15</v>
      </c>
      <c r="G496" s="2" t="s">
        <v>1459</v>
      </c>
      <c r="H496" s="2" t="s">
        <v>97</v>
      </c>
      <c r="I496" s="2" t="str">
        <f>IFERROR(__xludf.DUMMYFUNCTION("GOOGLETRANSLATE(C496,""fr"",""en"")"),"Caroline
I was shot for an offer and very quickly, I was offered to subscribe. So I found myself with an unnecessary contribution (based on the argument of a deficiency in my health file). Despite this error and forcing, I salute customer service which w"&amp;"as very responsive and pleasant to allow me to terminate quickly (the same day).")</f>
        <v>Caroline
I was shot for an offer and very quickly, I was offered to subscribe. So I found myself with an unnecessary contribution (based on the argument of a deficiency in my health file). Despite this error and forcing, I salute customer service which was very responsive and pleasant to allow me to terminate quickly (the same day).</v>
      </c>
    </row>
    <row r="497" ht="15.75" customHeight="1">
      <c r="A497" s="2">
        <v>1.0</v>
      </c>
      <c r="B497" s="2" t="s">
        <v>1460</v>
      </c>
      <c r="C497" s="2" t="s">
        <v>1461</v>
      </c>
      <c r="D497" s="2" t="s">
        <v>281</v>
      </c>
      <c r="E497" s="2" t="s">
        <v>21</v>
      </c>
      <c r="F497" s="2" t="s">
        <v>15</v>
      </c>
      <c r="G497" s="2" t="s">
        <v>1462</v>
      </c>
      <c r="H497" s="2" t="s">
        <v>17</v>
      </c>
      <c r="I497" s="2" t="str">
        <f>IFERROR(__xludf.DUMMYFUNCTION("GOOGLETRANSLATE(C497,""fr"",""en"")"),"My new insurer terminated my Allianz Auto contract in May 2021, but the company did not take into account the termination and still continues today to take me (October 2021 !!!). My new insurer has revived Allianz several times, too, without success. Avoi"&amp;"d Allianz, their processing times are endless !!")</f>
        <v>My new insurer terminated my Allianz Auto contract in May 2021, but the company did not take into account the termination and still continues today to take me (October 2021 !!!). My new insurer has revived Allianz several times, too, without success. Avoid Allianz, their processing times are endless !!</v>
      </c>
    </row>
    <row r="498" ht="15.75" customHeight="1">
      <c r="A498" s="2">
        <v>4.0</v>
      </c>
      <c r="B498" s="2" t="s">
        <v>1463</v>
      </c>
      <c r="C498" s="2" t="s">
        <v>1464</v>
      </c>
      <c r="D498" s="2" t="s">
        <v>64</v>
      </c>
      <c r="E498" s="2" t="s">
        <v>21</v>
      </c>
      <c r="F498" s="2" t="s">
        <v>15</v>
      </c>
      <c r="G498" s="2" t="s">
        <v>1465</v>
      </c>
      <c r="H498" s="2" t="s">
        <v>81</v>
      </c>
      <c r="I498" s="2" t="str">
        <f>IFERROR(__xludf.DUMMYFUNCTION("GOOGLETRANSLATE(C498,""fr"",""en"")"),"Reasonable price
Effective approach but with bugs on the site.
It works on holidays is great.
What more can you say than bravo to you ...")</f>
        <v>Reasonable price
Effective approach but with bugs on the site.
It works on holidays is great.
What more can you say than bravo to you ...</v>
      </c>
    </row>
    <row r="499" ht="15.75" customHeight="1">
      <c r="A499" s="2">
        <v>5.0</v>
      </c>
      <c r="B499" s="2" t="s">
        <v>1466</v>
      </c>
      <c r="C499" s="2" t="s">
        <v>1467</v>
      </c>
      <c r="D499" s="2" t="s">
        <v>523</v>
      </c>
      <c r="E499" s="2" t="s">
        <v>450</v>
      </c>
      <c r="F499" s="2" t="s">
        <v>15</v>
      </c>
      <c r="G499" s="2" t="s">
        <v>685</v>
      </c>
      <c r="H499" s="2" t="s">
        <v>45</v>
      </c>
      <c r="I499" s="2" t="str">
        <f>IFERROR(__xludf.DUMMYFUNCTION("GOOGLETRANSLATE(C499,""fr"",""en"")"),"I am very happy with the follow-up by the Zen-Up team (support, responsiveness, kindness ...)
The prices charged are competent
Easy -to -use website
")</f>
        <v>I am very happy with the follow-up by the Zen-Up team (support, responsiveness, kindness ...)
The prices charged are competent
Easy -to -use website
</v>
      </c>
    </row>
    <row r="500" ht="15.75" customHeight="1">
      <c r="A500" s="2">
        <v>1.0</v>
      </c>
      <c r="B500" s="2" t="s">
        <v>1468</v>
      </c>
      <c r="C500" s="2" t="s">
        <v>1469</v>
      </c>
      <c r="D500" s="2" t="s">
        <v>351</v>
      </c>
      <c r="E500" s="2" t="s">
        <v>261</v>
      </c>
      <c r="F500" s="2" t="s">
        <v>15</v>
      </c>
      <c r="G500" s="2" t="s">
        <v>1470</v>
      </c>
      <c r="H500" s="2" t="s">
        <v>42</v>
      </c>
      <c r="I500" s="2" t="str">
        <f>IFERROR(__xludf.DUMMYFUNCTION("GOOGLETRANSLATE(C500,""fr"",""en"")"),"Lavable, do not respond, hang out as much as possible to unlock life insurance by asking for documents over the water; Never for my children, never")</f>
        <v>Lavable, do not respond, hang out as much as possible to unlock life insurance by asking for documents over the water; Never for my children, never</v>
      </c>
    </row>
    <row r="501" ht="15.75" customHeight="1">
      <c r="A501" s="2">
        <v>5.0</v>
      </c>
      <c r="B501" s="2" t="s">
        <v>1471</v>
      </c>
      <c r="C501" s="2" t="s">
        <v>1472</v>
      </c>
      <c r="D501" s="2" t="s">
        <v>64</v>
      </c>
      <c r="E501" s="2" t="s">
        <v>21</v>
      </c>
      <c r="F501" s="2" t="s">
        <v>15</v>
      </c>
      <c r="G501" s="2" t="s">
        <v>1013</v>
      </c>
      <c r="H501" s="2" t="s">
        <v>89</v>
      </c>
      <c r="I501" s="2" t="str">
        <f>IFERROR(__xludf.DUMMYFUNCTION("GOOGLETRANSLATE(C501,""fr"",""en"")"),"I am very satisfied with the Oiizier Insurance
Very simple implementation of the contract
Very friendly advised
Very reasonable price I will never change")</f>
        <v>I am very satisfied with the Oiizier Insurance
Very simple implementation of the contract
Very friendly advised
Very reasonable price I will never change</v>
      </c>
    </row>
    <row r="502" ht="15.75" customHeight="1">
      <c r="A502" s="2">
        <v>2.0</v>
      </c>
      <c r="B502" s="2" t="s">
        <v>1473</v>
      </c>
      <c r="C502" s="2" t="s">
        <v>1474</v>
      </c>
      <c r="D502" s="2" t="s">
        <v>351</v>
      </c>
      <c r="E502" s="2" t="s">
        <v>261</v>
      </c>
      <c r="F502" s="2" t="s">
        <v>15</v>
      </c>
      <c r="G502" s="2" t="s">
        <v>1475</v>
      </c>
      <c r="H502" s="2" t="s">
        <v>667</v>
      </c>
      <c r="I502" s="2" t="str">
        <f>IFERROR(__xludf.DUMMYFUNCTION("GOOGLETRANSLATE(C502,""fr"",""en"")"),"Waiting for the payment of the succession of my grandparents, AFER gives no sign of life except to tirelessly ask me for the same documents. This situation has been going on since October 1. Do we have to worry about seeing our money again one day? Not to"&amp;" mention the late penalties ...")</f>
        <v>Waiting for the payment of the succession of my grandparents, AFER gives no sign of life except to tirelessly ask me for the same documents. This situation has been going on since October 1. Do we have to worry about seeing our money again one day? Not to mention the late penalties ...</v>
      </c>
    </row>
    <row r="503" ht="15.75" customHeight="1">
      <c r="A503" s="2">
        <v>1.0</v>
      </c>
      <c r="B503" s="2" t="s">
        <v>1476</v>
      </c>
      <c r="C503" s="2" t="s">
        <v>1477</v>
      </c>
      <c r="D503" s="2" t="s">
        <v>277</v>
      </c>
      <c r="E503" s="2" t="s">
        <v>21</v>
      </c>
      <c r="F503" s="2" t="s">
        <v>15</v>
      </c>
      <c r="G503" s="2" t="s">
        <v>1478</v>
      </c>
      <c r="H503" s="2" t="s">
        <v>237</v>
      </c>
      <c r="I503" s="2" t="str">
        <f>IFERROR(__xludf.DUMMYFUNCTION("GOOGLETRANSLATE(C503,""fr"",""en"")"),"Hello I contacted several times my maaf paraport insurance a non -responsible accident Date on 01/2018 la on and 04/2018, I still await the response of my Maaf insurance after a non -responsible accident of then 01/2018 months no answer always the same so"&amp;"ng we have not received the connection of the two experts,
I moved to see the two experts it's been 4 months since I waited for the answer because my insurance received nothing from you
The response of the two experts that your insurance that drags on"&amp;" us our report if your insurance which reimburses you the repair costs + the costs of the counter expertise because it has changed the report
I contact my insurance the answer we have to wait I find that weird at maaf
Anyway I 4 contrast at I will ter"&amp;"minate more there are 10 friends who I am going to I will tell him changed your maaf insurance with their bup has the tel to withdraw the hhhhhhhhh null customs you are zero
")</f>
        <v>Hello I contacted several times my maaf paraport insurance a non -responsible accident Date on 01/2018 la on and 04/2018, I still await the response of my Maaf insurance after a non -responsible accident of then 01/2018 months no answer always the same song we have not received the connection of the two experts,
I moved to see the two experts it's been 4 months since I waited for the answer because my insurance received nothing from you
The response of the two experts that your insurance that drags on us our report if your insurance which reimburses you the repair costs + the costs of the counter expertise because it has changed the report
I contact my insurance the answer we have to wait I find that weird at maaf
Anyway I 4 contrast at I will terminate more there are 10 friends who I am going to I will tell him changed your maaf insurance with their bup has the tel to withdraw the hhhhhhhhh null customs you are zero
</v>
      </c>
    </row>
    <row r="504" ht="15.75" customHeight="1">
      <c r="A504" s="2">
        <v>5.0</v>
      </c>
      <c r="B504" s="2" t="s">
        <v>1479</v>
      </c>
      <c r="C504" s="2" t="s">
        <v>1480</v>
      </c>
      <c r="D504" s="2" t="s">
        <v>64</v>
      </c>
      <c r="E504" s="2" t="s">
        <v>21</v>
      </c>
      <c r="F504" s="2" t="s">
        <v>15</v>
      </c>
      <c r="G504" s="2" t="s">
        <v>447</v>
      </c>
      <c r="H504" s="2" t="s">
        <v>58</v>
      </c>
      <c r="I504" s="2" t="str">
        <f>IFERROR(__xludf.DUMMYFUNCTION("GOOGLETRANSLATE(C504,""fr"",""en"")"),"I am very satisfied, very quickly supported and the very attractive price unbeatable.
The most important thing is human contact and the availability of advisers.
Thank you")</f>
        <v>I am very satisfied, very quickly supported and the very attractive price unbeatable.
The most important thing is human contact and the availability of advisers.
Thank you</v>
      </c>
    </row>
    <row r="505" ht="15.75" customHeight="1">
      <c r="A505" s="2">
        <v>2.0</v>
      </c>
      <c r="B505" s="2" t="s">
        <v>1481</v>
      </c>
      <c r="C505" s="2" t="s">
        <v>1482</v>
      </c>
      <c r="D505" s="2" t="s">
        <v>13</v>
      </c>
      <c r="E505" s="2" t="s">
        <v>14</v>
      </c>
      <c r="F505" s="2" t="s">
        <v>15</v>
      </c>
      <c r="G505" s="2" t="s">
        <v>934</v>
      </c>
      <c r="H505" s="2" t="s">
        <v>23</v>
      </c>
      <c r="I505" s="2" t="str">
        <f>IFERROR(__xludf.DUMMYFUNCTION("GOOGLETRANSLATE(C505,""fr"",""en"")"),"Santiane, online insurance leader and probably leader of non -compliance with his customers. Received 3 third -party cards paying in 1 month. A request for a quote for a prosthesis sent on 5 on the site and the 12 still not studied. You call, very long wa"&amp;"iting time 25 minutes. Normal, when I had the person, I heard applause and cries of joy (in short the party) and this person did not answer my question but read my reimbursement statement. The answer by email, identical .....
Company to flee quickly, str"&amp;"ongly the end of my contract in order to go and see elsewhere
")</f>
        <v>Santiane, online insurance leader and probably leader of non -compliance with his customers. Received 3 third -party cards paying in 1 month. A request for a quote for a prosthesis sent on 5 on the site and the 12 still not studied. You call, very long waiting time 25 minutes. Normal, when I had the person, I heard applause and cries of joy (in short the party) and this person did not answer my question but read my reimbursement statement. The answer by email, identical .....
Company to flee quickly, strongly the end of my contract in order to go and see elsewhere
</v>
      </c>
    </row>
    <row r="506" ht="15.75" customHeight="1">
      <c r="A506" s="2">
        <v>3.0</v>
      </c>
      <c r="B506" s="2" t="s">
        <v>1483</v>
      </c>
      <c r="C506" s="2" t="s">
        <v>1484</v>
      </c>
      <c r="D506" s="2" t="s">
        <v>206</v>
      </c>
      <c r="E506" s="2" t="s">
        <v>21</v>
      </c>
      <c r="F506" s="2" t="s">
        <v>15</v>
      </c>
      <c r="G506" s="2" t="s">
        <v>1081</v>
      </c>
      <c r="H506" s="2" t="s">
        <v>58</v>
      </c>
      <c r="I506" s="2" t="str">
        <f>IFERROR(__xludf.DUMMYFUNCTION("GOOGLETRANSLATE(C506,""fr"",""en"")"),"Victim of a disaster in my vehicle, I go to the only agency available for a very large city. No one to answer me live. I do a woman at me? Based where? In 3 minutes shows in hand it replies that it is not taken into account in the contract. Move along, th"&amp;"ere's nothing to see! 35 years of membership not even a commercial gesture.")</f>
        <v>Victim of a disaster in my vehicle, I go to the only agency available for a very large city. No one to answer me live. I do a woman at me? Based where? In 3 minutes shows in hand it replies that it is not taken into account in the contract. Move along, there's nothing to see! 35 years of membership not even a commercial gesture.</v>
      </c>
    </row>
    <row r="507" ht="15.75" customHeight="1">
      <c r="A507" s="2">
        <v>4.0</v>
      </c>
      <c r="B507" s="2" t="s">
        <v>1485</v>
      </c>
      <c r="C507" s="2" t="s">
        <v>1486</v>
      </c>
      <c r="D507" s="2" t="s">
        <v>64</v>
      </c>
      <c r="E507" s="2" t="s">
        <v>21</v>
      </c>
      <c r="F507" s="2" t="s">
        <v>15</v>
      </c>
      <c r="G507" s="2" t="s">
        <v>1364</v>
      </c>
      <c r="H507" s="2" t="s">
        <v>139</v>
      </c>
      <c r="I507" s="2" t="str">
        <f>IFERROR(__xludf.DUMMYFUNCTION("GOOGLETRANSLATE(C507,""fr"",""en"")"),"Fairly easy to use service .... even for a retiree !!!
I automatically recommend it to allergic people (or not!) To computer contracts ...")</f>
        <v>Fairly easy to use service .... even for a retiree !!!
I automatically recommend it to allergic people (or not!) To computer contracts ...</v>
      </c>
    </row>
    <row r="508" ht="15.75" customHeight="1">
      <c r="A508" s="2">
        <v>1.0</v>
      </c>
      <c r="B508" s="2" t="s">
        <v>1487</v>
      </c>
      <c r="C508" s="2" t="s">
        <v>1488</v>
      </c>
      <c r="D508" s="2" t="s">
        <v>20</v>
      </c>
      <c r="E508" s="2" t="s">
        <v>21</v>
      </c>
      <c r="F508" s="2" t="s">
        <v>15</v>
      </c>
      <c r="G508" s="2" t="s">
        <v>1489</v>
      </c>
      <c r="H508" s="2" t="s">
        <v>58</v>
      </c>
      <c r="I508" s="2" t="str">
        <f>IFERROR(__xludf.DUMMYFUNCTION("GOOGLETRANSLATE(C508,""fr"",""en"")"),"It's huge € 712 I really am shocked by this price but unfortunately I have to have car insurance. to be able to drive freely")</f>
        <v>It's huge € 712 I really am shocked by this price but unfortunately I have to have car insurance. to be able to drive freely</v>
      </c>
    </row>
    <row r="509" ht="15.75" customHeight="1">
      <c r="A509" s="2">
        <v>1.0</v>
      </c>
      <c r="B509" s="2" t="s">
        <v>1490</v>
      </c>
      <c r="C509" s="2" t="s">
        <v>1491</v>
      </c>
      <c r="D509" s="2" t="s">
        <v>563</v>
      </c>
      <c r="E509" s="2" t="s">
        <v>207</v>
      </c>
      <c r="F509" s="2" t="s">
        <v>15</v>
      </c>
      <c r="G509" s="2" t="s">
        <v>1492</v>
      </c>
      <c r="H509" s="2" t="s">
        <v>576</v>
      </c>
      <c r="I509" s="2" t="str">
        <f>IFERROR(__xludf.DUMMYFUNCTION("GOOGLETRANSLATE(C509,""fr"",""en"")"),"Ensured as an optimal home warranty with garden and swimming pool packs: 120 euros per month. On February 3, 2 trees fell on the property of my neighbor. No care to date 7 months have passed. A real foutage of Guele. The company and company expert were su"&amp;"mmoned to RAR with legal deadlines for contradictory expertise. No one showed up. My lawyer's expert was alone. I am more than properly insured. I'll complain. You have to flee ...")</f>
        <v>Ensured as an optimal home warranty with garden and swimming pool packs: 120 euros per month. On February 3, 2 trees fell on the property of my neighbor. No care to date 7 months have passed. A real foutage of Guele. The company and company expert were summoned to RAR with legal deadlines for contradictory expertise. No one showed up. My lawyer's expert was alone. I am more than properly insured. I'll complain. You have to flee ...</v>
      </c>
    </row>
    <row r="510" ht="15.75" customHeight="1">
      <c r="A510" s="2">
        <v>1.0</v>
      </c>
      <c r="B510" s="2" t="s">
        <v>1493</v>
      </c>
      <c r="C510" s="2" t="s">
        <v>1494</v>
      </c>
      <c r="D510" s="2" t="s">
        <v>68</v>
      </c>
      <c r="E510" s="2" t="s">
        <v>14</v>
      </c>
      <c r="F510" s="2" t="s">
        <v>15</v>
      </c>
      <c r="G510" s="2" t="s">
        <v>298</v>
      </c>
      <c r="H510" s="2" t="s">
        <v>58</v>
      </c>
      <c r="I510" s="2" t="str">
        <f>IFERROR(__xludf.DUMMYFUNCTION("GOOGLETRANSLATE(C510,""fr"",""en"")"),"No consideration for the member, the money above all whatever the way to get there. Mutual health to flee.
We knew the bad faith of the insurance, you will know the carrot at the insured and when you call, these ""telephone advisers"" hang you in the ear"&amp;".
I want to give a name so much, come on, Madame M .... with her facade laugh.
Anyway, negative and so on ...
 ")</f>
        <v>No consideration for the member, the money above all whatever the way to get there. Mutual health to flee.
We knew the bad faith of the insurance, you will know the carrot at the insured and when you call, these "telephone advisers" hang you in the ear.
I want to give a name so much, come on, Madame M .... with her facade laugh.
Anyway, negative and so on ...
 </v>
      </c>
    </row>
    <row r="511" ht="15.75" customHeight="1">
      <c r="A511" s="2">
        <v>5.0</v>
      </c>
      <c r="B511" s="2" t="s">
        <v>1495</v>
      </c>
      <c r="C511" s="2" t="s">
        <v>1496</v>
      </c>
      <c r="D511" s="2" t="s">
        <v>375</v>
      </c>
      <c r="E511" s="2" t="s">
        <v>14</v>
      </c>
      <c r="F511" s="2" t="s">
        <v>15</v>
      </c>
      <c r="G511" s="2" t="s">
        <v>1497</v>
      </c>
      <c r="H511" s="2" t="s">
        <v>45</v>
      </c>
      <c r="I511" s="2" t="str">
        <f>IFERROR(__xludf.DUMMYFUNCTION("GOOGLETRANSLATE(C511,""fr"",""en"")"),"I am fully satisfied with
Services offered by the mutual generation. My son broke a crossed ligament and I joined an advisor to be informed of the procedures for reimbursement of certain costs. I had an advisor online, Jeremy, empathetic who perfectly in"&amp;"formed me about my rights and the
Steps to follow. Following our call we corresponded by email to the administrative follow -up of my son. This same advisor, to facilitate the task offered to send him the requested documents directly and took care of sen"&amp;"ding them directly to the service concerned. Very effective, listening and responsive, it allowed me to be reimbursed is eight days.
BCP of listening, availability and help have been brought to me. I can only advise this mutual!")</f>
        <v>I am fully satisfied with
Services offered by the mutual generation. My son broke a crossed ligament and I joined an advisor to be informed of the procedures for reimbursement of certain costs. I had an advisor online, Jeremy, empathetic who perfectly informed me about my rights and the
Steps to follow. Following our call we corresponded by email to the administrative follow -up of my son. This same advisor, to facilitate the task offered to send him the requested documents directly and took care of sending them directly to the service concerned. Very effective, listening and responsive, it allowed me to be reimbursed is eight days.
BCP of listening, availability and help have been brought to me. I can only advise this mutual!</v>
      </c>
    </row>
    <row r="512" ht="15.75" customHeight="1">
      <c r="A512" s="2">
        <v>1.0</v>
      </c>
      <c r="B512" s="2" t="s">
        <v>1498</v>
      </c>
      <c r="C512" s="2" t="s">
        <v>1499</v>
      </c>
      <c r="D512" s="2" t="s">
        <v>20</v>
      </c>
      <c r="E512" s="2" t="s">
        <v>21</v>
      </c>
      <c r="F512" s="2" t="s">
        <v>15</v>
      </c>
      <c r="G512" s="2" t="s">
        <v>1500</v>
      </c>
      <c r="H512" s="2" t="s">
        <v>237</v>
      </c>
      <c r="I512" s="2" t="str">
        <f>IFERROR(__xludf.DUMMYFUNCTION("GOOGLETRANSLATE(C512,""fr"",""en"")"),"When changing your bonus, your insurance rate should be cheaper. But these clever, increases the risk premium concerning your home which makes you stay at the same price! My example: 0.90 or 10% I paid 91.55 € all risk and after the modification of my bon"&amp;"us I am 0.85 or 15% and I pay € 91.52! In return they increased the ""risk of housing"". For information always the same address! I recommend direct insurance")</f>
        <v>When changing your bonus, your insurance rate should be cheaper. But these clever, increases the risk premium concerning your home which makes you stay at the same price! My example: 0.90 or 10% I paid 91.55 € all risk and after the modification of my bonus I am 0.85 or 15% and I pay € 91.52! In return they increased the "risk of housing". For information always the same address! I recommend direct insurance</v>
      </c>
    </row>
    <row r="513" ht="15.75" customHeight="1">
      <c r="A513" s="2">
        <v>1.0</v>
      </c>
      <c r="B513" s="2" t="s">
        <v>1501</v>
      </c>
      <c r="C513" s="2" t="s">
        <v>1502</v>
      </c>
      <c r="D513" s="2" t="s">
        <v>709</v>
      </c>
      <c r="E513" s="2" t="s">
        <v>14</v>
      </c>
      <c r="F513" s="2" t="s">
        <v>15</v>
      </c>
      <c r="G513" s="2" t="s">
        <v>922</v>
      </c>
      <c r="H513" s="2" t="s">
        <v>394</v>
      </c>
      <c r="I513" s="2" t="str">
        <f>IFERROR(__xludf.DUMMYFUNCTION("GOOGLETRANSLATE(C513,""fr"",""en"")"),"Than problems from start to finish. Price have nothing to do with the quote. Long processing delays, by paying more than 50 euros per month for a single person under 30 despite this still in charge even in the MGEN network.
In short, there is a vast sm"&amp;"oking this mutual I prefer to return to my bank for the mutual.")</f>
        <v>Than problems from start to finish. Price have nothing to do with the quote. Long processing delays, by paying more than 50 euros per month for a single person under 30 despite this still in charge even in the MGEN network.
In short, there is a vast smoking this mutual I prefer to return to my bank for the mutual.</v>
      </c>
    </row>
    <row r="514" ht="15.75" customHeight="1">
      <c r="A514" s="2">
        <v>4.0</v>
      </c>
      <c r="B514" s="2" t="s">
        <v>1503</v>
      </c>
      <c r="C514" s="2" t="s">
        <v>1504</v>
      </c>
      <c r="D514" s="2" t="s">
        <v>20</v>
      </c>
      <c r="E514" s="2" t="s">
        <v>21</v>
      </c>
      <c r="F514" s="2" t="s">
        <v>15</v>
      </c>
      <c r="G514" s="2" t="s">
        <v>1505</v>
      </c>
      <c r="H514" s="2" t="s">
        <v>58</v>
      </c>
      <c r="I514" s="2" t="str">
        <f>IFERROR(__xludf.DUMMYFUNCTION("GOOGLETRANSLATE(C514,""fr"",""en"")"),"I am satisfied with the pleasant and professional interlocutor service on the phone, very responsive very good value for money, Lia Drive Box very practical for young drivers")</f>
        <v>I am satisfied with the pleasant and professional interlocutor service on the phone, very responsive very good value for money, Lia Drive Box very practical for young drivers</v>
      </c>
    </row>
    <row r="515" ht="15.75" customHeight="1">
      <c r="A515" s="2">
        <v>1.0</v>
      </c>
      <c r="B515" s="2" t="s">
        <v>1506</v>
      </c>
      <c r="C515" s="2" t="s">
        <v>1507</v>
      </c>
      <c r="D515" s="2" t="s">
        <v>20</v>
      </c>
      <c r="E515" s="2" t="s">
        <v>21</v>
      </c>
      <c r="F515" s="2" t="s">
        <v>15</v>
      </c>
      <c r="G515" s="2" t="s">
        <v>741</v>
      </c>
      <c r="H515" s="2" t="s">
        <v>742</v>
      </c>
      <c r="I515" s="2" t="str">
        <f>IFERROR(__xludf.DUMMYFUNCTION("GOOGLETRANSLATE(C515,""fr"",""en"")"),"Unreachable on the phone. Have defrauded 59 €, on a refund of € 870. I was at home since 2001, without accident, I had 3 accidents: 01/2015, 07/2015 and 10/2016 all not responsible. I was a bus driver in Melle, for 30 years without accident they terminate"&amp;"d me, with a current bonus of 50%. The advertising of € 259 is false, I paid with them per year € 648. I found a lot of insurers between 109 to 640 €.")</f>
        <v>Unreachable on the phone. Have defrauded 59 €, on a refund of € 870. I was at home since 2001, without accident, I had 3 accidents: 01/2015, 07/2015 and 10/2016 all not responsible. I was a bus driver in Melle, for 30 years without accident they terminated me, with a current bonus of 50%. The advertising of € 259 is false, I paid with them per year € 648. I found a lot of insurers between 109 to 640 €.</v>
      </c>
    </row>
    <row r="516" ht="15.75" customHeight="1">
      <c r="A516" s="2">
        <v>3.0</v>
      </c>
      <c r="B516" s="2" t="s">
        <v>1508</v>
      </c>
      <c r="C516" s="2" t="s">
        <v>1509</v>
      </c>
      <c r="D516" s="2" t="s">
        <v>95</v>
      </c>
      <c r="E516" s="2" t="s">
        <v>207</v>
      </c>
      <c r="F516" s="2" t="s">
        <v>15</v>
      </c>
      <c r="G516" s="2" t="s">
        <v>1510</v>
      </c>
      <c r="H516" s="2" t="s">
        <v>694</v>
      </c>
      <c r="I516" s="2" t="str">
        <f>IFERROR(__xludf.DUMMYFUNCTION("GOOGLETRANSLATE(C516,""fr"",""en"")"),"Insured for over 5 years, I have moved in a few days. So I asked for a quote for a home contract that I wish to take out on 19/10. I try to do so via the site from 10/28: I am faced with a bug ""oops .. unavailable page"". I try to contact the hotline, al"&amp;"ways saturated. I send a message on their site on 31/10, no answer. On 2/11, calls sound in a vacuum ... I must therefore shift my signature of act of purchase scheduled for days. And I will take another insurance. Incredible that this company does nothin"&amp;"g to keep its customers.")</f>
        <v>Insured for over 5 years, I have moved in a few days. So I asked for a quote for a home contract that I wish to take out on 19/10. I try to do so via the site from 10/28: I am faced with a bug "oops .. unavailable page". I try to contact the hotline, always saturated. I send a message on their site on 31/10, no answer. On 2/11, calls sound in a vacuum ... I must therefore shift my signature of act of purchase scheduled for days. And I will take another insurance. Incredible that this company does nothing to keep its customers.</v>
      </c>
    </row>
    <row r="517" ht="15.75" customHeight="1">
      <c r="A517" s="2">
        <v>2.0</v>
      </c>
      <c r="B517" s="2" t="s">
        <v>1511</v>
      </c>
      <c r="C517" s="2" t="s">
        <v>1512</v>
      </c>
      <c r="D517" s="2" t="s">
        <v>281</v>
      </c>
      <c r="E517" s="2" t="s">
        <v>261</v>
      </c>
      <c r="F517" s="2" t="s">
        <v>15</v>
      </c>
      <c r="G517" s="2" t="s">
        <v>1513</v>
      </c>
      <c r="H517" s="2" t="s">
        <v>1297</v>
      </c>
      <c r="I517" s="2" t="str">
        <f>IFERROR(__xludf.DUMMYFUNCTION("GOOGLETRANSLATE(C517,""fr"",""en"")"),"Life insurance: no customer follow-up and if it gives its opinion, we do not answer, we do not answer, we still do not answer ...")</f>
        <v>Life insurance: no customer follow-up and if it gives its opinion, we do not answer, we do not answer, we still do not answer ...</v>
      </c>
    </row>
    <row r="518" ht="15.75" customHeight="1">
      <c r="A518" s="2">
        <v>2.0</v>
      </c>
      <c r="B518" s="2" t="s">
        <v>1514</v>
      </c>
      <c r="C518" s="2" t="s">
        <v>1515</v>
      </c>
      <c r="D518" s="2" t="s">
        <v>20</v>
      </c>
      <c r="E518" s="2" t="s">
        <v>21</v>
      </c>
      <c r="F518" s="2" t="s">
        <v>15</v>
      </c>
      <c r="G518" s="2" t="s">
        <v>70</v>
      </c>
      <c r="H518" s="2" t="s">
        <v>70</v>
      </c>
      <c r="I518" s="2" t="str">
        <f>IFERROR(__xludf.DUMMYFUNCTION("GOOGLETRANSLATE(C518,""fr"",""en"")"),"No monitoring of claims. I am told that I am reminded and then nothing.
My disaster has simply disappeared from the web interface and on the phone it is said to be in progress and those for 1 year.")</f>
        <v>No monitoring of claims. I am told that I am reminded and then nothing.
My disaster has simply disappeared from the web interface and on the phone it is said to be in progress and those for 1 year.</v>
      </c>
    </row>
    <row r="519" ht="15.75" customHeight="1">
      <c r="A519" s="2">
        <v>1.0</v>
      </c>
      <c r="B519" s="2" t="s">
        <v>1516</v>
      </c>
      <c r="C519" s="2" t="s">
        <v>1517</v>
      </c>
      <c r="D519" s="2" t="s">
        <v>281</v>
      </c>
      <c r="E519" s="2" t="s">
        <v>21</v>
      </c>
      <c r="F519" s="2" t="s">
        <v>15</v>
      </c>
      <c r="G519" s="2" t="s">
        <v>1518</v>
      </c>
      <c r="H519" s="2" t="s">
        <v>742</v>
      </c>
      <c r="I519" s="2" t="str">
        <f>IFERROR(__xludf.DUMMYFUNCTION("GOOGLETRANSLATE(C519,""fr"",""en"")"),"Increase by 10% without explanation for a vehicle who watched and for which there has never been a fee from the insurer")</f>
        <v>Increase by 10% without explanation for a vehicle who watched and for which there has never been a fee from the insurer</v>
      </c>
    </row>
    <row r="520" ht="15.75" customHeight="1">
      <c r="A520" s="2">
        <v>5.0</v>
      </c>
      <c r="B520" s="2" t="s">
        <v>1519</v>
      </c>
      <c r="C520" s="2" t="s">
        <v>1520</v>
      </c>
      <c r="D520" s="2" t="s">
        <v>64</v>
      </c>
      <c r="E520" s="2" t="s">
        <v>21</v>
      </c>
      <c r="F520" s="2" t="s">
        <v>15</v>
      </c>
      <c r="G520" s="2" t="s">
        <v>1521</v>
      </c>
      <c r="H520" s="2" t="s">
        <v>45</v>
      </c>
      <c r="I520" s="2" t="str">
        <f>IFERROR(__xludf.DUMMYFUNCTION("GOOGLETRANSLATE(C520,""fr"",""en"")"),"Very satisfied, simple and fast and the very attractive prices I recommend the insurance the olive tree, the advisor very attentive and offers very interesting solutions adapted to my situation thank you")</f>
        <v>Very satisfied, simple and fast and the very attractive prices I recommend the insurance the olive tree, the advisor very attentive and offers very interesting solutions adapted to my situation thank you</v>
      </c>
    </row>
    <row r="521" ht="15.75" customHeight="1">
      <c r="A521" s="2">
        <v>3.0</v>
      </c>
      <c r="B521" s="2" t="s">
        <v>1522</v>
      </c>
      <c r="C521" s="2" t="s">
        <v>1523</v>
      </c>
      <c r="D521" s="2" t="s">
        <v>256</v>
      </c>
      <c r="E521" s="2" t="s">
        <v>207</v>
      </c>
      <c r="F521" s="2" t="s">
        <v>15</v>
      </c>
      <c r="G521" s="2" t="s">
        <v>614</v>
      </c>
      <c r="H521" s="2" t="s">
        <v>182</v>
      </c>
      <c r="I521" s="2" t="str">
        <f>IFERROR(__xludf.DUMMYFUNCTION("GOOGLETRANSLATE(C521,""fr"",""en"")"),"Satisfied following a small water damage where my new parquet was changed. They trusted me, and I was reimbursed from the disassembly of the glidded prosecution and installation of a new parquet, without expert displacement. Than in photos. Immediate resp"&amp;"onsiveness because I had an advance of costs on my account and then the balance of invoice presentation! So I am very satisfied, but I blame the cost of this very expensive insurance!")</f>
        <v>Satisfied following a small water damage where my new parquet was changed. They trusted me, and I was reimbursed from the disassembly of the glidded prosecution and installation of a new parquet, without expert displacement. Than in photos. Immediate responsiveness because I had an advance of costs on my account and then the balance of invoice presentation! So I am very satisfied, but I blame the cost of this very expensive insurance!</v>
      </c>
    </row>
    <row r="522" ht="15.75" customHeight="1">
      <c r="A522" s="2">
        <v>1.0</v>
      </c>
      <c r="B522" s="2" t="s">
        <v>1524</v>
      </c>
      <c r="C522" s="2" t="s">
        <v>1525</v>
      </c>
      <c r="D522" s="2" t="s">
        <v>828</v>
      </c>
      <c r="E522" s="2" t="s">
        <v>207</v>
      </c>
      <c r="F522" s="2" t="s">
        <v>15</v>
      </c>
      <c r="G522" s="2" t="s">
        <v>1526</v>
      </c>
      <c r="H522" s="2" t="s">
        <v>97</v>
      </c>
      <c r="I522" s="2" t="str">
        <f>IFERROR(__xludf.DUMMYFUNCTION("GOOGLETRANSLATE(C522,""fr"",""en"")"),"To avoid and to denounce; Delyal practices or Illegal")</f>
        <v>To avoid and to denounce; Delyal practices or Illegal</v>
      </c>
    </row>
    <row r="523" ht="15.75" customHeight="1">
      <c r="A523" s="2">
        <v>5.0</v>
      </c>
      <c r="B523" s="2" t="s">
        <v>1527</v>
      </c>
      <c r="C523" s="2" t="s">
        <v>1528</v>
      </c>
      <c r="D523" s="2" t="s">
        <v>20</v>
      </c>
      <c r="E523" s="2" t="s">
        <v>21</v>
      </c>
      <c r="F523" s="2" t="s">
        <v>15</v>
      </c>
      <c r="G523" s="2" t="s">
        <v>706</v>
      </c>
      <c r="H523" s="2" t="s">
        <v>139</v>
      </c>
      <c r="I523" s="2" t="str">
        <f>IFERROR(__xludf.DUMMYFUNCTION("GOOGLETRANSLATE(C523,""fr"",""en"")"),"At first the proposed prices would suit me, I received the proposals that I will examine them very scrupulously, because I have not always heard praise on online organizations")</f>
        <v>At first the proposed prices would suit me, I received the proposals that I will examine them very scrupulously, because I have not always heard praise on online organizations</v>
      </c>
    </row>
    <row r="524" ht="15.75" customHeight="1">
      <c r="A524" s="2">
        <v>1.0</v>
      </c>
      <c r="B524" s="2" t="s">
        <v>1529</v>
      </c>
      <c r="C524" s="2" t="s">
        <v>1530</v>
      </c>
      <c r="D524" s="2" t="s">
        <v>281</v>
      </c>
      <c r="E524" s="2" t="s">
        <v>207</v>
      </c>
      <c r="F524" s="2" t="s">
        <v>15</v>
      </c>
      <c r="G524" s="2" t="s">
        <v>1531</v>
      </c>
      <c r="H524" s="2" t="s">
        <v>742</v>
      </c>
      <c r="I524" s="2" t="str">
        <f>IFERROR(__xludf.DUMMYFUNCTION("GOOGLETRANSLATE(C524,""fr"",""en"")"),"Mediocre customer service. When there is a pb, very difficult to treat it")</f>
        <v>Mediocre customer service. When there is a pb, very difficult to treat it</v>
      </c>
    </row>
    <row r="525" ht="15.75" customHeight="1">
      <c r="A525" s="2">
        <v>5.0</v>
      </c>
      <c r="B525" s="2" t="s">
        <v>1532</v>
      </c>
      <c r="C525" s="2" t="s">
        <v>1533</v>
      </c>
      <c r="D525" s="2" t="s">
        <v>20</v>
      </c>
      <c r="E525" s="2" t="s">
        <v>21</v>
      </c>
      <c r="F525" s="2" t="s">
        <v>15</v>
      </c>
      <c r="G525" s="2" t="s">
        <v>1534</v>
      </c>
      <c r="H525" s="2" t="s">
        <v>89</v>
      </c>
      <c r="I525" s="2" t="str">
        <f>IFERROR(__xludf.DUMMYFUNCTION("GOOGLETRANSLATE(C525,""fr"",""en"")"),"Very satisfied with this insurance I recommend it to all the people I meet as well as my friends my family colleague work and those around me")</f>
        <v>Very satisfied with this insurance I recommend it to all the people I meet as well as my friends my family colleague work and those around me</v>
      </c>
    </row>
    <row r="526" ht="15.75" customHeight="1">
      <c r="A526" s="2">
        <v>4.0</v>
      </c>
      <c r="B526" s="2" t="s">
        <v>1535</v>
      </c>
      <c r="C526" s="2" t="s">
        <v>1536</v>
      </c>
      <c r="D526" s="2" t="s">
        <v>20</v>
      </c>
      <c r="E526" s="2" t="s">
        <v>21</v>
      </c>
      <c r="F526" s="2" t="s">
        <v>15</v>
      </c>
      <c r="G526" s="2" t="s">
        <v>582</v>
      </c>
      <c r="H526" s="2" t="s">
        <v>45</v>
      </c>
      <c r="I526" s="2" t="str">
        <f>IFERROR(__xludf.DUMMYFUNCTION("GOOGLETRANSLATE(C526,""fr"",""en"")"),"I am satisfied with the site for the service we will see in due time :)
Direct Insurance was advised to me by family who are insured with them as well.")</f>
        <v>I am satisfied with the site for the service we will see in due time :)
Direct Insurance was advised to me by family who are insured with them as well.</v>
      </c>
    </row>
    <row r="527" ht="15.75" customHeight="1">
      <c r="A527" s="2">
        <v>4.0</v>
      </c>
      <c r="B527" s="2" t="s">
        <v>1537</v>
      </c>
      <c r="C527" s="2" t="s">
        <v>1538</v>
      </c>
      <c r="D527" s="2" t="s">
        <v>78</v>
      </c>
      <c r="E527" s="2" t="s">
        <v>79</v>
      </c>
      <c r="F527" s="2" t="s">
        <v>15</v>
      </c>
      <c r="G527" s="2" t="s">
        <v>404</v>
      </c>
      <c r="H527" s="2" t="s">
        <v>178</v>
      </c>
      <c r="I527" s="2" t="str">
        <f>IFERROR(__xludf.DUMMYFUNCTION("GOOGLETRANSLATE(C527,""fr"",""en"")"),"I am satisfied with the price and service for my motorcycle insurance of my Suzuki750 of 1991. Fast and not complicated to fill out via the internet thank you good day")</f>
        <v>I am satisfied with the price and service for my motorcycle insurance of my Suzuki750 of 1991. Fast and not complicated to fill out via the internet thank you good day</v>
      </c>
    </row>
    <row r="528" ht="15.75" customHeight="1">
      <c r="A528" s="2">
        <v>5.0</v>
      </c>
      <c r="B528" s="2" t="s">
        <v>1539</v>
      </c>
      <c r="C528" s="2" t="s">
        <v>1540</v>
      </c>
      <c r="D528" s="2" t="s">
        <v>64</v>
      </c>
      <c r="E528" s="2" t="s">
        <v>21</v>
      </c>
      <c r="F528" s="2" t="s">
        <v>15</v>
      </c>
      <c r="G528" s="2" t="s">
        <v>1541</v>
      </c>
      <c r="H528" s="2" t="s">
        <v>17</v>
      </c>
      <c r="I528" s="2" t="str">
        <f>IFERROR(__xludf.DUMMYFUNCTION("GOOGLETRANSLATE(C528,""fr"",""en"")"),"Optimal service quality. Attachment price!
Good advice on the phone and strong friendly!
Knows his work well and knows how to guide the customer effectively!")</f>
        <v>Optimal service quality. Attachment price!
Good advice on the phone and strong friendly!
Knows his work well and knows how to guide the customer effectively!</v>
      </c>
    </row>
    <row r="529" ht="15.75" customHeight="1">
      <c r="A529" s="2">
        <v>1.0</v>
      </c>
      <c r="B529" s="2" t="s">
        <v>1542</v>
      </c>
      <c r="C529" s="2" t="s">
        <v>1543</v>
      </c>
      <c r="D529" s="2" t="s">
        <v>20</v>
      </c>
      <c r="E529" s="2" t="s">
        <v>21</v>
      </c>
      <c r="F529" s="2" t="s">
        <v>15</v>
      </c>
      <c r="G529" s="2" t="s">
        <v>1544</v>
      </c>
      <c r="H529" s="2" t="s">
        <v>263</v>
      </c>
      <c r="I529" s="2" t="str">
        <f>IFERROR(__xludf.DUMMYFUNCTION("GOOGLETRANSLATE(C529,""fr"",""en"")"),"I have been at Direct Insurance since 2011, the price of annual contributions are constantly increasing despite a bonus that is evolving positively; The prices applied to new customers is reflected in the price of former customers.
I had the bad idea of "&amp;"​​making a quote which was 65 euros cheaper with a better third warranty maximum instead of a third warranty
Following this quote on the Direct Insurance site, I call customer service to request a commercial gesture, to my surprise the answer was negativ"&amp;"e impossible to switch to the quote offer
The service advised me to terminate my old insurance and subscribe to the new insurance to benefit from the new customer rate
 I finalize the quote and I subscribe to the new offer and I send a shortage of termi"&amp;"nation of the old contract.
I receive my new contract validated by the Granny Customer Service.
A few days later I receive a direct assurance call announcing the cancellation of the new contract and the maintenance of the old on the pretext that we can "&amp;"not subscribe to two insurance for the vehicle grandmother while the website allows to Validate x Contracts that we can create for the same vehicle it is as not even normal that one can not change your contract with the right price
")</f>
        <v>I have been at Direct Insurance since 2011, the price of annual contributions are constantly increasing despite a bonus that is evolving positively; The prices applied to new customers is reflected in the price of former customers.
I had the bad idea of ​​making a quote which was 65 euros cheaper with a better third warranty maximum instead of a third warranty
Following this quote on the Direct Insurance site, I call customer service to request a commercial gesture, to my surprise the answer was negative impossible to switch to the quote offer
The service advised me to terminate my old insurance and subscribe to the new insurance to benefit from the new customer rate
 I finalize the quote and I subscribe to the new offer and I send a shortage of termination of the old contract.
I receive my new contract validated by the Granny Customer Service.
A few days later I receive a direct assurance call announcing the cancellation of the new contract and the maintenance of the old on the pretext that we can not subscribe to two insurance for the vehicle grandmother while the website allows to Validate x Contracts that we can create for the same vehicle it is as not even normal that one can not change your contract with the right price
</v>
      </c>
    </row>
    <row r="530" ht="15.75" customHeight="1">
      <c r="A530" s="2">
        <v>4.0</v>
      </c>
      <c r="B530" s="2" t="s">
        <v>1545</v>
      </c>
      <c r="C530" s="2" t="s">
        <v>1546</v>
      </c>
      <c r="D530" s="2" t="s">
        <v>20</v>
      </c>
      <c r="E530" s="2" t="s">
        <v>21</v>
      </c>
      <c r="F530" s="2" t="s">
        <v>15</v>
      </c>
      <c r="G530" s="2" t="s">
        <v>1547</v>
      </c>
      <c r="H530" s="2" t="s">
        <v>70</v>
      </c>
      <c r="I530" s="2" t="str">
        <f>IFERROR(__xludf.DUMMYFUNCTION("GOOGLETRANSLATE(C530,""fr"",""en"")"),"It is a shame not to be able to have an interlocutor on the phone.
I ask to add my children to my contract, I am at the 5th email !!
It would be simpler by phone")</f>
        <v>It is a shame not to be able to have an interlocutor on the phone.
I ask to add my children to my contract, I am at the 5th email !!
It would be simpler by phone</v>
      </c>
    </row>
    <row r="531" ht="15.75" customHeight="1">
      <c r="A531" s="2">
        <v>3.0</v>
      </c>
      <c r="B531" s="2" t="s">
        <v>1548</v>
      </c>
      <c r="C531" s="2" t="s">
        <v>1549</v>
      </c>
      <c r="D531" s="2" t="s">
        <v>20</v>
      </c>
      <c r="E531" s="2" t="s">
        <v>21</v>
      </c>
      <c r="F531" s="2" t="s">
        <v>15</v>
      </c>
      <c r="G531" s="2" t="s">
        <v>931</v>
      </c>
      <c r="H531" s="2" t="s">
        <v>70</v>
      </c>
      <c r="I531" s="2" t="str">
        <f>IFERROR(__xludf.DUMMYFUNCTION("GOOGLETRANSLATE(C531,""fr"",""en"")"),"It's been 4 x that I ask 1 question about your chat without any feedback, no one being available.
Very bad XP customer suddenly, as much not to offer the functionality (I specify that it was a Monday 11:30 am ...)
")</f>
        <v>It's been 4 x that I ask 1 question about your chat without any feedback, no one being available.
Very bad XP customer suddenly, as much not to offer the functionality (I specify that it was a Monday 11:30 am ...)
</v>
      </c>
    </row>
    <row r="532" ht="15.75" customHeight="1">
      <c r="A532" s="2">
        <v>1.0</v>
      </c>
      <c r="B532" s="2" t="s">
        <v>1550</v>
      </c>
      <c r="C532" s="2" t="s">
        <v>1551</v>
      </c>
      <c r="D532" s="2" t="s">
        <v>95</v>
      </c>
      <c r="E532" s="2" t="s">
        <v>21</v>
      </c>
      <c r="F532" s="2" t="s">
        <v>15</v>
      </c>
      <c r="G532" s="2" t="s">
        <v>1332</v>
      </c>
      <c r="H532" s="2" t="s">
        <v>671</v>
      </c>
      <c r="I532" s="2" t="str">
        <f>IFERROR(__xludf.DUMMYFUNCTION("GOOGLETRANSLATE(C532,""fr"",""en"")"),"More than 30 years of insurance at Matmut. Without accidents.
The all is well ...!")</f>
        <v>More than 30 years of insurance at Matmut. Without accidents.
The all is well ...!</v>
      </c>
    </row>
    <row r="533" ht="15.75" customHeight="1">
      <c r="A533" s="2">
        <v>5.0</v>
      </c>
      <c r="B533" s="2" t="s">
        <v>1552</v>
      </c>
      <c r="C533" s="2" t="s">
        <v>1553</v>
      </c>
      <c r="D533" s="2" t="s">
        <v>64</v>
      </c>
      <c r="E533" s="2" t="s">
        <v>21</v>
      </c>
      <c r="F533" s="2" t="s">
        <v>15</v>
      </c>
      <c r="G533" s="2" t="s">
        <v>1554</v>
      </c>
      <c r="H533" s="2" t="s">
        <v>139</v>
      </c>
      <c r="I533" s="2" t="str">
        <f>IFERROR(__xludf.DUMMYFUNCTION("GOOGLETRANSLATE(C533,""fr"",""en"")"),"I am satisfied with the service, efficient advisor and pedagogue. Accompanied my approach effectively. No problem encountered and everything is in order.")</f>
        <v>I am satisfied with the service, efficient advisor and pedagogue. Accompanied my approach effectively. No problem encountered and everything is in order.</v>
      </c>
    </row>
    <row r="534" ht="15.75" customHeight="1">
      <c r="A534" s="2">
        <v>5.0</v>
      </c>
      <c r="B534" s="2" t="s">
        <v>1555</v>
      </c>
      <c r="C534" s="2" t="s">
        <v>1556</v>
      </c>
      <c r="D534" s="2" t="s">
        <v>64</v>
      </c>
      <c r="E534" s="2" t="s">
        <v>21</v>
      </c>
      <c r="F534" s="2" t="s">
        <v>15</v>
      </c>
      <c r="G534" s="2" t="s">
        <v>1326</v>
      </c>
      <c r="H534" s="2" t="s">
        <v>178</v>
      </c>
      <c r="I534" s="2" t="str">
        <f>IFERROR(__xludf.DUMMYFUNCTION("GOOGLETRANSLATE(C534,""fr"",""en"")"),"The prices and the sales department was very satisfactory. I hope I will remain in the long term. The use of the Internet platform and the customer area are also ergonomic and satisfactory")</f>
        <v>The prices and the sales department was very satisfactory. I hope I will remain in the long term. The use of the Internet platform and the customer area are also ergonomic and satisfactory</v>
      </c>
    </row>
    <row r="535" ht="15.75" customHeight="1">
      <c r="A535" s="2">
        <v>2.0</v>
      </c>
      <c r="B535" s="2" t="s">
        <v>1557</v>
      </c>
      <c r="C535" s="2" t="s">
        <v>1558</v>
      </c>
      <c r="D535" s="2" t="s">
        <v>260</v>
      </c>
      <c r="E535" s="2" t="s">
        <v>450</v>
      </c>
      <c r="F535" s="2" t="s">
        <v>15</v>
      </c>
      <c r="G535" s="2" t="s">
        <v>1559</v>
      </c>
      <c r="H535" s="2" t="s">
        <v>250</v>
      </c>
      <c r="I535" s="2" t="str">
        <f>IFERROR(__xludf.DUMMYFUNCTION("GOOGLETRANSLATE(C535,""fr"",""en"")"),"When I think that for 5 years I have a past thirty medical expertise and that the doctors have all ruled by a total and final incapacity for work and that the expert doctor of Cardif, him, no .... I Hallucine !!! Refusal of care !!!! I am recognized by MD"&amp;"PH with parking card, priority, etc ... 3 ALD of Social Security etc ... But not this doctor goes beyond the decisions of all these colleagues !!!")</f>
        <v>When I think that for 5 years I have a past thirty medical expertise and that the doctors have all ruled by a total and final incapacity for work and that the expert doctor of Cardif, him, no .... I Hallucine !!! Refusal of care !!!! I am recognized by MDPH with parking card, priority, etc ... 3 ALD of Social Security etc ... But not this doctor goes beyond the decisions of all these colleagues !!!</v>
      </c>
    </row>
    <row r="536" ht="15.75" customHeight="1">
      <c r="A536" s="2">
        <v>5.0</v>
      </c>
      <c r="B536" s="2" t="s">
        <v>1560</v>
      </c>
      <c r="C536" s="2" t="s">
        <v>1561</v>
      </c>
      <c r="D536" s="2" t="s">
        <v>78</v>
      </c>
      <c r="E536" s="2" t="s">
        <v>79</v>
      </c>
      <c r="F536" s="2" t="s">
        <v>15</v>
      </c>
      <c r="G536" s="2" t="s">
        <v>1562</v>
      </c>
      <c r="H536" s="2" t="s">
        <v>81</v>
      </c>
      <c r="I536" s="2" t="str">
        <f>IFERROR(__xludf.DUMMYFUNCTION("GOOGLETRANSLATE(C536,""fr"",""en"")"),"Satisfied with the clarity of the explanations, the speed of implementation and the kindness of the interlocutor. Attractive rates. For the moment everything is ok.")</f>
        <v>Satisfied with the clarity of the explanations, the speed of implementation and the kindness of the interlocutor. Attractive rates. For the moment everything is ok.</v>
      </c>
    </row>
    <row r="537" ht="15.75" customHeight="1">
      <c r="A537" s="2">
        <v>5.0</v>
      </c>
      <c r="B537" s="2" t="s">
        <v>1563</v>
      </c>
      <c r="C537" s="2" t="s">
        <v>1564</v>
      </c>
      <c r="D537" s="2" t="s">
        <v>64</v>
      </c>
      <c r="E537" s="2" t="s">
        <v>21</v>
      </c>
      <c r="F537" s="2" t="s">
        <v>15</v>
      </c>
      <c r="G537" s="2" t="s">
        <v>307</v>
      </c>
      <c r="H537" s="2" t="s">
        <v>23</v>
      </c>
      <c r="I537" s="2" t="str">
        <f>IFERROR(__xludf.DUMMYFUNCTION("GOOGLETRANSLATE(C537,""fr"",""en"")"),"I am delighted with the responsiveness of the insurance olive tree on my last claim - not responsible - my vehicle is repaired correctly (1st unavailable repair on the part of the bodybuilder and set with the help of the insurance olive tree) - Nothing to"&amp;" say , Super prices and insurance that perfectly plays its assistance role on life incidents, thank you again!")</f>
        <v>I am delighted with the responsiveness of the insurance olive tree on my last claim - not responsible - my vehicle is repaired correctly (1st unavailable repair on the part of the bodybuilder and set with the help of the insurance olive tree) - Nothing to say , Super prices and insurance that perfectly plays its assistance role on life incidents, thank you again!</v>
      </c>
    </row>
    <row r="538" ht="15.75" customHeight="1">
      <c r="A538" s="2">
        <v>5.0</v>
      </c>
      <c r="B538" s="2" t="s">
        <v>1565</v>
      </c>
      <c r="C538" s="2" t="s">
        <v>1566</v>
      </c>
      <c r="D538" s="2" t="s">
        <v>20</v>
      </c>
      <c r="E538" s="2" t="s">
        <v>21</v>
      </c>
      <c r="F538" s="2" t="s">
        <v>15</v>
      </c>
      <c r="G538" s="2" t="s">
        <v>75</v>
      </c>
      <c r="H538" s="2" t="s">
        <v>45</v>
      </c>
      <c r="I538" s="2" t="str">
        <f>IFERROR(__xludf.DUMMYFUNCTION("GOOGLETRANSLATE(C538,""fr"",""en"")"),"I am fully satisfied with the annual rate offered for my car insurance that I have just taken out in relation to the price of my current insurance, to be seen over time.")</f>
        <v>I am fully satisfied with the annual rate offered for my car insurance that I have just taken out in relation to the price of my current insurance, to be seen over time.</v>
      </c>
    </row>
    <row r="539" ht="15.75" customHeight="1">
      <c r="A539" s="2">
        <v>3.0</v>
      </c>
      <c r="B539" s="2" t="s">
        <v>1567</v>
      </c>
      <c r="C539" s="2" t="s">
        <v>1568</v>
      </c>
      <c r="D539" s="2" t="s">
        <v>68</v>
      </c>
      <c r="E539" s="2" t="s">
        <v>14</v>
      </c>
      <c r="F539" s="2" t="s">
        <v>15</v>
      </c>
      <c r="G539" s="2" t="s">
        <v>1569</v>
      </c>
      <c r="H539" s="2" t="s">
        <v>1570</v>
      </c>
      <c r="I539" s="2" t="str">
        <f>IFERROR(__xludf.DUMMYFUNCTION("GOOGLETRANSLATE(C539,""fr"",""en"")"),"Impeccable welcome from Sara M. Grande Professional. Development ... Advice .... resolution of my problem with formidable efficiency. Frankly I hope that all your teams are as effective as Sara M.")</f>
        <v>Impeccable welcome from Sara M. Grande Professional. Development ... Advice .... resolution of my problem with formidable efficiency. Frankly I hope that all your teams are as effective as Sara M.</v>
      </c>
    </row>
    <row r="540" ht="15.75" customHeight="1">
      <c r="A540" s="2">
        <v>2.0</v>
      </c>
      <c r="B540" s="2" t="s">
        <v>1571</v>
      </c>
      <c r="C540" s="2" t="s">
        <v>1572</v>
      </c>
      <c r="D540" s="2" t="s">
        <v>20</v>
      </c>
      <c r="E540" s="2" t="s">
        <v>21</v>
      </c>
      <c r="F540" s="2" t="s">
        <v>15</v>
      </c>
      <c r="G540" s="2" t="s">
        <v>257</v>
      </c>
      <c r="H540" s="2" t="s">
        <v>227</v>
      </c>
      <c r="I540" s="2" t="str">
        <f>IFERROR(__xludf.DUMMYFUNCTION("GOOGLETRANSLATE(C540,""fr"",""en"")"),"Hello, victim of a shock on my parking vehicle so not responsible and having subscribed to the tranquility package the insurance had to provide me with a loan vehicle during the repairs. Since the garage, partner, had no vehicle to lend me insurance was u"&amp;"nable to offer me a similar service. Result, direct insurance commitments not honored. I advise you, therefore, to go see where you are sure to be considered.")</f>
        <v>Hello, victim of a shock on my parking vehicle so not responsible and having subscribed to the tranquility package the insurance had to provide me with a loan vehicle during the repairs. Since the garage, partner, had no vehicle to lend me insurance was unable to offer me a similar service. Result, direct insurance commitments not honored. I advise you, therefore, to go see where you are sure to be considered.</v>
      </c>
    </row>
    <row r="541" ht="15.75" customHeight="1">
      <c r="A541" s="2">
        <v>1.0</v>
      </c>
      <c r="B541" s="2" t="s">
        <v>1573</v>
      </c>
      <c r="C541" s="2" t="s">
        <v>1574</v>
      </c>
      <c r="D541" s="2" t="s">
        <v>64</v>
      </c>
      <c r="E541" s="2" t="s">
        <v>21</v>
      </c>
      <c r="F541" s="2" t="s">
        <v>15</v>
      </c>
      <c r="G541" s="2" t="s">
        <v>324</v>
      </c>
      <c r="H541" s="2" t="s">
        <v>23</v>
      </c>
      <c r="I541" s="2" t="str">
        <f>IFERROR(__xludf.DUMMYFUNCTION("GOOGLETRANSLATE(C541,""fr"",""en"")"),"550 € the first year
863 € the year following for the same insurance with improved bonus all the same ... Proof of insurance following the non -responsible disaster supported by third party insurance Increased risk of vandalism on the vehicle. We are tal"&amp;"king about accidentally sprayed paint by a road work company ... To see I apply for a quote on their site which announces me € 627 with the declared disaster in vandalism and € 587 without. When I announce it to customer service he replies that I did not "&amp;"understand my information well ... while the salesperson who reminded me tells me ok everything is complete.")</f>
        <v>550 € the first year
863 € the year following for the same insurance with improved bonus all the same ... Proof of insurance following the non -responsible disaster supported by third party insurance Increased risk of vandalism on the vehicle. We are talking about accidentally sprayed paint by a road work company ... To see I apply for a quote on their site which announces me € 627 with the declared disaster in vandalism and € 587 without. When I announce it to customer service he replies that I did not understand my information well ... while the salesperson who reminded me tells me ok everything is complete.</v>
      </c>
    </row>
    <row r="542" ht="15.75" customHeight="1">
      <c r="A542" s="2">
        <v>1.0</v>
      </c>
      <c r="B542" s="2" t="s">
        <v>1575</v>
      </c>
      <c r="C542" s="2" t="s">
        <v>1576</v>
      </c>
      <c r="D542" s="2" t="s">
        <v>159</v>
      </c>
      <c r="E542" s="2" t="s">
        <v>74</v>
      </c>
      <c r="F542" s="2" t="s">
        <v>15</v>
      </c>
      <c r="G542" s="2" t="s">
        <v>1577</v>
      </c>
      <c r="H542" s="2" t="s">
        <v>576</v>
      </c>
      <c r="I542" s="2" t="str">
        <f>IFERROR(__xludf.DUMMYFUNCTION("GOOGLETRANSLATE(C542,""fr"",""en"")"),"Hello everyone, I see, that there is at least one constant at the gan provident, it's time they take to study the files, I have been in work stopping since February 13, and we are the September 21 and my file is still being studied, and better, I learned "&amp;"that the Gan had made a formal notice to my company, for the so-called unpaid contributions, when they have been!
Anyway, if you have the choice, you would be inspired by finding an honest and serious organization, which is not the case here!")</f>
        <v>Hello everyone, I see, that there is at least one constant at the gan provident, it's time they take to study the files, I have been in work stopping since February 13, and we are the September 21 and my file is still being studied, and better, I learned that the Gan had made a formal notice to my company, for the so-called unpaid contributions, when they have been!
Anyway, if you have the choice, you would be inspired by finding an honest and serious organization, which is not the case here!</v>
      </c>
    </row>
    <row r="543" ht="15.75" customHeight="1">
      <c r="A543" s="2">
        <v>1.0</v>
      </c>
      <c r="B543" s="2" t="s">
        <v>1578</v>
      </c>
      <c r="C543" s="2" t="s">
        <v>1579</v>
      </c>
      <c r="D543" s="2" t="s">
        <v>277</v>
      </c>
      <c r="E543" s="2" t="s">
        <v>207</v>
      </c>
      <c r="F543" s="2" t="s">
        <v>15</v>
      </c>
      <c r="G543" s="2" t="s">
        <v>1580</v>
      </c>
      <c r="H543" s="2" t="s">
        <v>128</v>
      </c>
      <c r="I543" s="2" t="str">
        <f>IFERROR(__xludf.DUMMYFUNCTION("GOOGLETRANSLATE(C543,""fr"",""en"")"),"Disaster disaster not taken care of for 9 months")</f>
        <v>Disaster disaster not taken care of for 9 months</v>
      </c>
    </row>
    <row r="544" ht="15.75" customHeight="1">
      <c r="A544" s="2">
        <v>4.0</v>
      </c>
      <c r="B544" s="2" t="s">
        <v>1581</v>
      </c>
      <c r="C544" s="2" t="s">
        <v>1582</v>
      </c>
      <c r="D544" s="2" t="s">
        <v>20</v>
      </c>
      <c r="E544" s="2" t="s">
        <v>21</v>
      </c>
      <c r="F544" s="2" t="s">
        <v>15</v>
      </c>
      <c r="G544" s="2" t="s">
        <v>1235</v>
      </c>
      <c r="H544" s="2" t="s">
        <v>70</v>
      </c>
      <c r="I544" s="2" t="str">
        <f>IFERROR(__xludf.DUMMYFUNCTION("GOOGLETRANSLATE(C544,""fr"",""en"")"),"New member, for the moment I can hardly give my opinion. But it seems to me that your prices are reasonable. I also envisage in the near future to bring together all my insurance in your home.")</f>
        <v>New member, for the moment I can hardly give my opinion. But it seems to me that your prices are reasonable. I also envisage in the near future to bring together all my insurance in your home.</v>
      </c>
    </row>
    <row r="545" ht="15.75" customHeight="1">
      <c r="A545" s="2">
        <v>5.0</v>
      </c>
      <c r="B545" s="2" t="s">
        <v>1583</v>
      </c>
      <c r="C545" s="2" t="s">
        <v>1584</v>
      </c>
      <c r="D545" s="2" t="s">
        <v>13</v>
      </c>
      <c r="E545" s="2" t="s">
        <v>14</v>
      </c>
      <c r="F545" s="2" t="s">
        <v>15</v>
      </c>
      <c r="G545" s="2" t="s">
        <v>1585</v>
      </c>
      <c r="H545" s="2" t="s">
        <v>428</v>
      </c>
      <c r="I545" s="2" t="str">
        <f>IFERROR(__xludf.DUMMYFUNCTION("GOOGLETRANSLATE(C545,""fr"",""en"")"),"satisfied with the service offered by Santiane, the execution of the change was very fast and easy")</f>
        <v>satisfied with the service offered by Santiane, the execution of the change was very fast and easy</v>
      </c>
    </row>
    <row r="546" ht="15.75" customHeight="1">
      <c r="A546" s="2">
        <v>1.0</v>
      </c>
      <c r="B546" s="2" t="s">
        <v>1586</v>
      </c>
      <c r="C546" s="2" t="s">
        <v>1587</v>
      </c>
      <c r="D546" s="2" t="s">
        <v>134</v>
      </c>
      <c r="E546" s="2" t="s">
        <v>14</v>
      </c>
      <c r="F546" s="2" t="s">
        <v>15</v>
      </c>
      <c r="G546" s="2" t="s">
        <v>1588</v>
      </c>
      <c r="H546" s="2" t="s">
        <v>182</v>
      </c>
      <c r="I546" s="2" t="str">
        <f>IFERROR(__xludf.DUMMYFUNCTION("GOOGLETRANSLATE(C546,""fr"",""en"")"),"No answer to my questions either by email or by phone. They never answer on the phone and even less to the email. I advise against Cegema very strongly")</f>
        <v>No answer to my questions either by email or by phone. They never answer on the phone and even less to the email. I advise against Cegema very strongly</v>
      </c>
    </row>
    <row r="547" ht="15.75" customHeight="1">
      <c r="A547" s="2">
        <v>5.0</v>
      </c>
      <c r="B547" s="2" t="s">
        <v>1589</v>
      </c>
      <c r="C547" s="2" t="s">
        <v>1590</v>
      </c>
      <c r="D547" s="2" t="s">
        <v>20</v>
      </c>
      <c r="E547" s="2" t="s">
        <v>21</v>
      </c>
      <c r="F547" s="2" t="s">
        <v>15</v>
      </c>
      <c r="G547" s="2" t="s">
        <v>1591</v>
      </c>
      <c r="H547" s="2" t="s">
        <v>45</v>
      </c>
      <c r="I547" s="2" t="str">
        <f>IFERROR(__xludf.DUMMYFUNCTION("GOOGLETRANSLATE(C547,""fr"",""en"")"),"Simple and quick online subscription. Everything is done online without operator. The prices are very complete compared to other insurance. I recommend without problem.")</f>
        <v>Simple and quick online subscription. Everything is done online without operator. The prices are very complete compared to other insurance. I recommend without problem.</v>
      </c>
    </row>
    <row r="548" ht="15.75" customHeight="1">
      <c r="A548" s="2">
        <v>4.0</v>
      </c>
      <c r="B548" s="2" t="s">
        <v>1592</v>
      </c>
      <c r="C548" s="2" t="s">
        <v>1593</v>
      </c>
      <c r="D548" s="2" t="s">
        <v>20</v>
      </c>
      <c r="E548" s="2" t="s">
        <v>21</v>
      </c>
      <c r="F548" s="2" t="s">
        <v>15</v>
      </c>
      <c r="G548" s="2" t="s">
        <v>1594</v>
      </c>
      <c r="H548" s="2" t="s">
        <v>139</v>
      </c>
      <c r="I548" s="2" t="str">
        <f>IFERROR(__xludf.DUMMYFUNCTION("GOOGLETRANSLATE(C548,""fr"",""en"")"),"I am happy with my perfect insurer of his services his prices his skills to recommend simple effective listening to the customer to answer any questions")</f>
        <v>I am happy with my perfect insurer of his services his prices his skills to recommend simple effective listening to the customer to answer any questions</v>
      </c>
    </row>
    <row r="549" ht="15.75" customHeight="1">
      <c r="A549" s="2">
        <v>1.0</v>
      </c>
      <c r="B549" s="2" t="s">
        <v>1595</v>
      </c>
      <c r="C549" s="2" t="s">
        <v>1596</v>
      </c>
      <c r="D549" s="2" t="s">
        <v>1597</v>
      </c>
      <c r="E549" s="2" t="s">
        <v>79</v>
      </c>
      <c r="F549" s="2" t="s">
        <v>15</v>
      </c>
      <c r="G549" s="2" t="s">
        <v>1435</v>
      </c>
      <c r="H549" s="2" t="s">
        <v>101</v>
      </c>
      <c r="I549" s="2" t="str">
        <f>IFERROR(__xludf.DUMMYFUNCTION("GOOGLETRANSLATE(C549,""fr"",""en"")"),"Real Bouineur insurance. A real masquerade in an organized gang. I signed a motorcycle insurance contract at all risk at 76 € I signed because the price seemed correct of course. 3 weeks later I remember to find out if my file is complete. The advisor (wh"&amp;"o barely speaks French) replies that everything is OK and that I was going to be taken € 120 per month. I do not understand and he explains to me that they made a mistake on my contract and after rectification it goes to € 120. Without warning. I had sign"&amp;"ed for € 76 and not for 120. To overcome this funny price at the third party contract. After insisting for winning the case I abandoned because they are difficult to reach and do not want to hear anything. So I terminated but the € 120 was nevertheless ta"&amp;"ken before a refund of € 86. In short, do not go in questionable insurance like that. They are unreachable, have no agencies and barely speak French. I found insurance at AXA with best guarantees for € 69 per month. While there are 5 or 10 € difference be"&amp;"tween insurers is normal but there is 50 € difference is that there is a problem in history.")</f>
        <v>Real Bouineur insurance. A real masquerade in an organized gang. I signed a motorcycle insurance contract at all risk at 76 € I signed because the price seemed correct of course. 3 weeks later I remember to find out if my file is complete. The advisor (who barely speaks French) replies that everything is OK and that I was going to be taken € 120 per month. I do not understand and he explains to me that they made a mistake on my contract and after rectification it goes to € 120. Without warning. I had signed for € 76 and not for 120. To overcome this funny price at the third party contract. After insisting for winning the case I abandoned because they are difficult to reach and do not want to hear anything. So I terminated but the € 120 was nevertheless taken before a refund of € 86. In short, do not go in questionable insurance like that. They are unreachable, have no agencies and barely speak French. I found insurance at AXA with best guarantees for € 69 per month. While there are 5 or 10 € difference between insurers is normal but there is 50 € difference is that there is a problem in history.</v>
      </c>
    </row>
    <row r="550" ht="15.75" customHeight="1">
      <c r="A550" s="2">
        <v>4.0</v>
      </c>
      <c r="B550" s="2" t="s">
        <v>1598</v>
      </c>
      <c r="C550" s="2" t="s">
        <v>1599</v>
      </c>
      <c r="D550" s="2" t="s">
        <v>20</v>
      </c>
      <c r="E550" s="2" t="s">
        <v>21</v>
      </c>
      <c r="F550" s="2" t="s">
        <v>15</v>
      </c>
      <c r="G550" s="2" t="s">
        <v>843</v>
      </c>
      <c r="H550" s="2" t="s">
        <v>23</v>
      </c>
      <c r="I550" s="2" t="str">
        <f>IFERROR(__xludf.DUMMYFUNCTION("GOOGLETRANSLATE(C550,""fr"",""en"")"),"Super price, explain well on the site, super price, easy accessible site understandable and well done
cheaper on the walk, I recommend it")</f>
        <v>Super price, explain well on the site, super price, easy accessible site understandable and well done
cheaper on the walk, I recommend it</v>
      </c>
    </row>
    <row r="551" ht="15.75" customHeight="1">
      <c r="A551" s="2">
        <v>1.0</v>
      </c>
      <c r="B551" s="2" t="s">
        <v>1600</v>
      </c>
      <c r="C551" s="2" t="s">
        <v>1601</v>
      </c>
      <c r="D551" s="2" t="s">
        <v>142</v>
      </c>
      <c r="E551" s="2" t="s">
        <v>207</v>
      </c>
      <c r="F551" s="2" t="s">
        <v>15</v>
      </c>
      <c r="G551" s="2" t="s">
        <v>316</v>
      </c>
      <c r="H551" s="2" t="s">
        <v>317</v>
      </c>
      <c r="I551" s="2" t="str">
        <f>IFERROR(__xludf.DUMMYFUNCTION("GOOGLETRANSLATE(C551,""fr"",""en"")"),"Service at the head of the customer and telephone management so as not to have traces written by trainees or staff in training behind who are dismissed the managers. The insurer who puts human, scandalous lights in practice !!! Basically a trainee calls y"&amp;"ou while her manager is attentive (without indicating that the conversation is listened to as the law requires) then as the trainee cannot answer he takes up the conversation and encourages telephone to anti -drawing a sinister then put an end to the call"&amp;" when he is explained to him that it is illegal, shameful and to denounce")</f>
        <v>Service at the head of the customer and telephone management so as not to have traces written by trainees or staff in training behind who are dismissed the managers. The insurer who puts human, scandalous lights in practice !!! Basically a trainee calls you while her manager is attentive (without indicating that the conversation is listened to as the law requires) then as the trainee cannot answer he takes up the conversation and encourages telephone to anti -drawing a sinister then put an end to the call when he is explained to him that it is illegal, shameful and to denounce</v>
      </c>
    </row>
    <row r="552" ht="15.75" customHeight="1">
      <c r="A552" s="2">
        <v>1.0</v>
      </c>
      <c r="B552" s="2" t="s">
        <v>1602</v>
      </c>
      <c r="C552" s="2" t="s">
        <v>1603</v>
      </c>
      <c r="D552" s="2" t="s">
        <v>200</v>
      </c>
      <c r="E552" s="2" t="s">
        <v>21</v>
      </c>
      <c r="F552" s="2" t="s">
        <v>15</v>
      </c>
      <c r="G552" s="2" t="s">
        <v>1604</v>
      </c>
      <c r="H552" s="2" t="s">
        <v>408</v>
      </c>
      <c r="I552" s="2" t="str">
        <f>IFERROR(__xludf.DUMMYFUNCTION("GOOGLETRANSLATE(C552,""fr"",""en"")"),"We do not want to reimburse me, after 1 day of reflection, by letter with acknowledgment of receipt, I am told that I have no retraction period however provided by law for 89.60th ref contract 282624 pending a Positive response (before ACPR procedure)")</f>
        <v>We do not want to reimburse me, after 1 day of reflection, by letter with acknowledgment of receipt, I am told that I have no retraction period however provided by law for 89.60th ref contract 282624 pending a Positive response (before ACPR procedure)</v>
      </c>
    </row>
    <row r="553" ht="15.75" customHeight="1">
      <c r="A553" s="2">
        <v>3.0</v>
      </c>
      <c r="B553" s="2" t="s">
        <v>1605</v>
      </c>
      <c r="C553" s="2" t="s">
        <v>1606</v>
      </c>
      <c r="D553" s="2" t="s">
        <v>371</v>
      </c>
      <c r="E553" s="2" t="s">
        <v>74</v>
      </c>
      <c r="F553" s="2" t="s">
        <v>15</v>
      </c>
      <c r="G553" s="2" t="s">
        <v>1607</v>
      </c>
      <c r="H553" s="2" t="s">
        <v>1570</v>
      </c>
      <c r="I553" s="2" t="str">
        <f>IFERROR(__xludf.DUMMYFUNCTION("GOOGLETRANSLATE(C553,""fr"",""en"")"),"Here is to avoid this insurance if you do not want to end up depressing a horror I am screening for the daddy debt of 3 children that make me 15 months that I give me more my lost file compensation file not complete tempt to process the files each time mi"&amp;"nimu 2 month or more I counted several ASSO Last Asso Tribunal In addition, customer service are pleasant arrogant hangs you the nose thank you for your professionalism")</f>
        <v>Here is to avoid this insurance if you do not want to end up depressing a horror I am screening for the daddy debt of 3 children that make me 15 months that I give me more my lost file compensation file not complete tempt to process the files each time minimu 2 month or more I counted several ASSO Last Asso Tribunal In addition, customer service are pleasant arrogant hangs you the nose thank you for your professionalism</v>
      </c>
    </row>
    <row r="554" ht="15.75" customHeight="1">
      <c r="A554" s="2">
        <v>1.0</v>
      </c>
      <c r="B554" s="2" t="s">
        <v>1608</v>
      </c>
      <c r="C554" s="2" t="s">
        <v>1609</v>
      </c>
      <c r="D554" s="2" t="s">
        <v>20</v>
      </c>
      <c r="E554" s="2" t="s">
        <v>21</v>
      </c>
      <c r="F554" s="2" t="s">
        <v>15</v>
      </c>
      <c r="G554" s="2" t="s">
        <v>1214</v>
      </c>
      <c r="H554" s="2" t="s">
        <v>58</v>
      </c>
      <c r="I554" s="2" t="str">
        <f>IFERROR(__xludf.DUMMYFUNCTION("GOOGLETRANSLATE(C554,""fr"",""en"")"),"No advantage of being already a customer at home, no loyalty bonus, new customers are more advantaged than old people, no logic in your prices")</f>
        <v>No advantage of being already a customer at home, no loyalty bonus, new customers are more advantaged than old people, no logic in your prices</v>
      </c>
    </row>
    <row r="555" ht="15.75" customHeight="1">
      <c r="A555" s="2">
        <v>2.0</v>
      </c>
      <c r="B555" s="2" t="s">
        <v>1610</v>
      </c>
      <c r="C555" s="2" t="s">
        <v>1611</v>
      </c>
      <c r="D555" s="2" t="s">
        <v>20</v>
      </c>
      <c r="E555" s="2" t="s">
        <v>21</v>
      </c>
      <c r="F555" s="2" t="s">
        <v>15</v>
      </c>
      <c r="G555" s="2" t="s">
        <v>313</v>
      </c>
      <c r="H555" s="2" t="s">
        <v>23</v>
      </c>
      <c r="I555" s="2" t="str">
        <f>IFERROR(__xludf.DUMMYFUNCTION("GOOGLETRANSLATE(C555,""fr"",""en"")"),"Simple service and the prices are really correct
Quick and follow -up
The online quote service is very interesting
Damage that other quote or contract like life insurance are not accessible")</f>
        <v>Simple service and the prices are really correct
Quick and follow -up
The online quote service is very interesting
Damage that other quote or contract like life insurance are not accessible</v>
      </c>
    </row>
    <row r="556" ht="15.75" customHeight="1">
      <c r="A556" s="2">
        <v>5.0</v>
      </c>
      <c r="B556" s="2" t="s">
        <v>1612</v>
      </c>
      <c r="C556" s="2" t="s">
        <v>1613</v>
      </c>
      <c r="D556" s="2" t="s">
        <v>20</v>
      </c>
      <c r="E556" s="2" t="s">
        <v>21</v>
      </c>
      <c r="F556" s="2" t="s">
        <v>15</v>
      </c>
      <c r="G556" s="2" t="s">
        <v>1326</v>
      </c>
      <c r="H556" s="2" t="s">
        <v>178</v>
      </c>
      <c r="I556" s="2" t="str">
        <f>IFERROR(__xludf.DUMMYFUNCTION("GOOGLETRANSLATE(C556,""fr"",""en"")"),"Very satisfied with insurance, responsiveness, always listening.
For an entry -level offer, it is clear that it is still quite complete: it is a good support with assistance and various protective guarantees. My opinion on Auto Direct Insurance insurance"&amp;" is a priori positive.")</f>
        <v>Very satisfied with insurance, responsiveness, always listening.
For an entry -level offer, it is clear that it is still quite complete: it is a good support with assistance and various protective guarantees. My opinion on Auto Direct Insurance insurance is a priori positive.</v>
      </c>
    </row>
    <row r="557" ht="15.75" customHeight="1">
      <c r="A557" s="2">
        <v>1.0</v>
      </c>
      <c r="B557" s="2" t="s">
        <v>1614</v>
      </c>
      <c r="C557" s="2" t="s">
        <v>1615</v>
      </c>
      <c r="D557" s="2" t="s">
        <v>256</v>
      </c>
      <c r="E557" s="2" t="s">
        <v>207</v>
      </c>
      <c r="F557" s="2" t="s">
        <v>15</v>
      </c>
      <c r="G557" s="2" t="s">
        <v>1616</v>
      </c>
      <c r="H557" s="2" t="s">
        <v>121</v>
      </c>
      <c r="I557" s="2" t="str">
        <f>IFERROR(__xludf.DUMMYFUNCTION("GOOGLETRANSLATE(C557,""fr"",""en"")"),"If you are looking for a sustainable insurance, run away .... at the first disaster, they give you the deductible of around 150 € but .... a very poisoned gift because at the end of the year, even if the sinister has not been important (around € 800) and "&amp;"that you are not responsible, they increase you abusive .... +11.05 % increase !!!!!! In short if you are looking for a lasting contract, it is better to consider something else ...")</f>
        <v>If you are looking for a sustainable insurance, run away .... at the first disaster, they give you the deductible of around 150 € but .... a very poisoned gift because at the end of the year, even if the sinister has not been important (around € 800) and that you are not responsible, they increase you abusive .... +11.05 % increase !!!!!! In short if you are looking for a lasting contract, it is better to consider something else ...</v>
      </c>
    </row>
    <row r="558" ht="15.75" customHeight="1">
      <c r="A558" s="2">
        <v>5.0</v>
      </c>
      <c r="B558" s="2" t="s">
        <v>1617</v>
      </c>
      <c r="C558" s="2" t="s">
        <v>1618</v>
      </c>
      <c r="D558" s="2" t="s">
        <v>78</v>
      </c>
      <c r="E558" s="2" t="s">
        <v>79</v>
      </c>
      <c r="F558" s="2" t="s">
        <v>15</v>
      </c>
      <c r="G558" s="2" t="s">
        <v>736</v>
      </c>
      <c r="H558" s="2" t="s">
        <v>58</v>
      </c>
      <c r="I558" s="2" t="str">
        <f>IFERROR(__xludf.DUMMYFUNCTION("GOOGLETRANSLATE(C558,""fr"",""en"")"),"I am really satisfied with speed to make sure I find its very practical and I recommend it, the price is very good and the means to pay 2 monthly payments instead of paying the fees I find its nice")</f>
        <v>I am really satisfied with speed to make sure I find its very practical and I recommend it, the price is very good and the means to pay 2 monthly payments instead of paying the fees I find its nice</v>
      </c>
    </row>
    <row r="559" ht="15.75" customHeight="1">
      <c r="A559" s="2">
        <v>1.0</v>
      </c>
      <c r="B559" s="2" t="s">
        <v>1619</v>
      </c>
      <c r="C559" s="2" t="s">
        <v>1620</v>
      </c>
      <c r="D559" s="2" t="s">
        <v>828</v>
      </c>
      <c r="E559" s="2" t="s">
        <v>207</v>
      </c>
      <c r="F559" s="2" t="s">
        <v>15</v>
      </c>
      <c r="G559" s="2" t="s">
        <v>858</v>
      </c>
      <c r="H559" s="2" t="s">
        <v>58</v>
      </c>
      <c r="I559" s="2" t="str">
        <f>IFERROR(__xludf.DUMMYFUNCTION("GOOGLETRANSLATE(C559,""fr"",""en"")"),"Insured for many years I was thrown as a messy by this insurance which told me the breach of contract by recommended on 30/11/2020 then stopped all my contracts on 1/10/2020 by email without m ' have warned before; To date I no longer had car home insuran"&amp;"ce they apologized; supposedly the letters crossed except that if unfortunately I had a problem or that I do not watch my mailbox this morning I no longer had any insurance which seems to me very serious I will therefore refer to insurance mediation")</f>
        <v>Insured for many years I was thrown as a messy by this insurance which told me the breach of contract by recommended on 30/11/2020 then stopped all my contracts on 1/10/2020 by email without m ' have warned before; To date I no longer had car home insurance they apologized; supposedly the letters crossed except that if unfortunately I had a problem or that I do not watch my mailbox this morning I no longer had any insurance which seems to me very serious I will therefore refer to insurance mediation</v>
      </c>
    </row>
    <row r="560" ht="15.75" customHeight="1">
      <c r="A560" s="2">
        <v>2.0</v>
      </c>
      <c r="B560" s="2" t="s">
        <v>1621</v>
      </c>
      <c r="C560" s="2" t="s">
        <v>1622</v>
      </c>
      <c r="D560" s="2" t="s">
        <v>68</v>
      </c>
      <c r="E560" s="2" t="s">
        <v>14</v>
      </c>
      <c r="F560" s="2" t="s">
        <v>15</v>
      </c>
      <c r="G560" s="2" t="s">
        <v>1623</v>
      </c>
      <c r="H560" s="2" t="s">
        <v>742</v>
      </c>
      <c r="I560" s="2" t="str">
        <f>IFERROR(__xludf.DUMMYFUNCTION("GOOGLETRANSLATE(C560,""fr"",""en"")"),"Neoliane continues to take automatic samples several months after the termination therefore obligation to block the samples. No response to emails. I await the reaction to the last RAR letter. To flee")</f>
        <v>Neoliane continues to take automatic samples several months after the termination therefore obligation to block the samples. No response to emails. I await the reaction to the last RAR letter. To flee</v>
      </c>
    </row>
    <row r="561" ht="15.75" customHeight="1">
      <c r="A561" s="2">
        <v>2.0</v>
      </c>
      <c r="B561" s="2" t="s">
        <v>1624</v>
      </c>
      <c r="C561" s="2" t="s">
        <v>1625</v>
      </c>
      <c r="D561" s="2" t="s">
        <v>277</v>
      </c>
      <c r="E561" s="2" t="s">
        <v>21</v>
      </c>
      <c r="F561" s="2" t="s">
        <v>15</v>
      </c>
      <c r="G561" s="2" t="s">
        <v>1626</v>
      </c>
      <c r="H561" s="2" t="s">
        <v>23</v>
      </c>
      <c r="I561" s="2" t="str">
        <f>IFERROR(__xludf.DUMMYFUNCTION("GOOGLETRANSLATE(C561,""fr"",""en"")"),"Hello,
I have been a customer at the MAAF in car insurance since 2012.
I had a loss responsible in 2019 and a break of ice in 2020 not responsible.
Last month I sold one of my cars and asked La Maaf a quote for my new car.
They replied that they could"&amp;" no longer make sure, I had too many accidents.
I was scandalized by this petty and mercantile attitude.
I can only recommend this insurer who only thinks of his profit.
")</f>
        <v>Hello,
I have been a customer at the MAAF in car insurance since 2012.
I had a loss responsible in 2019 and a break of ice in 2020 not responsible.
Last month I sold one of my cars and asked La Maaf a quote for my new car.
They replied that they could no longer make sure, I had too many accidents.
I was scandalized by this petty and mercantile attitude.
I can only recommend this insurer who only thinks of his profit.
</v>
      </c>
    </row>
    <row r="562" ht="15.75" customHeight="1">
      <c r="A562" s="2">
        <v>4.0</v>
      </c>
      <c r="B562" s="2" t="s">
        <v>1627</v>
      </c>
      <c r="C562" s="2" t="s">
        <v>1628</v>
      </c>
      <c r="D562" s="2" t="s">
        <v>523</v>
      </c>
      <c r="E562" s="2" t="s">
        <v>450</v>
      </c>
      <c r="F562" s="2" t="s">
        <v>15</v>
      </c>
      <c r="G562" s="2" t="s">
        <v>1629</v>
      </c>
      <c r="H562" s="2" t="s">
        <v>139</v>
      </c>
      <c r="I562" s="2" t="str">
        <f>IFERROR(__xludf.DUMMYFUNCTION("GOOGLETRANSLATE(C562,""fr"",""en"")"),"The service was effective and understanding because the prices are below what my bank offered me.
Have a lovely day everybody.
Cordially
Stéphane Bonello")</f>
        <v>The service was effective and understanding because the prices are below what my bank offered me.
Have a lovely day everybody.
Cordially
Stéphane Bonello</v>
      </c>
    </row>
    <row r="563" ht="15.75" customHeight="1">
      <c r="A563" s="2">
        <v>4.0</v>
      </c>
      <c r="B563" s="2" t="s">
        <v>1630</v>
      </c>
      <c r="C563" s="2" t="s">
        <v>1631</v>
      </c>
      <c r="D563" s="2" t="s">
        <v>20</v>
      </c>
      <c r="E563" s="2" t="s">
        <v>21</v>
      </c>
      <c r="F563" s="2" t="s">
        <v>15</v>
      </c>
      <c r="G563" s="2" t="s">
        <v>1632</v>
      </c>
      <c r="H563" s="2" t="s">
        <v>32</v>
      </c>
      <c r="I563" s="2" t="str">
        <f>IFERROR(__xludf.DUMMYFUNCTION("GOOGLETRANSLATE(C563,""fr"",""en"")"),"I have not yet made a decision I wish to receive the quote with the various services with the guarantees and options. I will ask to be recalled. Cordially")</f>
        <v>I have not yet made a decision I wish to receive the quote with the various services with the guarantees and options. I will ask to be recalled. Cordially</v>
      </c>
    </row>
    <row r="564" ht="15.75" customHeight="1">
      <c r="A564" s="2">
        <v>1.0</v>
      </c>
      <c r="B564" s="2" t="s">
        <v>1633</v>
      </c>
      <c r="C564" s="2" t="s">
        <v>1634</v>
      </c>
      <c r="D564" s="2" t="s">
        <v>193</v>
      </c>
      <c r="E564" s="2" t="s">
        <v>74</v>
      </c>
      <c r="F564" s="2" t="s">
        <v>15</v>
      </c>
      <c r="G564" s="2" t="s">
        <v>70</v>
      </c>
      <c r="H564" s="2" t="s">
        <v>70</v>
      </c>
      <c r="I564" s="2" t="str">
        <f>IFERROR(__xludf.DUMMYFUNCTION("GOOGLETRANSLATE(C564,""fr"",""en"")"),"I do not recommend but really not at all !!! Having someone on the phone for any question is impossible, for any request no answer and many other things ...
 ")</f>
        <v>I do not recommend but really not at all !!! Having someone on the phone for any question is impossible, for any request no answer and many other things ...
 </v>
      </c>
    </row>
    <row r="565" ht="15.75" customHeight="1">
      <c r="A565" s="2">
        <v>1.0</v>
      </c>
      <c r="B565" s="2" t="s">
        <v>1635</v>
      </c>
      <c r="C565" s="2" t="s">
        <v>1636</v>
      </c>
      <c r="D565" s="2" t="s">
        <v>142</v>
      </c>
      <c r="E565" s="2" t="s">
        <v>21</v>
      </c>
      <c r="F565" s="2" t="s">
        <v>15</v>
      </c>
      <c r="G565" s="2" t="s">
        <v>990</v>
      </c>
      <c r="H565" s="2" t="s">
        <v>990</v>
      </c>
      <c r="I565" s="2" t="str">
        <f>IFERROR(__xludf.DUMMYFUNCTION("GOOGLETRANSLATE(C565,""fr"",""en"")"),"To be completely incompetently incompetent 4 months of waiting for Ke Regulation of a claim")</f>
        <v>To be completely incompetently incompetent 4 months of waiting for Ke Regulation of a claim</v>
      </c>
    </row>
    <row r="566" ht="15.75" customHeight="1">
      <c r="A566" s="2">
        <v>1.0</v>
      </c>
      <c r="B566" s="2" t="s">
        <v>1637</v>
      </c>
      <c r="C566" s="2" t="s">
        <v>1638</v>
      </c>
      <c r="D566" s="2" t="s">
        <v>225</v>
      </c>
      <c r="E566" s="2" t="s">
        <v>74</v>
      </c>
      <c r="F566" s="2" t="s">
        <v>15</v>
      </c>
      <c r="G566" s="2" t="s">
        <v>666</v>
      </c>
      <c r="H566" s="2" t="s">
        <v>667</v>
      </c>
      <c r="I566" s="2" t="str">
        <f>IFERROR(__xludf.DUMMYFUNCTION("GOOGLETRANSLATE(C566,""fr"",""en"")"),"Difficult to make more incompetent.
I subscribe to them a provident contract in May 2019, which was to enter into force on January 1, 2020.
Worrying not to see a direct debit or contract in my customer area, I contact them.
My advisor tells me that he "&amp;"will find out.
Having no news, I contact customer service directly which, after 10 seconds of research, tells me that the contract is not in force (when I have been waiting for news of my advisor for 4 days).
However, my advisor, however, terminated my "&amp;"pension contract with my former insurer.
Suddenly, I find myself without insurance. If I want to subscribe elsewhere, I will have a deficiency period.
The advisor makes the dead, promises to remind me and that for a week ... I have called customer servi"&amp;"ce which can do nothing and which refers me to the advisor.
In short, to avoid absolutely if you want to have a quiet mind ...
Like many insurer, the advisor is very present before signing the contract, but once signed, there is no one (he doesn't care "&amp;"about the client, he touched his committee).")</f>
        <v>Difficult to make more incompetent.
I subscribe to them a provident contract in May 2019, which was to enter into force on January 1, 2020.
Worrying not to see a direct debit or contract in my customer area, I contact them.
My advisor tells me that he will find out.
Having no news, I contact customer service directly which, after 10 seconds of research, tells me that the contract is not in force (when I have been waiting for news of my advisor for 4 days).
However, my advisor, however, terminated my pension contract with my former insurer.
Suddenly, I find myself without insurance. If I want to subscribe elsewhere, I will have a deficiency period.
The advisor makes the dead, promises to remind me and that for a week ... I have called customer service which can do nothing and which refers me to the advisor.
In short, to avoid absolutely if you want to have a quiet mind ...
Like many insurer, the advisor is very present before signing the contract, but once signed, there is no one (he doesn't care about the client, he touched his committee).</v>
      </c>
    </row>
    <row r="567" ht="15.75" customHeight="1">
      <c r="A567" s="2">
        <v>2.0</v>
      </c>
      <c r="B567" s="2" t="s">
        <v>1639</v>
      </c>
      <c r="C567" s="2" t="s">
        <v>1640</v>
      </c>
      <c r="D567" s="2" t="s">
        <v>20</v>
      </c>
      <c r="E567" s="2" t="s">
        <v>21</v>
      </c>
      <c r="F567" s="2" t="s">
        <v>15</v>
      </c>
      <c r="G567" s="2" t="s">
        <v>1641</v>
      </c>
      <c r="H567" s="2" t="s">
        <v>694</v>
      </c>
      <c r="I567" s="2" t="str">
        <f>IFERROR(__xludf.DUMMYFUNCTION("GOOGLETRANSLATE(C567,""fr"",""en"")"),"Following an abusive increase in my subscription, I sent an email, so that Direct Insurance will see their price proposal with a more coherent and honest price.
Following that I contacted Pat Phone when I was already in communication.
So I recalled 5 mi"&amp;"nutes later.
Surprise PRESNON does not answer or picks up without answering after 12 calls.
I started again this day 30 calls !!!!! screen photos for proof.
I dare not imagine if I call for a disaster !!!")</f>
        <v>Following an abusive increase in my subscription, I sent an email, so that Direct Insurance will see their price proposal with a more coherent and honest price.
Following that I contacted Pat Phone when I was already in communication.
So I recalled 5 minutes later.
Surprise PRESNON does not answer or picks up without answering after 12 calls.
I started again this day 30 calls !!!!! screen photos for proof.
I dare not imagine if I call for a disaster !!!</v>
      </c>
    </row>
    <row r="568" ht="15.75" customHeight="1">
      <c r="A568" s="2">
        <v>1.0</v>
      </c>
      <c r="B568" s="2" t="s">
        <v>1642</v>
      </c>
      <c r="C568" s="2" t="s">
        <v>1643</v>
      </c>
      <c r="D568" s="2" t="s">
        <v>1644</v>
      </c>
      <c r="E568" s="2" t="s">
        <v>74</v>
      </c>
      <c r="F568" s="2" t="s">
        <v>15</v>
      </c>
      <c r="G568" s="2" t="s">
        <v>1058</v>
      </c>
      <c r="H568" s="2" t="s">
        <v>274</v>
      </c>
      <c r="I568" s="2" t="str">
        <f>IFERROR(__xludf.DUMMYFUNCTION("GOOGLETRANSLATE(C568,""fr"",""en"")"),"Damn the 1st comment is not passing. In short. As soon as you are invalidit in hell I am sick doubly because of their total desintere to leave you on the straw. After 2 medical expertise I can't get anyone who knows someone. We run you in Bourique and I h"&amp;"ave no confidence in the fact that it is only interior which has access to the expert report c not normal. The 1st report was clear, however, of it concluded otherwise. What will they tell me today? It is allarming and ecoeurant.
To flee")</f>
        <v>Damn the 1st comment is not passing. In short. As soon as you are invalidit in hell I am sick doubly because of their total desintere to leave you on the straw. After 2 medical expertise I can't get anyone who knows someone. We run you in Bourique and I have no confidence in the fact that it is only interior which has access to the expert report c not normal. The 1st report was clear, however, of it concluded otherwise. What will they tell me today? It is allarming and ecoeurant.
To flee</v>
      </c>
    </row>
    <row r="569" ht="15.75" customHeight="1">
      <c r="A569" s="2">
        <v>5.0</v>
      </c>
      <c r="B569" s="2" t="s">
        <v>1645</v>
      </c>
      <c r="C569" s="2" t="s">
        <v>1646</v>
      </c>
      <c r="D569" s="2" t="s">
        <v>20</v>
      </c>
      <c r="E569" s="2" t="s">
        <v>21</v>
      </c>
      <c r="F569" s="2" t="s">
        <v>15</v>
      </c>
      <c r="G569" s="2" t="s">
        <v>813</v>
      </c>
      <c r="H569" s="2" t="s">
        <v>23</v>
      </c>
      <c r="I569" s="2" t="str">
        <f>IFERROR(__xludf.DUMMYFUNCTION("GOOGLETRANSLATE(C569,""fr"",""en"")"),"I am satisfied with prices, the services suit me everything is simple and quick.
I advise direct insurance to everyone who wants good insurance")</f>
        <v>I am satisfied with prices, the services suit me everything is simple and quick.
I advise direct insurance to everyone who wants good insurance</v>
      </c>
    </row>
    <row r="570" ht="15.75" customHeight="1">
      <c r="A570" s="2">
        <v>4.0</v>
      </c>
      <c r="B570" s="2" t="s">
        <v>1647</v>
      </c>
      <c r="C570" s="2" t="s">
        <v>1648</v>
      </c>
      <c r="D570" s="2" t="s">
        <v>78</v>
      </c>
      <c r="E570" s="2" t="s">
        <v>79</v>
      </c>
      <c r="F570" s="2" t="s">
        <v>15</v>
      </c>
      <c r="G570" s="2" t="s">
        <v>858</v>
      </c>
      <c r="H570" s="2" t="s">
        <v>58</v>
      </c>
      <c r="I570" s="2" t="str">
        <f>IFERROR(__xludf.DUMMYFUNCTION("GOOGLETRANSLATE(C570,""fr"",""en"")"),"I am satisfied with the service and the price
Fast and practical served
Satisfied value for money
Simple and quick in use
Recommended for young permits")</f>
        <v>I am satisfied with the service and the price
Fast and practical served
Satisfied value for money
Simple and quick in use
Recommended for young permits</v>
      </c>
    </row>
    <row r="571" ht="15.75" customHeight="1">
      <c r="A571" s="2">
        <v>1.0</v>
      </c>
      <c r="B571" s="2" t="s">
        <v>1649</v>
      </c>
      <c r="C571" s="2" t="s">
        <v>1650</v>
      </c>
      <c r="D571" s="2" t="s">
        <v>68</v>
      </c>
      <c r="E571" s="2" t="s">
        <v>14</v>
      </c>
      <c r="F571" s="2" t="s">
        <v>15</v>
      </c>
      <c r="G571" s="2" t="s">
        <v>1651</v>
      </c>
      <c r="H571" s="2" t="s">
        <v>468</v>
      </c>
      <c r="I571" s="2" t="str">
        <f>IFERROR(__xludf.DUMMYFUNCTION("GOOGLETRANSLATE(C571,""fr"",""en"")"),"To be proscribed imperative !!
These people with dubious methods take advantage of your business creation to become an interlocutor more involved in administrative meanders and in so having you adhere to their contracts: discourse on perfection, effectiv"&amp;"e method to make you sign in 5 minutes A remote electronic signature!")</f>
        <v>To be proscribed imperative !!
These people with dubious methods take advantage of your business creation to become an interlocutor more involved in administrative meanders and in so having you adhere to their contracts: discourse on perfection, effective method to make you sign in 5 minutes A remote electronic signature!</v>
      </c>
    </row>
    <row r="572" ht="15.75" customHeight="1">
      <c r="A572" s="2">
        <v>5.0</v>
      </c>
      <c r="B572" s="2" t="s">
        <v>1652</v>
      </c>
      <c r="C572" s="2" t="s">
        <v>1653</v>
      </c>
      <c r="D572" s="2" t="s">
        <v>78</v>
      </c>
      <c r="E572" s="2" t="s">
        <v>79</v>
      </c>
      <c r="F572" s="2" t="s">
        <v>15</v>
      </c>
      <c r="G572" s="2" t="s">
        <v>1654</v>
      </c>
      <c r="H572" s="2" t="s">
        <v>17</v>
      </c>
      <c r="I572" s="2" t="str">
        <f>IFERROR(__xludf.DUMMYFUNCTION("GOOGLETRANSLATE(C572,""fr"",""en"")"),"I am satisfied with the speed to have a price and the ease of taking out insurance
Your prices are overall Complete to see in the future now if during a disaster everything takes place correctly")</f>
        <v>I am satisfied with the speed to have a price and the ease of taking out insurance
Your prices are overall Complete to see in the future now if during a disaster everything takes place correctly</v>
      </c>
    </row>
    <row r="573" ht="15.75" customHeight="1">
      <c r="A573" s="2">
        <v>1.0</v>
      </c>
      <c r="B573" s="2" t="s">
        <v>1655</v>
      </c>
      <c r="C573" s="2" t="s">
        <v>1656</v>
      </c>
      <c r="D573" s="2" t="s">
        <v>64</v>
      </c>
      <c r="E573" s="2" t="s">
        <v>21</v>
      </c>
      <c r="F573" s="2" t="s">
        <v>15</v>
      </c>
      <c r="G573" s="2" t="s">
        <v>1562</v>
      </c>
      <c r="H573" s="2" t="s">
        <v>81</v>
      </c>
      <c r="I573" s="2" t="str">
        <f>IFERROR(__xludf.DUMMYFUNCTION("GOOGLETRANSLATE(C573,""fr"",""en"")"),"I am satisfied with the service.
The prices are very satisfactory in the face of competition
The quote and the contract were rapid and effective.
Thank you")</f>
        <v>I am satisfied with the service.
The prices are very satisfactory in the face of competition
The quote and the contract were rapid and effective.
Thank you</v>
      </c>
    </row>
    <row r="574" ht="15.75" customHeight="1">
      <c r="A574" s="2">
        <v>4.0</v>
      </c>
      <c r="B574" s="2" t="s">
        <v>1657</v>
      </c>
      <c r="C574" s="2" t="s">
        <v>1658</v>
      </c>
      <c r="D574" s="2" t="s">
        <v>20</v>
      </c>
      <c r="E574" s="2" t="s">
        <v>21</v>
      </c>
      <c r="F574" s="2" t="s">
        <v>15</v>
      </c>
      <c r="G574" s="2" t="s">
        <v>849</v>
      </c>
      <c r="H574" s="2" t="s">
        <v>70</v>
      </c>
      <c r="I574" s="2" t="str">
        <f>IFERROR(__xludf.DUMMYFUNCTION("GOOGLETRANSLATE(C574,""fr"",""en"")"),"I am satisfied with the service a lot of responsiveness The prices remain completely affordable. I recommend direct insurance, we can count on them!")</f>
        <v>I am satisfied with the service a lot of responsiveness The prices remain completely affordable. I recommend direct insurance, we can count on them!</v>
      </c>
    </row>
    <row r="575" ht="15.75" customHeight="1">
      <c r="A575" s="2">
        <v>2.0</v>
      </c>
      <c r="B575" s="2" t="s">
        <v>1659</v>
      </c>
      <c r="C575" s="2" t="s">
        <v>1660</v>
      </c>
      <c r="D575" s="2" t="s">
        <v>119</v>
      </c>
      <c r="E575" s="2" t="s">
        <v>21</v>
      </c>
      <c r="F575" s="2" t="s">
        <v>15</v>
      </c>
      <c r="G575" s="2" t="s">
        <v>1661</v>
      </c>
      <c r="H575" s="2" t="s">
        <v>178</v>
      </c>
      <c r="I575" s="2" t="str">
        <f>IFERROR(__xludf.DUMMYFUNCTION("GOOGLETRANSLATE(C575,""fr"",""en"")"),"Deplorable assistance service. Leaving the insured on the scene of claim and only repatriating his wife. Vehicle not taken care of because already deposited in an incompetent close garage. Too administrative service. To avoid!!!!!")</f>
        <v>Deplorable assistance service. Leaving the insured on the scene of claim and only repatriating his wife. Vehicle not taken care of because already deposited in an incompetent close garage. Too administrative service. To avoid!!!!!</v>
      </c>
    </row>
    <row r="576" ht="15.75" customHeight="1">
      <c r="A576" s="2">
        <v>3.0</v>
      </c>
      <c r="B576" s="2" t="s">
        <v>1662</v>
      </c>
      <c r="C576" s="2" t="s">
        <v>1663</v>
      </c>
      <c r="D576" s="2" t="s">
        <v>20</v>
      </c>
      <c r="E576" s="2" t="s">
        <v>21</v>
      </c>
      <c r="F576" s="2" t="s">
        <v>15</v>
      </c>
      <c r="G576" s="2" t="s">
        <v>1465</v>
      </c>
      <c r="H576" s="2" t="s">
        <v>17</v>
      </c>
      <c r="I576" s="2" t="str">
        <f>IFERROR(__xludf.DUMMYFUNCTION("GOOGLETRANSLATE(C576,""fr"",""en"")"),"I had to receive a reimbursement of 25 € with the Drivebox. It was defective in November 2021 and Direct Insurance deleted the reimbursement of October 2021, which is not normal. The technical defect is not from mine, the problem comes from the Drivebox. "&amp;"I made a complaint and I did not have an answer. I am very disappointed and I will not start you again !!!")</f>
        <v>I had to receive a reimbursement of 25 € with the Drivebox. It was defective in November 2021 and Direct Insurance deleted the reimbursement of October 2021, which is not normal. The technical defect is not from mine, the problem comes from the Drivebox. I made a complaint and I did not have an answer. I am very disappointed and I will not start you again !!!</v>
      </c>
    </row>
    <row r="577" ht="15.75" customHeight="1">
      <c r="A577" s="2">
        <v>2.0</v>
      </c>
      <c r="B577" s="2" t="s">
        <v>1664</v>
      </c>
      <c r="C577" s="2" t="s">
        <v>1665</v>
      </c>
      <c r="D577" s="2" t="s">
        <v>260</v>
      </c>
      <c r="E577" s="2" t="s">
        <v>261</v>
      </c>
      <c r="F577" s="2" t="s">
        <v>15</v>
      </c>
      <c r="G577" s="2" t="s">
        <v>1666</v>
      </c>
      <c r="H577" s="2" t="s">
        <v>1075</v>
      </c>
      <c r="I577" s="2" t="str">
        <f>IFERROR(__xludf.DUMMYFUNCTION("GOOGLETRANSLATE(C577,""fr"",""en"")"),"Following the death of my mother in March 2018 which had subscribed to life insurance, of which I am the main beneficiary, the BNP Banque Privée advisor did the necessary during the following week. I had to have a cardiff letter within 15 days. 1 month 1/"&amp;"2 later, having no news, in my presence the advisor relaunched them by phone. A letter was to be sent to me within 15 days. Today, almost a minus later, I did not receive any mail! I between two, however, sent registered mail parts with acknowledgment of "&amp;"receipt, to anticipate the file to be formed, but no answer !!!
By consulting the opinions on the site, I fear that the rest is difficult to ask for documents that they already have or that they would not have received.
I start to have doubts about the "&amp;"seriousness of this group, more concerned to keep the funds to make them grow, than to pay them to the beneficiaries within the deadlines they announce, when the contract is subscribed or when declaring death.
Having myself my accounts at the BNP, as soo"&amp;"n as possible I think I will close everything, as well as place the competition all the funds to be collected from BNP or Cardiff.")</f>
        <v>Following the death of my mother in March 2018 which had subscribed to life insurance, of which I am the main beneficiary, the BNP Banque Privée advisor did the necessary during the following week. I had to have a cardiff letter within 15 days. 1 month 1/2 later, having no news, in my presence the advisor relaunched them by phone. A letter was to be sent to me within 15 days. Today, almost a minus later, I did not receive any mail! I between two, however, sent registered mail parts with acknowledgment of receipt, to anticipate the file to be formed, but no answer !!!
By consulting the opinions on the site, I fear that the rest is difficult to ask for documents that they already have or that they would not have received.
I start to have doubts about the seriousness of this group, more concerned to keep the funds to make them grow, than to pay them to the beneficiaries within the deadlines they announce, when the contract is subscribed or when declaring death.
Having myself my accounts at the BNP, as soon as possible I think I will close everything, as well as place the competition all the funds to be collected from BNP or Cardiff.</v>
      </c>
    </row>
    <row r="578" ht="15.75" customHeight="1">
      <c r="A578" s="2">
        <v>2.0</v>
      </c>
      <c r="B578" s="2" t="s">
        <v>1667</v>
      </c>
      <c r="C578" s="2" t="s">
        <v>1668</v>
      </c>
      <c r="D578" s="2" t="s">
        <v>64</v>
      </c>
      <c r="E578" s="2" t="s">
        <v>21</v>
      </c>
      <c r="F578" s="2" t="s">
        <v>15</v>
      </c>
      <c r="G578" s="2" t="s">
        <v>1669</v>
      </c>
      <c r="H578" s="2" t="s">
        <v>362</v>
      </c>
      <c r="I578" s="2" t="str">
        <f>IFERROR(__xludf.DUMMYFUNCTION("GOOGLETRANSLATE(C578,""fr"",""en"")"),"Prices are attractive, and easy and quick subscription.
But after it gets complicated: 2 months that I try to change banking contact details, still not taken into account.
The responses to emails reach an extremely long period (10 days to ultimately not"&amp;" change the RIB correctly!)
Even the endorsements are complicated: I changed home, and at first I receive the endorsement on the bad effective date, then the date is correct but there is an error in my name ..!
In short, I think that as soon as my con"&amp;"tract is over, I change insurer!")</f>
        <v>Prices are attractive, and easy and quick subscription.
But after it gets complicated: 2 months that I try to change banking contact details, still not taken into account.
The responses to emails reach an extremely long period (10 days to ultimately not change the RIB correctly!)
Even the endorsements are complicated: I changed home, and at first I receive the endorsement on the bad effective date, then the date is correct but there is an error in my name ..!
In short, I think that as soon as my contract is over, I change insurer!</v>
      </c>
    </row>
    <row r="579" ht="15.75" customHeight="1">
      <c r="A579" s="2">
        <v>3.0</v>
      </c>
      <c r="B579" s="2" t="s">
        <v>1670</v>
      </c>
      <c r="C579" s="2" t="s">
        <v>1671</v>
      </c>
      <c r="D579" s="2" t="s">
        <v>64</v>
      </c>
      <c r="E579" s="2" t="s">
        <v>21</v>
      </c>
      <c r="F579" s="2" t="s">
        <v>15</v>
      </c>
      <c r="G579" s="2" t="s">
        <v>1672</v>
      </c>
      <c r="H579" s="2" t="s">
        <v>178</v>
      </c>
      <c r="I579" s="2" t="str">
        <f>IFERROR(__xludf.DUMMYFUNCTION("GOOGLETRANSLATE(C579,""fr"",""en"")"),"I find the price too imposing by contribution at the price of competitors, since we do everything on the Internet, also the price of subscription costs. Nothing else")</f>
        <v>I find the price too imposing by contribution at the price of competitors, since we do everything on the Internet, also the price of subscription costs. Nothing else</v>
      </c>
    </row>
    <row r="580" ht="15.75" customHeight="1">
      <c r="A580" s="2">
        <v>4.0</v>
      </c>
      <c r="B580" s="2" t="s">
        <v>1673</v>
      </c>
      <c r="C580" s="2" t="s">
        <v>1674</v>
      </c>
      <c r="D580" s="2" t="s">
        <v>20</v>
      </c>
      <c r="E580" s="2" t="s">
        <v>21</v>
      </c>
      <c r="F580" s="2" t="s">
        <v>15</v>
      </c>
      <c r="G580" s="2" t="s">
        <v>411</v>
      </c>
      <c r="H580" s="2" t="s">
        <v>89</v>
      </c>
      <c r="I580" s="2" t="str">
        <f>IFERROR(__xludf.DUMMYFUNCTION("GOOGLETRANSLATE(C580,""fr"",""en"")"),"Very good advisor by phone. Good price compared to other insurance. Easy to have an advisor and good listen.
Website simplicity and ergonomics to search for information")</f>
        <v>Very good advisor by phone. Good price compared to other insurance. Easy to have an advisor and good listen.
Website simplicity and ergonomics to search for information</v>
      </c>
    </row>
    <row r="581" ht="15.75" customHeight="1">
      <c r="A581" s="2">
        <v>4.0</v>
      </c>
      <c r="B581" s="2" t="s">
        <v>1675</v>
      </c>
      <c r="C581" s="2" t="s">
        <v>1676</v>
      </c>
      <c r="D581" s="2" t="s">
        <v>20</v>
      </c>
      <c r="E581" s="2" t="s">
        <v>21</v>
      </c>
      <c r="F581" s="2" t="s">
        <v>15</v>
      </c>
      <c r="G581" s="2" t="s">
        <v>442</v>
      </c>
      <c r="H581" s="2" t="s">
        <v>23</v>
      </c>
      <c r="I581" s="2" t="str">
        <f>IFERROR(__xludf.DUMMYFUNCTION("GOOGLETRANSLATE(C581,""fr"",""en"")"),"I initiated my contract by phone in a few minutes thanks to the help of the operator. I was able to ensure my vehicle at a fairly affordable price")</f>
        <v>I initiated my contract by phone in a few minutes thanks to the help of the operator. I was able to ensure my vehicle at a fairly affordable price</v>
      </c>
    </row>
    <row r="582" ht="15.75" customHeight="1">
      <c r="A582" s="2">
        <v>1.0</v>
      </c>
      <c r="B582" s="2" t="s">
        <v>1677</v>
      </c>
      <c r="C582" s="2" t="s">
        <v>1678</v>
      </c>
      <c r="D582" s="2" t="s">
        <v>281</v>
      </c>
      <c r="E582" s="2" t="s">
        <v>21</v>
      </c>
      <c r="F582" s="2" t="s">
        <v>15</v>
      </c>
      <c r="G582" s="2" t="s">
        <v>638</v>
      </c>
      <c r="H582" s="2" t="s">
        <v>178</v>
      </c>
      <c r="I582" s="2" t="str">
        <f>IFERROR(__xludf.DUMMYFUNCTION("GOOGLETRANSLATE(C582,""fr"",""en"")"),"Hours spent on the phone trying to reach them. An incompetent auto customer service by taking almost 1 month to process a single vehicle session document.
Almost equivalent prices for a 5CV or 12CV vehicle, a scandal! One on bonus for a non -responsible "&amp;"accident ... in short ...
Apart from the Legal and Housing Service I advise you to flee Allianz !!!")</f>
        <v>Hours spent on the phone trying to reach them. An incompetent auto customer service by taking almost 1 month to process a single vehicle session document.
Almost equivalent prices for a 5CV or 12CV vehicle, a scandal! One on bonus for a non -responsible accident ... in short ...
Apart from the Legal and Housing Service I advise you to flee Allianz !!!</v>
      </c>
    </row>
    <row r="583" ht="15.75" customHeight="1">
      <c r="A583" s="2">
        <v>4.0</v>
      </c>
      <c r="B583" s="2" t="s">
        <v>1679</v>
      </c>
      <c r="C583" s="2" t="s">
        <v>1680</v>
      </c>
      <c r="D583" s="2" t="s">
        <v>64</v>
      </c>
      <c r="E583" s="2" t="s">
        <v>21</v>
      </c>
      <c r="F583" s="2" t="s">
        <v>15</v>
      </c>
      <c r="G583" s="2" t="s">
        <v>1021</v>
      </c>
      <c r="H583" s="2" t="s">
        <v>17</v>
      </c>
      <c r="I583" s="2" t="str">
        <f>IFERROR(__xludf.DUMMYFUNCTION("GOOGLETRANSLATE(C583,""fr"",""en"")"),"I am satisfied value for money and services
Welcome and speed The explanations are clear
thank you very much continue as good day")</f>
        <v>I am satisfied value for money and services
Welcome and speed The explanations are clear
thank you very much continue as good day</v>
      </c>
    </row>
    <row r="584" ht="15.75" customHeight="1">
      <c r="A584" s="2">
        <v>1.0</v>
      </c>
      <c r="B584" s="2" t="s">
        <v>1681</v>
      </c>
      <c r="C584" s="2" t="s">
        <v>1682</v>
      </c>
      <c r="D584" s="2" t="s">
        <v>20</v>
      </c>
      <c r="E584" s="2" t="s">
        <v>21</v>
      </c>
      <c r="F584" s="2" t="s">
        <v>15</v>
      </c>
      <c r="G584" s="2" t="s">
        <v>1683</v>
      </c>
      <c r="H584" s="2" t="s">
        <v>45</v>
      </c>
      <c r="I584" s="2" t="str">
        <f>IFERROR(__xludf.DUMMYFUNCTION("GOOGLETRANSLATE(C584,""fr"",""en"")"),"Hello, To all customers read the small lines of your contracts well! Indeed following natural disaster my son to contact Direct Insurance because his vehicle take away with flood, and the cold Direct Assurance shower does not cover abroad in his case Belg"&amp;"ium! Never in my life I have heard such stupidity! So if you don't know it you are not ensuring for the foreigner! Go elsewhere for perfect coverage! Here.
Cordially.")</f>
        <v>Hello, To all customers read the small lines of your contracts well! Indeed following natural disaster my son to contact Direct Insurance because his vehicle take away with flood, and the cold Direct Assurance shower does not cover abroad in his case Belgium! Never in my life I have heard such stupidity! So if you don't know it you are not ensuring for the foreigner! Go elsewhere for perfect coverage! Here.
Cordially.</v>
      </c>
    </row>
    <row r="585" ht="15.75" customHeight="1">
      <c r="A585" s="2">
        <v>3.0</v>
      </c>
      <c r="B585" s="2" t="s">
        <v>1684</v>
      </c>
      <c r="C585" s="2" t="s">
        <v>1685</v>
      </c>
      <c r="D585" s="2" t="s">
        <v>95</v>
      </c>
      <c r="E585" s="2" t="s">
        <v>207</v>
      </c>
      <c r="F585" s="2" t="s">
        <v>15</v>
      </c>
      <c r="G585" s="2" t="s">
        <v>1686</v>
      </c>
      <c r="H585" s="2" t="s">
        <v>428</v>
      </c>
      <c r="I585" s="2" t="str">
        <f>IFERROR(__xludf.DUMMYFUNCTION("GOOGLETRANSLATE(C585,""fr"",""en"")"),"very satisfied with the Castraise agency and especially the agents")</f>
        <v>very satisfied with the Castraise agency and especially the agents</v>
      </c>
    </row>
    <row r="586" ht="15.75" customHeight="1">
      <c r="A586" s="2">
        <v>4.0</v>
      </c>
      <c r="B586" s="2" t="s">
        <v>1687</v>
      </c>
      <c r="C586" s="2" t="s">
        <v>1688</v>
      </c>
      <c r="D586" s="2" t="s">
        <v>13</v>
      </c>
      <c r="E586" s="2" t="s">
        <v>14</v>
      </c>
      <c r="F586" s="2" t="s">
        <v>15</v>
      </c>
      <c r="G586" s="2" t="s">
        <v>1689</v>
      </c>
      <c r="H586" s="2" t="s">
        <v>801</v>
      </c>
      <c r="I586" s="2" t="str">
        <f>IFERROR(__xludf.DUMMYFUNCTION("GOOGLETRANSLATE(C586,""fr"",""en"")"),"Insurance very well designed to adapt well for all budgets and the interlocutors are very explicit on each request")</f>
        <v>Insurance very well designed to adapt well for all budgets and the interlocutors are very explicit on each request</v>
      </c>
    </row>
    <row r="587" ht="15.75" customHeight="1">
      <c r="A587" s="2">
        <v>2.0</v>
      </c>
      <c r="B587" s="2" t="s">
        <v>1690</v>
      </c>
      <c r="C587" s="2" t="s">
        <v>1691</v>
      </c>
      <c r="D587" s="2" t="s">
        <v>269</v>
      </c>
      <c r="E587" s="2" t="s">
        <v>207</v>
      </c>
      <c r="F587" s="2" t="s">
        <v>15</v>
      </c>
      <c r="G587" s="2" t="s">
        <v>1692</v>
      </c>
      <c r="H587" s="2" t="s">
        <v>128</v>
      </c>
      <c r="I587" s="2" t="str">
        <f>IFERROR(__xludf.DUMMYFUNCTION("GOOGLETRANSLATE(C587,""fr"",""en"")"),"Battled for my roof as well as my bathroom and 3 bedrooms.
6200th compensation (roof alone costs 9000th)
The interior with the quotes of their partner 3600th
Run away
I terminate and take the work at my expense")</f>
        <v>Battled for my roof as well as my bathroom and 3 bedrooms.
6200th compensation (roof alone costs 9000th)
The interior with the quotes of their partner 3600th
Run away
I terminate and take the work at my expense</v>
      </c>
    </row>
    <row r="588" ht="15.75" customHeight="1">
      <c r="A588" s="2">
        <v>4.0</v>
      </c>
      <c r="B588" s="2" t="s">
        <v>1693</v>
      </c>
      <c r="C588" s="2" t="s">
        <v>1694</v>
      </c>
      <c r="D588" s="2" t="s">
        <v>87</v>
      </c>
      <c r="E588" s="2" t="s">
        <v>79</v>
      </c>
      <c r="F588" s="2" t="s">
        <v>15</v>
      </c>
      <c r="G588" s="2" t="s">
        <v>75</v>
      </c>
      <c r="H588" s="2" t="s">
        <v>45</v>
      </c>
      <c r="I588" s="2" t="str">
        <f>IFERROR(__xludf.DUMMYFUNCTION("GOOGLETRANSLATE(C588,""fr"",""en"")"),"I am satisfied with service ...
The prices suit me ...
Simple and practical ...
And the very good simptie of telefonious service person.
Thank you...")</f>
        <v>I am satisfied with service ...
The prices suit me ...
Simple and practical ...
And the very good simptie of telefonious service person.
Thank you...</v>
      </c>
    </row>
    <row r="589" ht="15.75" customHeight="1">
      <c r="A589" s="2">
        <v>2.0</v>
      </c>
      <c r="B589" s="2" t="s">
        <v>1695</v>
      </c>
      <c r="C589" s="2" t="s">
        <v>1696</v>
      </c>
      <c r="D589" s="2" t="s">
        <v>392</v>
      </c>
      <c r="E589" s="2" t="s">
        <v>110</v>
      </c>
      <c r="F589" s="2" t="s">
        <v>15</v>
      </c>
      <c r="G589" s="2" t="s">
        <v>1697</v>
      </c>
      <c r="H589" s="2" t="s">
        <v>667</v>
      </c>
      <c r="I589" s="2" t="str">
        <f>IFERROR(__xludf.DUMMYFUNCTION("GOOGLETRANSLATE(C589,""fr"",""en"")"),"At the beginning they sell us from the dream and they call us every minute almost and make us believe that they will always be there for us, but from the inscription they respond to 1 email out of 5. I am disappointed, and that is only a few months that I"&amp;" am a customer with them. I think an animal insurance was a bad idea for me.")</f>
        <v>At the beginning they sell us from the dream and they call us every minute almost and make us believe that they will always be there for us, but from the inscription they respond to 1 email out of 5. I am disappointed, and that is only a few months that I am a customer with them. I think an animal insurance was a bad idea for me.</v>
      </c>
    </row>
    <row r="590" ht="15.75" customHeight="1">
      <c r="A590" s="2">
        <v>5.0</v>
      </c>
      <c r="B590" s="2" t="s">
        <v>1698</v>
      </c>
      <c r="C590" s="2" t="s">
        <v>1699</v>
      </c>
      <c r="D590" s="2" t="s">
        <v>64</v>
      </c>
      <c r="E590" s="2" t="s">
        <v>21</v>
      </c>
      <c r="F590" s="2" t="s">
        <v>15</v>
      </c>
      <c r="G590" s="2" t="s">
        <v>1700</v>
      </c>
      <c r="H590" s="2" t="s">
        <v>489</v>
      </c>
      <c r="I590" s="2" t="str">
        <f>IFERROR(__xludf.DUMMYFUNCTION("GOOGLETRANSLATE(C590,""fr"",""en"")"),"4 years that I have been a customer with them with minimum 2 contracts and seriously everything is always going perfectly, Messenger or telephone customer service, troubleshooting, sinister, change of vehicle and very interesting prices thank you;);)")</f>
        <v>4 years that I have been a customer with them with minimum 2 contracts and seriously everything is always going perfectly, Messenger or telephone customer service, troubleshooting, sinister, change of vehicle and very interesting prices thank you;);)</v>
      </c>
    </row>
    <row r="591" ht="15.75" customHeight="1">
      <c r="A591" s="2">
        <v>5.0</v>
      </c>
      <c r="B591" s="2" t="s">
        <v>1701</v>
      </c>
      <c r="C591" s="2" t="s">
        <v>1702</v>
      </c>
      <c r="D591" s="2" t="s">
        <v>523</v>
      </c>
      <c r="E591" s="2" t="s">
        <v>450</v>
      </c>
      <c r="F591" s="2" t="s">
        <v>15</v>
      </c>
      <c r="G591" s="2" t="s">
        <v>1703</v>
      </c>
      <c r="H591" s="2" t="s">
        <v>182</v>
      </c>
      <c r="I591" s="2" t="str">
        <f>IFERROR(__xludf.DUMMYFUNCTION("GOOGLETRANSLATE(C591,""fr"",""en"")"),"efficiency and speed. Great !!! The advisor is attentive and responsive. The prices are attractive with equivalent guarantees. If you want to save money, there is no hesitation.")</f>
        <v>efficiency and speed. Great !!! The advisor is attentive and responsive. The prices are attractive with equivalent guarantees. If you want to save money, there is no hesitation.</v>
      </c>
    </row>
    <row r="592" ht="15.75" customHeight="1">
      <c r="A592" s="2">
        <v>1.0</v>
      </c>
      <c r="B592" s="2" t="s">
        <v>1704</v>
      </c>
      <c r="C592" s="2" t="s">
        <v>1705</v>
      </c>
      <c r="D592" s="2" t="s">
        <v>20</v>
      </c>
      <c r="E592" s="2" t="s">
        <v>21</v>
      </c>
      <c r="F592" s="2" t="s">
        <v>15</v>
      </c>
      <c r="G592" s="2" t="s">
        <v>1706</v>
      </c>
      <c r="H592" s="2" t="s">
        <v>70</v>
      </c>
      <c r="I592" s="2" t="str">
        <f>IFERROR(__xludf.DUMMYFUNCTION("GOOGLETRANSLATE(C592,""fr"",""en"")"),"I need my car because of your approved container garage I find myself without a car because of a bad manipulation during disassembly before painting I would like to know when I can recover my car as it was before, that makes one month that I wait for it ."&amp;"...")</f>
        <v>I need my car because of your approved container garage I find myself without a car because of a bad manipulation during disassembly before painting I would like to know when I can recover my car as it was before, that makes one month that I wait for it ....</v>
      </c>
    </row>
    <row r="593" ht="15.75" customHeight="1">
      <c r="A593" s="2">
        <v>2.0</v>
      </c>
      <c r="B593" s="2" t="s">
        <v>1707</v>
      </c>
      <c r="C593" s="2" t="s">
        <v>1708</v>
      </c>
      <c r="D593" s="2" t="s">
        <v>35</v>
      </c>
      <c r="E593" s="2" t="s">
        <v>21</v>
      </c>
      <c r="F593" s="2" t="s">
        <v>15</v>
      </c>
      <c r="G593" s="2" t="s">
        <v>42</v>
      </c>
      <c r="H593" s="2" t="s">
        <v>42</v>
      </c>
      <c r="I593" s="2" t="str">
        <f>IFERROR(__xludf.DUMMYFUNCTION("GOOGLETRANSLATE(C593,""fr"",""en"")"),"Insured at GMF with driver warranty when a serious accident happened to me.
Victim of this accident and my consequences are important and final.
Six years have passed without being compensation.")</f>
        <v>Insured at GMF with driver warranty when a serious accident happened to me.
Victim of this accident and my consequences are important and final.
Six years have passed without being compensation.</v>
      </c>
    </row>
    <row r="594" ht="15.75" customHeight="1">
      <c r="A594" s="2">
        <v>4.0</v>
      </c>
      <c r="B594" s="2" t="s">
        <v>1709</v>
      </c>
      <c r="C594" s="2" t="s">
        <v>1710</v>
      </c>
      <c r="D594" s="2" t="s">
        <v>64</v>
      </c>
      <c r="E594" s="2" t="s">
        <v>21</v>
      </c>
      <c r="F594" s="2" t="s">
        <v>15</v>
      </c>
      <c r="G594" s="2" t="s">
        <v>1711</v>
      </c>
      <c r="H594" s="2" t="s">
        <v>178</v>
      </c>
      <c r="I594" s="2" t="str">
        <f>IFERROR(__xludf.DUMMYFUNCTION("GOOGLETRANSLATE(C594,""fr"",""en"")"),"Very satisfied with my interlocutor that I had on the phone she explains to me well and answered my questions I would recommend your business to my friends")</f>
        <v>Very satisfied with my interlocutor that I had on the phone she explains to me well and answered my questions I would recommend your business to my friends</v>
      </c>
    </row>
    <row r="595" ht="15.75" customHeight="1">
      <c r="A595" s="2">
        <v>3.0</v>
      </c>
      <c r="B595" s="2" t="s">
        <v>1712</v>
      </c>
      <c r="C595" s="2" t="s">
        <v>1713</v>
      </c>
      <c r="D595" s="2" t="s">
        <v>523</v>
      </c>
      <c r="E595" s="2" t="s">
        <v>450</v>
      </c>
      <c r="F595" s="2" t="s">
        <v>15</v>
      </c>
      <c r="G595" s="2" t="s">
        <v>152</v>
      </c>
      <c r="H595" s="2" t="s">
        <v>89</v>
      </c>
      <c r="I595" s="2" t="str">
        <f>IFERROR(__xludf.DUMMYFUNCTION("GOOGLETRANSLATE(C595,""fr"",""en"")"),"I am satisfied with the service which is very fast and detailed, the online signature procedure is a point more. On the other hand, case fees for by borrowing is a little expensive.")</f>
        <v>I am satisfied with the service which is very fast and detailed, the online signature procedure is a point more. On the other hand, case fees for by borrowing is a little expensive.</v>
      </c>
    </row>
    <row r="596" ht="15.75" customHeight="1">
      <c r="A596" s="2">
        <v>2.0</v>
      </c>
      <c r="B596" s="2" t="s">
        <v>1714</v>
      </c>
      <c r="C596" s="2" t="s">
        <v>1715</v>
      </c>
      <c r="D596" s="2" t="s">
        <v>523</v>
      </c>
      <c r="E596" s="2" t="s">
        <v>450</v>
      </c>
      <c r="F596" s="2" t="s">
        <v>15</v>
      </c>
      <c r="G596" s="2" t="s">
        <v>1081</v>
      </c>
      <c r="H596" s="2" t="s">
        <v>58</v>
      </c>
      <c r="I596" s="2" t="str">
        <f>IFERROR(__xludf.DUMMYFUNCTION("GOOGLETRANSLATE(C596,""fr"",""en"")"),"Incredibly ineffective
Literally for months ... months to have answers
To at the end, they have not heard from me and lose the file after more than a dozen reminders.
lamentable.")</f>
        <v>Incredibly ineffective
Literally for months ... months to have answers
To at the end, they have not heard from me and lose the file after more than a dozen reminders.
lamentable.</v>
      </c>
    </row>
    <row r="597" ht="15.75" customHeight="1">
      <c r="A597" s="2">
        <v>5.0</v>
      </c>
      <c r="B597" s="2" t="s">
        <v>1716</v>
      </c>
      <c r="C597" s="2" t="s">
        <v>1717</v>
      </c>
      <c r="D597" s="2" t="s">
        <v>64</v>
      </c>
      <c r="E597" s="2" t="s">
        <v>21</v>
      </c>
      <c r="F597" s="2" t="s">
        <v>15</v>
      </c>
      <c r="G597" s="2" t="s">
        <v>643</v>
      </c>
      <c r="H597" s="2" t="s">
        <v>23</v>
      </c>
      <c r="I597" s="2" t="str">
        <f>IFERROR(__xludf.DUMMYFUNCTION("GOOGLETRANSLATE(C597,""fr"",""en"")"),"More than satisfied with the service that was set up by your group to sign my Olivier insurance contract this Thursday, March two thousand twenty -one")</f>
        <v>More than satisfied with the service that was set up by your group to sign my Olivier insurance contract this Thursday, March two thousand twenty -one</v>
      </c>
    </row>
    <row r="598" ht="15.75" customHeight="1">
      <c r="A598" s="2">
        <v>5.0</v>
      </c>
      <c r="B598" s="2" t="s">
        <v>1718</v>
      </c>
      <c r="C598" s="2" t="s">
        <v>1719</v>
      </c>
      <c r="D598" s="2" t="s">
        <v>20</v>
      </c>
      <c r="E598" s="2" t="s">
        <v>21</v>
      </c>
      <c r="F598" s="2" t="s">
        <v>15</v>
      </c>
      <c r="G598" s="2" t="s">
        <v>1720</v>
      </c>
      <c r="H598" s="2" t="s">
        <v>70</v>
      </c>
      <c r="I598" s="2" t="str">
        <f>IFERROR(__xludf.DUMMYFUNCTION("GOOGLETRANSLATE(C598,""fr"",""en"")"),"Satisfied with prices and service.
Excellent follow -up.
Easy to use site, because it is clear and allows you to choose with ease.
Primo member, I'm waiting to see over time.")</f>
        <v>Satisfied with prices and service.
Excellent follow -up.
Easy to use site, because it is clear and allows you to choose with ease.
Primo member, I'm waiting to see over time.</v>
      </c>
    </row>
    <row r="599" ht="15.75" customHeight="1">
      <c r="A599" s="2">
        <v>4.0</v>
      </c>
      <c r="B599" s="2" t="s">
        <v>1721</v>
      </c>
      <c r="C599" s="2" t="s">
        <v>1722</v>
      </c>
      <c r="D599" s="2" t="s">
        <v>13</v>
      </c>
      <c r="E599" s="2" t="s">
        <v>14</v>
      </c>
      <c r="F599" s="2" t="s">
        <v>15</v>
      </c>
      <c r="G599" s="2" t="s">
        <v>1723</v>
      </c>
      <c r="H599" s="2" t="s">
        <v>353</v>
      </c>
      <c r="I599" s="2" t="str">
        <f>IFERROR(__xludf.DUMMYFUNCTION("GOOGLETRANSLATE(C599,""fr"",""en"")"),"Interlocutor Khalid was able to answer my questions very well and give me advice adapted to my request. I am satisfied with it.
Cordially.
Ahmed Ayed")</f>
        <v>Interlocutor Khalid was able to answer my questions very well and give me advice adapted to my request. I am satisfied with it.
Cordially.
Ahmed Ayed</v>
      </c>
    </row>
    <row r="600" ht="15.75" customHeight="1">
      <c r="A600" s="2">
        <v>3.0</v>
      </c>
      <c r="B600" s="2" t="s">
        <v>1724</v>
      </c>
      <c r="C600" s="2" t="s">
        <v>1725</v>
      </c>
      <c r="D600" s="2" t="s">
        <v>20</v>
      </c>
      <c r="E600" s="2" t="s">
        <v>21</v>
      </c>
      <c r="F600" s="2" t="s">
        <v>15</v>
      </c>
      <c r="G600" s="2" t="s">
        <v>335</v>
      </c>
      <c r="H600" s="2" t="s">
        <v>23</v>
      </c>
      <c r="I600" s="2" t="str">
        <f>IFERROR(__xludf.DUMMYFUNCTION("GOOGLETRANSLATE(C600,""fr"",""en"")"),"medium every time. I have selected certain guarantees in the quote that cannot be found in the contract. Contracts are never clear with very little details concerning your guarantees.")</f>
        <v>medium every time. I have selected certain guarantees in the quote that cannot be found in the contract. Contracts are never clear with very little details concerning your guarantees.</v>
      </c>
    </row>
    <row r="601" ht="15.75" customHeight="1">
      <c r="A601" s="2">
        <v>5.0</v>
      </c>
      <c r="B601" s="2" t="s">
        <v>1726</v>
      </c>
      <c r="C601" s="2" t="s">
        <v>1727</v>
      </c>
      <c r="D601" s="2" t="s">
        <v>200</v>
      </c>
      <c r="E601" s="2" t="s">
        <v>21</v>
      </c>
      <c r="F601" s="2" t="s">
        <v>15</v>
      </c>
      <c r="G601" s="2" t="s">
        <v>1728</v>
      </c>
      <c r="H601" s="2" t="s">
        <v>182</v>
      </c>
      <c r="I601" s="2" t="str">
        <f>IFERROR(__xludf.DUMMYFUNCTION("GOOGLETRANSLATE(C601,""fr"",""en"")"),"I just subscribed quickly, everything went well; Speed, kindness and professional conscience.
I do not understand these negative opinions.
Brigitte")</f>
        <v>I just subscribed quickly, everything went well; Speed, kindness and professional conscience.
I do not understand these negative opinions.
Brigitte</v>
      </c>
    </row>
    <row r="602" ht="15.75" customHeight="1">
      <c r="A602" s="2">
        <v>5.0</v>
      </c>
      <c r="B602" s="2" t="s">
        <v>1729</v>
      </c>
      <c r="C602" s="2" t="s">
        <v>1730</v>
      </c>
      <c r="D602" s="2" t="s">
        <v>20</v>
      </c>
      <c r="E602" s="2" t="s">
        <v>21</v>
      </c>
      <c r="F602" s="2" t="s">
        <v>15</v>
      </c>
      <c r="G602" s="2" t="s">
        <v>674</v>
      </c>
      <c r="H602" s="2" t="s">
        <v>70</v>
      </c>
      <c r="I602" s="2" t="str">
        <f>IFERROR(__xludf.DUMMYFUNCTION("GOOGLETRANSLATE(C602,""fr"",""en"")"),"I am very satisfied with the prices. Simple and practical. Nothing to say is perfect. I recommend your company without problem. I use the internet a lot and it suits me perfectly")</f>
        <v>I am very satisfied with the prices. Simple and practical. Nothing to say is perfect. I recommend your company without problem. I use the internet a lot and it suits me perfectly</v>
      </c>
    </row>
    <row r="603" ht="15.75" customHeight="1">
      <c r="A603" s="2">
        <v>1.0</v>
      </c>
      <c r="B603" s="2" t="s">
        <v>1731</v>
      </c>
      <c r="C603" s="2" t="s">
        <v>1732</v>
      </c>
      <c r="D603" s="2" t="s">
        <v>20</v>
      </c>
      <c r="E603" s="2" t="s">
        <v>21</v>
      </c>
      <c r="F603" s="2" t="s">
        <v>15</v>
      </c>
      <c r="G603" s="2" t="s">
        <v>1733</v>
      </c>
      <c r="H603" s="2" t="s">
        <v>121</v>
      </c>
      <c r="I603" s="2" t="str">
        <f>IFERROR(__xludf.DUMMYFUNCTION("GOOGLETRANSLATE(C603,""fr"",""en"")"),"200 euros plus cherishly compared to several other")</f>
        <v>200 euros plus cherishly compared to several other</v>
      </c>
    </row>
    <row r="604" ht="15.75" customHeight="1">
      <c r="A604" s="2">
        <v>4.0</v>
      </c>
      <c r="B604" s="2" t="s">
        <v>1734</v>
      </c>
      <c r="C604" s="2" t="s">
        <v>1735</v>
      </c>
      <c r="D604" s="2" t="s">
        <v>35</v>
      </c>
      <c r="E604" s="2" t="s">
        <v>21</v>
      </c>
      <c r="F604" s="2" t="s">
        <v>15</v>
      </c>
      <c r="G604" s="2" t="s">
        <v>599</v>
      </c>
      <c r="H604" s="2" t="s">
        <v>17</v>
      </c>
      <c r="I604" s="2" t="str">
        <f>IFERROR(__xludf.DUMMYFUNCTION("GOOGLETRANSLATE(C604,""fr"",""en"")"),"Certainly good insurance. I keep the habitat insurance with GMF.
I went to Maaf for the car, because Maaf for their 70th anniversary
offered 70 € .... that's it.")</f>
        <v>Certainly good insurance. I keep the habitat insurance with GMF.
I went to Maaf for the car, because Maaf for their 70th anniversary
offered 70 € .... that's it.</v>
      </c>
    </row>
    <row r="605" ht="15.75" customHeight="1">
      <c r="A605" s="2">
        <v>1.0</v>
      </c>
      <c r="B605" s="2" t="s">
        <v>1736</v>
      </c>
      <c r="C605" s="2" t="s">
        <v>1737</v>
      </c>
      <c r="D605" s="2" t="s">
        <v>277</v>
      </c>
      <c r="E605" s="2" t="s">
        <v>21</v>
      </c>
      <c r="F605" s="2" t="s">
        <v>15</v>
      </c>
      <c r="G605" s="2" t="s">
        <v>1364</v>
      </c>
      <c r="H605" s="2" t="s">
        <v>139</v>
      </c>
      <c r="I605" s="2" t="str">
        <f>IFERROR(__xludf.DUMMYFUNCTION("GOOGLETRANSLATE(C605,""fr"",""en"")"),"Maaf: ""The customer is a ham"", ""take everything without giving anything""
Accumulate several claims declarations (one per year or every two years, even if you are not responsible and with all -risk insurance) and they simply drag you.
The only cu"&amp;"stomers they want: those who pay full pot and especially who never make a statement!
Maaf? To flee.")</f>
        <v>Maaf: "The customer is a ham", "take everything without giving anything"
Accumulate several claims declarations (one per year or every two years, even if you are not responsible and with all -risk insurance) and they simply drag you.
The only customers they want: those who pay full pot and especially who never make a statement!
Maaf? To flee.</v>
      </c>
    </row>
    <row r="606" ht="15.75" customHeight="1">
      <c r="A606" s="2">
        <v>5.0</v>
      </c>
      <c r="B606" s="2" t="s">
        <v>1738</v>
      </c>
      <c r="C606" s="2" t="s">
        <v>1739</v>
      </c>
      <c r="D606" s="2" t="s">
        <v>64</v>
      </c>
      <c r="E606" s="2" t="s">
        <v>21</v>
      </c>
      <c r="F606" s="2" t="s">
        <v>15</v>
      </c>
      <c r="G606" s="2" t="s">
        <v>963</v>
      </c>
      <c r="H606" s="2" t="s">
        <v>70</v>
      </c>
      <c r="I606" s="2" t="str">
        <f>IFERROR(__xludf.DUMMYFUNCTION("GOOGLETRANSLATE(C606,""fr"",""en"")"),"I am very satisfied with your service and thank you.
Thank you for always listening to my requests.
With all my greetings
Cordiamement")</f>
        <v>I am very satisfied with your service and thank you.
Thank you for always listening to my requests.
With all my greetings
Cordiamement</v>
      </c>
    </row>
    <row r="607" ht="15.75" customHeight="1">
      <c r="A607" s="2">
        <v>5.0</v>
      </c>
      <c r="B607" s="2" t="s">
        <v>1740</v>
      </c>
      <c r="C607" s="2" t="s">
        <v>1741</v>
      </c>
      <c r="D607" s="2" t="s">
        <v>64</v>
      </c>
      <c r="E607" s="2" t="s">
        <v>21</v>
      </c>
      <c r="F607" s="2" t="s">
        <v>15</v>
      </c>
      <c r="G607" s="2" t="s">
        <v>51</v>
      </c>
      <c r="H607" s="2" t="s">
        <v>45</v>
      </c>
      <c r="I607" s="2" t="str">
        <f>IFERROR(__xludf.DUMMYFUNCTION("GOOGLETRANSLATE(C607,""fr"",""en"")"),"I am completely satisfied with the services of the Olivier Insurance. Simple and quick in formalities. I recommend this company to everyone. The prices challenge all competition!")</f>
        <v>I am completely satisfied with the services of the Olivier Insurance. Simple and quick in formalities. I recommend this company to everyone. The prices challenge all competition!</v>
      </c>
    </row>
    <row r="608" ht="15.75" customHeight="1">
      <c r="A608" s="2">
        <v>3.0</v>
      </c>
      <c r="B608" s="2" t="s">
        <v>1742</v>
      </c>
      <c r="C608" s="2" t="s">
        <v>1743</v>
      </c>
      <c r="D608" s="2" t="s">
        <v>40</v>
      </c>
      <c r="E608" s="2" t="s">
        <v>14</v>
      </c>
      <c r="F608" s="2" t="s">
        <v>15</v>
      </c>
      <c r="G608" s="2" t="s">
        <v>1143</v>
      </c>
      <c r="H608" s="2" t="s">
        <v>380</v>
      </c>
      <c r="I608" s="2" t="str">
        <f>IFERROR(__xludf.DUMMYFUNCTION("GOOGLETRANSLATE(C608,""fr"",""en"")"),"Mutual a little expensive and does not correctly reimburse the glasses ... nor the acts such as osteopathy, shrink etc ...
Changing at my age is however complicated ...")</f>
        <v>Mutual a little expensive and does not correctly reimburse the glasses ... nor the acts such as osteopathy, shrink etc ...
Changing at my age is however complicated ...</v>
      </c>
    </row>
    <row r="609" ht="15.75" customHeight="1">
      <c r="A609" s="2">
        <v>4.0</v>
      </c>
      <c r="B609" s="2" t="s">
        <v>1744</v>
      </c>
      <c r="C609" s="2" t="s">
        <v>1745</v>
      </c>
      <c r="D609" s="2" t="s">
        <v>20</v>
      </c>
      <c r="E609" s="2" t="s">
        <v>21</v>
      </c>
      <c r="F609" s="2" t="s">
        <v>15</v>
      </c>
      <c r="G609" s="2" t="s">
        <v>1683</v>
      </c>
      <c r="H609" s="2" t="s">
        <v>45</v>
      </c>
      <c r="I609" s="2" t="str">
        <f>IFERROR(__xludf.DUMMYFUNCTION("GOOGLETRANSLATE(C609,""fr"",""en"")"),"I am satisfied with the prices. The site is a little complex to use for my taste, the advisor only called me once and I could not ask him the questions I wanted to ask.")</f>
        <v>I am satisfied with the prices. The site is a little complex to use for my taste, the advisor only called me once and I could not ask him the questions I wanted to ask.</v>
      </c>
    </row>
    <row r="610" ht="15.75" customHeight="1">
      <c r="A610" s="2">
        <v>1.0</v>
      </c>
      <c r="B610" s="2" t="s">
        <v>1746</v>
      </c>
      <c r="C610" s="2" t="s">
        <v>1747</v>
      </c>
      <c r="D610" s="2" t="s">
        <v>715</v>
      </c>
      <c r="E610" s="2" t="s">
        <v>14</v>
      </c>
      <c r="F610" s="2" t="s">
        <v>15</v>
      </c>
      <c r="G610" s="2" t="s">
        <v>1748</v>
      </c>
      <c r="H610" s="2" t="s">
        <v>394</v>
      </c>
      <c r="I610" s="2" t="str">
        <f>IFERROR(__xludf.DUMMYFUNCTION("GOOGLETRANSLATE(C610,""fr"",""en"")"),"Slow, procedural and complex. Really not accessible for a retiree unomanned to administrative mazes. A situation that has deteriorated over time.")</f>
        <v>Slow, procedural and complex. Really not accessible for a retiree unomanned to administrative mazes. A situation that has deteriorated over time.</v>
      </c>
    </row>
    <row r="611" ht="15.75" customHeight="1">
      <c r="A611" s="2">
        <v>1.0</v>
      </c>
      <c r="B611" s="2" t="s">
        <v>1749</v>
      </c>
      <c r="C611" s="2" t="s">
        <v>1750</v>
      </c>
      <c r="D611" s="2" t="s">
        <v>757</v>
      </c>
      <c r="E611" s="2" t="s">
        <v>14</v>
      </c>
      <c r="F611" s="2" t="s">
        <v>15</v>
      </c>
      <c r="G611" s="2" t="s">
        <v>1751</v>
      </c>
      <c r="H611" s="2" t="s">
        <v>667</v>
      </c>
      <c r="I611" s="2" t="str">
        <f>IFERROR(__xludf.DUMMYFUNCTION("GOOGLETRANSLATE(C611,""fr"",""en"")"),"Be careful they lie not to reimburse the care. Indeed they refused me dental reimbursements which I had confirmation must be reimbursed. I'm not talking about other costs that I wait anywhere 1 month after color, if it will be possible! In any case, for m"&amp;"e I will go to court to have my due !!")</f>
        <v>Be careful they lie not to reimburse the care. Indeed they refused me dental reimbursements which I had confirmation must be reimbursed. I'm not talking about other costs that I wait anywhere 1 month after color, if it will be possible! In any case, for me I will go to court to have my due !!</v>
      </c>
    </row>
    <row r="612" ht="15.75" customHeight="1">
      <c r="A612" s="2">
        <v>5.0</v>
      </c>
      <c r="B612" s="2" t="s">
        <v>1752</v>
      </c>
      <c r="C612" s="2" t="s">
        <v>1753</v>
      </c>
      <c r="D612" s="2" t="s">
        <v>64</v>
      </c>
      <c r="E612" s="2" t="s">
        <v>21</v>
      </c>
      <c r="F612" s="2" t="s">
        <v>15</v>
      </c>
      <c r="G612" s="2" t="s">
        <v>526</v>
      </c>
      <c r="H612" s="2" t="s">
        <v>394</v>
      </c>
      <c r="I612" s="2" t="str">
        <f>IFERROR(__xludf.DUMMYFUNCTION("GOOGLETRANSLATE(C612,""fr"",""en"")"),"Effective insurance, at very correct pricing. Clear and precise customer service responses (telephone contact), I highly recommend !!!")</f>
        <v>Effective insurance, at very correct pricing. Clear and precise customer service responses (telephone contact), I highly recommend !!!</v>
      </c>
    </row>
    <row r="613" ht="15.75" customHeight="1">
      <c r="A613" s="2">
        <v>1.0</v>
      </c>
      <c r="B613" s="2" t="s">
        <v>1754</v>
      </c>
      <c r="C613" s="2" t="s">
        <v>1755</v>
      </c>
      <c r="D613" s="2" t="s">
        <v>26</v>
      </c>
      <c r="E613" s="2" t="s">
        <v>14</v>
      </c>
      <c r="F613" s="2" t="s">
        <v>15</v>
      </c>
      <c r="G613" s="2" t="s">
        <v>1756</v>
      </c>
      <c r="H613" s="2" t="s">
        <v>428</v>
      </c>
      <c r="I613" s="2" t="str">
        <f>IFERROR(__xludf.DUMMYFUNCTION("GOOGLETRANSLATE(C613,""fr"",""en"")"),"Hello
Please note, he currently refuses to reimburse Médocs not reimbursed by the CPAM while my contract stipulates a maximum sum of 75 euros ...
I change my creamer")</f>
        <v>Hello
Please note, he currently refuses to reimburse Médocs not reimbursed by the CPAM while my contract stipulates a maximum sum of 75 euros ...
I change my creamer</v>
      </c>
    </row>
    <row r="614" ht="15.75" customHeight="1">
      <c r="A614" s="2">
        <v>5.0</v>
      </c>
      <c r="B614" s="2" t="s">
        <v>1757</v>
      </c>
      <c r="C614" s="2" t="s">
        <v>1758</v>
      </c>
      <c r="D614" s="2" t="s">
        <v>87</v>
      </c>
      <c r="E614" s="2" t="s">
        <v>79</v>
      </c>
      <c r="F614" s="2" t="s">
        <v>15</v>
      </c>
      <c r="G614" s="2" t="s">
        <v>1591</v>
      </c>
      <c r="H614" s="2" t="s">
        <v>45</v>
      </c>
      <c r="I614" s="2" t="str">
        <f>IFERROR(__xludf.DUMMYFUNCTION("GOOGLETRANSLATE(C614,""fr"",""en"")"),"Hello,
Very easy to take out insurance at interesting prices. Faculty that sponsorship for motorcycles does not work. The registration is very easy and clear")</f>
        <v>Hello,
Very easy to take out insurance at interesting prices. Faculty that sponsorship for motorcycles does not work. The registration is very easy and clear</v>
      </c>
    </row>
    <row r="615" ht="15.75" customHeight="1">
      <c r="A615" s="2">
        <v>4.0</v>
      </c>
      <c r="B615" s="2" t="s">
        <v>1759</v>
      </c>
      <c r="C615" s="2" t="s">
        <v>1760</v>
      </c>
      <c r="D615" s="2" t="s">
        <v>64</v>
      </c>
      <c r="E615" s="2" t="s">
        <v>21</v>
      </c>
      <c r="F615" s="2" t="s">
        <v>15</v>
      </c>
      <c r="G615" s="2" t="s">
        <v>846</v>
      </c>
      <c r="H615" s="2" t="s">
        <v>23</v>
      </c>
      <c r="I615" s="2" t="str">
        <f>IFERROR(__xludf.DUMMYFUNCTION("GOOGLETRANSLATE(C615,""fr"",""en"")"),"very satisfied with the prices variants from single to double with my old agency contract even with young permits ;; A simplicity of online procedure and or an accompaniment very listened to by a telephone operator")</f>
        <v>very satisfied with the prices variants from single to double with my old agency contract even with young permits ;; A simplicity of online procedure and or an accompaniment very listened to by a telephone operator</v>
      </c>
    </row>
    <row r="616" ht="15.75" customHeight="1">
      <c r="A616" s="2">
        <v>4.0</v>
      </c>
      <c r="B616" s="2" t="s">
        <v>1761</v>
      </c>
      <c r="C616" s="2" t="s">
        <v>1762</v>
      </c>
      <c r="D616" s="2" t="s">
        <v>87</v>
      </c>
      <c r="E616" s="2" t="s">
        <v>79</v>
      </c>
      <c r="F616" s="2" t="s">
        <v>15</v>
      </c>
      <c r="G616" s="2" t="s">
        <v>424</v>
      </c>
      <c r="H616" s="2" t="s">
        <v>45</v>
      </c>
      <c r="I616" s="2" t="str">
        <f>IFERROR(__xludf.DUMMYFUNCTION("GOOGLETRANSLATE(C616,""fr"",""en"")"),"I am satisfied, easy to make sure via the site, very functional and fast. Reasonable price and satisfactory coverage.
I will talk about AMV")</f>
        <v>I am satisfied, easy to make sure via the site, very functional and fast. Reasonable price and satisfactory coverage.
I will talk about AMV</v>
      </c>
    </row>
    <row r="617" ht="15.75" customHeight="1">
      <c r="A617" s="2">
        <v>3.0</v>
      </c>
      <c r="B617" s="2" t="s">
        <v>1763</v>
      </c>
      <c r="C617" s="2" t="s">
        <v>1764</v>
      </c>
      <c r="D617" s="2" t="s">
        <v>20</v>
      </c>
      <c r="E617" s="2" t="s">
        <v>21</v>
      </c>
      <c r="F617" s="2" t="s">
        <v>15</v>
      </c>
      <c r="G617" s="2" t="s">
        <v>1765</v>
      </c>
      <c r="H617" s="2" t="s">
        <v>139</v>
      </c>
      <c r="I617" s="2" t="str">
        <f>IFERROR(__xludf.DUMMYFUNCTION("GOOGLETRANSLATE(C617,""fr"",""en"")"),"It has been two concerted years that I do not automatically receive my insurance certificate. Next year I change company if it happens.")</f>
        <v>It has been two concerted years that I do not automatically receive my insurance certificate. Next year I change company if it happens.</v>
      </c>
    </row>
    <row r="618" ht="15.75" customHeight="1">
      <c r="A618" s="2">
        <v>4.0</v>
      </c>
      <c r="B618" s="2" t="s">
        <v>1766</v>
      </c>
      <c r="C618" s="2" t="s">
        <v>1767</v>
      </c>
      <c r="D618" s="2" t="s">
        <v>35</v>
      </c>
      <c r="E618" s="2" t="s">
        <v>21</v>
      </c>
      <c r="F618" s="2" t="s">
        <v>15</v>
      </c>
      <c r="G618" s="2" t="s">
        <v>1768</v>
      </c>
      <c r="H618" s="2" t="s">
        <v>89</v>
      </c>
      <c r="I618" s="2" t="str">
        <f>IFERROR(__xludf.DUMMYFUNCTION("GOOGLETRANSLATE(C618,""fr"",""en"")"),"Very satisfied with the GMF. They are effective, attentive and responsive. The prices are a little high but the reimbursements and guarantees are worth. I tried other cheaper insurance and I came back to the GMF!")</f>
        <v>Very satisfied with the GMF. They are effective, attentive and responsive. The prices are a little high but the reimbursements and guarantees are worth. I tried other cheaper insurance and I came back to the GMF!</v>
      </c>
    </row>
    <row r="619" ht="15.75" customHeight="1">
      <c r="A619" s="2">
        <v>1.0</v>
      </c>
      <c r="B619" s="2" t="s">
        <v>1769</v>
      </c>
      <c r="C619" s="2" t="s">
        <v>1770</v>
      </c>
      <c r="D619" s="2" t="s">
        <v>142</v>
      </c>
      <c r="E619" s="2" t="s">
        <v>207</v>
      </c>
      <c r="F619" s="2" t="s">
        <v>15</v>
      </c>
      <c r="G619" s="2" t="s">
        <v>1771</v>
      </c>
      <c r="H619" s="2" t="s">
        <v>888</v>
      </c>
      <c r="I619" s="2" t="str">
        <f>IFERROR(__xludf.DUMMYFUNCTION("GOOGLETRANSLATE(C619,""fr"",""en"")"),"Following a burglary, I had to wait 1 month for an appointment with an ""expert"". From the first bill, I had the right to reflections that did not have to be. Having suffered a prejudice, it was also necessary that he put my word as a shameful doubt.
In"&amp;" addition to SA, Mr. has lagged behind my file and took 3 months to process it. Of course I had to relaunch it in the meantime. Without any news from the progress of my file, I decide to relaunch the Macif which confirms to me that they have received the "&amp;"report and communicate to me the amount that I wanted to challenge elsewhere. I seek to have details of my report to be able to understand the reimbursement I have never had. I have never had any letter or email to keep me informed of the advancement of t"&amp;"he file, forcing to restart them constantly otherwise nothing went on. In addition to SA, the Macif asks me to refour all the documents that I had already provided to the expert as well as photos of my stolen objects when I had already provided all the or"&amp;"iginal invoices in my name, I do not see What I could do more! As if I haven't waited long enough. What is the expert in history for? And the icing on the cake I receive an SMS which confirms to me that they made a transfer on my account !! (50% of the su"&amp;"m which should have reimbursed me). Without even letting me the choice to challenge. I find their methods more than doubtful and I do not intend to stop there !!! Insurance to flee attractive prices but no insurance behind it when you have a problem there"&amp;" is no one left. I prefer to pay more elsewhere than to continue to be robbed. In the story I felt like I was flying a second time. Unacceptable")</f>
        <v>Following a burglary, I had to wait 1 month for an appointment with an "expert". From the first bill, I had the right to reflections that did not have to be. Having suffered a prejudice, it was also necessary that he put my word as a shameful doubt.
In addition to SA, Mr. has lagged behind my file and took 3 months to process it. Of course I had to relaunch it in the meantime. Without any news from the progress of my file, I decide to relaunch the Macif which confirms to me that they have received the report and communicate to me the amount that I wanted to challenge elsewhere. I seek to have details of my report to be able to understand the reimbursement I have never had. I have never had any letter or email to keep me informed of the advancement of the file, forcing to restart them constantly otherwise nothing went on. In addition to SA, the Macif asks me to refour all the documents that I had already provided to the expert as well as photos of my stolen objects when I had already provided all the original invoices in my name, I do not see What I could do more! As if I haven't waited long enough. What is the expert in history for? And the icing on the cake I receive an SMS which confirms to me that they made a transfer on my account !! (50% of the sum which should have reimbursed me). Without even letting me the choice to challenge. I find their methods more than doubtful and I do not intend to stop there !!! Insurance to flee attractive prices but no insurance behind it when you have a problem there is no one left. I prefer to pay more elsewhere than to continue to be robbed. In the story I felt like I was flying a second time. Unacceptable</v>
      </c>
    </row>
    <row r="620" ht="15.75" customHeight="1">
      <c r="A620" s="2">
        <v>4.0</v>
      </c>
      <c r="B620" s="2" t="s">
        <v>1772</v>
      </c>
      <c r="C620" s="2" t="s">
        <v>1773</v>
      </c>
      <c r="D620" s="2" t="s">
        <v>64</v>
      </c>
      <c r="E620" s="2" t="s">
        <v>21</v>
      </c>
      <c r="F620" s="2" t="s">
        <v>15</v>
      </c>
      <c r="G620" s="2" t="s">
        <v>506</v>
      </c>
      <c r="H620" s="2" t="s">
        <v>58</v>
      </c>
      <c r="I620" s="2" t="str">
        <f>IFERROR(__xludf.DUMMYFUNCTION("GOOGLETRANSLATE(C620,""fr"",""en"")"),"I am satisfied with the rapid return of insurance as well as the advice given to me.
I recommend this insurance that defies all competition on the price")</f>
        <v>I am satisfied with the rapid return of insurance as well as the advice given to me.
I recommend this insurance that defies all competition on the price</v>
      </c>
    </row>
    <row r="621" ht="15.75" customHeight="1">
      <c r="A621" s="2">
        <v>4.0</v>
      </c>
      <c r="B621" s="2" t="s">
        <v>1774</v>
      </c>
      <c r="C621" s="2" t="s">
        <v>1775</v>
      </c>
      <c r="D621" s="2" t="s">
        <v>20</v>
      </c>
      <c r="E621" s="2" t="s">
        <v>21</v>
      </c>
      <c r="F621" s="2" t="s">
        <v>15</v>
      </c>
      <c r="G621" s="2" t="s">
        <v>332</v>
      </c>
      <c r="H621" s="2" t="s">
        <v>45</v>
      </c>
      <c r="I621" s="2" t="str">
        <f>IFERROR(__xludf.DUMMYFUNCTION("GOOGLETRANSLATE(C621,""fr"",""en"")"),"I am satisfied the service is good I like hello to both others are in the process of the best solution at the moment I am in TRT")</f>
        <v>I am satisfied the service is good I like hello to both others are in the process of the best solution at the moment I am in TRT</v>
      </c>
    </row>
    <row r="622" ht="15.75" customHeight="1">
      <c r="A622" s="2">
        <v>1.0</v>
      </c>
      <c r="B622" s="2" t="s">
        <v>1776</v>
      </c>
      <c r="C622" s="2" t="s">
        <v>1777</v>
      </c>
      <c r="D622" s="2" t="s">
        <v>200</v>
      </c>
      <c r="E622" s="2" t="s">
        <v>21</v>
      </c>
      <c r="F622" s="2" t="s">
        <v>15</v>
      </c>
      <c r="G622" s="2" t="s">
        <v>1778</v>
      </c>
      <c r="H622" s="2" t="s">
        <v>394</v>
      </c>
      <c r="I622" s="2" t="str">
        <f>IFERROR(__xludf.DUMMYFUNCTION("GOOGLETRANSLATE(C622,""fr"",""en"")")," Non -professional insurance, with a complete and up -to -date file, they ask you for a closer before the delivery of the final green card. I sent my file to the insurance control and I hope this insurance will be eradicated.
They give you a bait price, "&amp;"and before the delivery of the green card, you are forced to pay the surplus which is not justified. This way of doing a name !!")</f>
        <v> Non -professional insurance, with a complete and up -to -date file, they ask you for a closer before the delivery of the final green card. I sent my file to the insurance control and I hope this insurance will be eradicated.
They give you a bait price, and before the delivery of the green card, you are forced to pay the surplus which is not justified. This way of doing a name !!</v>
      </c>
    </row>
    <row r="623" ht="15.75" customHeight="1">
      <c r="A623" s="2">
        <v>4.0</v>
      </c>
      <c r="B623" s="2" t="s">
        <v>1779</v>
      </c>
      <c r="C623" s="2" t="s">
        <v>1780</v>
      </c>
      <c r="D623" s="2" t="s">
        <v>40</v>
      </c>
      <c r="E623" s="2" t="s">
        <v>14</v>
      </c>
      <c r="F623" s="2" t="s">
        <v>15</v>
      </c>
      <c r="G623" s="2" t="s">
        <v>1164</v>
      </c>
      <c r="H623" s="2" t="s">
        <v>380</v>
      </c>
      <c r="I623" s="2" t="str">
        <f>IFERROR(__xludf.DUMMYFUNCTION("GOOGLETRANSLATE(C623,""fr"",""en"")"),"Client for over 30 years I have never had to complain about the MGP. For me it is the top of the mutual insurance company always listening to us, reactive, no worries.
 ")</f>
        <v>Client for over 30 years I have never had to complain about the MGP. For me it is the top of the mutual insurance company always listening to us, reactive, no worries.
 </v>
      </c>
    </row>
    <row r="624" ht="15.75" customHeight="1">
      <c r="A624" s="2">
        <v>1.0</v>
      </c>
      <c r="B624" s="2" t="s">
        <v>1781</v>
      </c>
      <c r="C624" s="2" t="s">
        <v>1782</v>
      </c>
      <c r="D624" s="2" t="s">
        <v>68</v>
      </c>
      <c r="E624" s="2" t="s">
        <v>14</v>
      </c>
      <c r="F624" s="2" t="s">
        <v>15</v>
      </c>
      <c r="G624" s="2" t="s">
        <v>1783</v>
      </c>
      <c r="H624" s="2" t="s">
        <v>926</v>
      </c>
      <c r="I624" s="2" t="str">
        <f>IFERROR(__xludf.DUMMYFUNCTION("GOOGLETRANSLATE(C624,""fr"",""en"")"),"I just launched my micro company, a few days after that to say 7 days later I received a call from Neoliane that I had no legal protection or health etc and that it was necessary to activate it. I gave my bank details by phone to activate except that the "&amp;"problem is that the same day I inquired about the company and a lot of cases like me so I decided 2 hours after canceling I had a person On the phone clearly told me that it was canceled that I was not going to have a direct debit except that I just looke"&amp;"d at my bank account and tonight at 00:00 a neoliane sample goes on the account so the more person lied to me On the phone .... Tomorrow I try to have them at such to adjust because already I signed any contract I sent nothing in addition the person told "&amp;"me it was good that I was going to have no patent sample jespere just that I No need to file a complaint and call my lawyer ....")</f>
        <v>I just launched my micro company, a few days after that to say 7 days later I received a call from Neoliane that I had no legal protection or health etc and that it was necessary to activate it. I gave my bank details by phone to activate except that the problem is that the same day I inquired about the company and a lot of cases like me so I decided 2 hours after canceling I had a person On the phone clearly told me that it was canceled that I was not going to have a direct debit except that I just looked at my bank account and tonight at 00:00 a neoliane sample goes on the account so the more person lied to me On the phone .... Tomorrow I try to have them at such to adjust because already I signed any contract I sent nothing in addition the person told me it was good that I was going to have no patent sample jespere just that I No need to file a complaint and call my lawyer ....</v>
      </c>
    </row>
    <row r="625" ht="15.75" customHeight="1">
      <c r="A625" s="2">
        <v>1.0</v>
      </c>
      <c r="B625" s="2" t="s">
        <v>1784</v>
      </c>
      <c r="C625" s="2" t="s">
        <v>1785</v>
      </c>
      <c r="D625" s="2" t="s">
        <v>20</v>
      </c>
      <c r="E625" s="2" t="s">
        <v>21</v>
      </c>
      <c r="F625" s="2" t="s">
        <v>15</v>
      </c>
      <c r="G625" s="2" t="s">
        <v>1786</v>
      </c>
      <c r="H625" s="2" t="s">
        <v>394</v>
      </c>
      <c r="I625" s="2" t="str">
        <f>IFERROR(__xludf.DUMMYFUNCTION("GOOGLETRANSLATE(C625,""fr"",""en"")"),"Victim of a traffic accident The driver who confused my vehicle in the back and project me on cars park to falsify the observation and physically attack my complaint against the driver for aggression and for there falsification of my direct Insurance did "&amp;"not want to take note of the fact and my rendering responsible they did not take note of my complaint and real facts or witness I advise this insurance and tale from home")</f>
        <v>Victim of a traffic accident The driver who confused my vehicle in the back and project me on cars park to falsify the observation and physically attack my complaint against the driver for aggression and for there falsification of my direct Insurance did not want to take note of the fact and my rendering responsible they did not take note of my complaint and real facts or witness I advise this insurance and tale from home</v>
      </c>
    </row>
    <row r="626" ht="15.75" customHeight="1">
      <c r="A626" s="2">
        <v>1.0</v>
      </c>
      <c r="B626" s="2" t="s">
        <v>1787</v>
      </c>
      <c r="C626" s="2" t="s">
        <v>1788</v>
      </c>
      <c r="D626" s="2" t="s">
        <v>269</v>
      </c>
      <c r="E626" s="2" t="s">
        <v>207</v>
      </c>
      <c r="F626" s="2" t="s">
        <v>15</v>
      </c>
      <c r="G626" s="2" t="s">
        <v>1789</v>
      </c>
      <c r="H626" s="2" t="s">
        <v>283</v>
      </c>
      <c r="I626" s="2" t="str">
        <f>IFERROR(__xludf.DUMMYFUNCTION("GOOGLETRANSLATE(C626,""fr"",""en"")"),"Collapsed barn. And we are told not to take care of anything because not maintained. For this barn, insurance was 300 euros per year, settled for nothing for 20 years. We knew that the barn was condemned. But at 65, my mom could no longer contract a loan "&amp;"(900 euros per month of income, that's normal). Dad had died ... So what can she do well? Nothing 
An expert has passed to tell us that we should not dream too much, nothing will be taken care of. We ask for is a care of demolition and clearing
Here is "&amp;"one of the guarantees of the contract:
""are also supported by the Coral 3000 contract
Demolition fees and consecutive decay has a claim ""
The worst today is the third email of decision -making ... and still nothing! Ah yes, I forgot the automatic res"&amp;"ponse that my request was going to be processed. A big lie
Me, her daughter should take a loan to permeter my mom to live in a secure place! It's not normal. And of course I am also in mutual credit! So the loan I should do it at home! Hallucing right?
")</f>
        <v>Collapsed barn. And we are told not to take care of anything because not maintained. For this barn, insurance was 300 euros per year, settled for nothing for 20 years. We knew that the barn was condemned. But at 65, my mom could no longer contract a loan (900 euros per month of income, that's normal). Dad had died ... So what can she do well? Nothing 
An expert has passed to tell us that we should not dream too much, nothing will be taken care of. We ask for is a care of demolition and clearing
Here is one of the guarantees of the contract:
"are also supported by the Coral 3000 contract
Demolition fees and consecutive decay has a claim "
The worst today is the third email of decision -making ... and still nothing! Ah yes, I forgot the automatic response that my request was going to be processed. A big lie
Me, her daughter should take a loan to permeter my mom to live in a secure place! It's not normal. And of course I am also in mutual credit! So the loan I should do it at home! Hallucing right?
</v>
      </c>
    </row>
    <row r="627" ht="15.75" customHeight="1">
      <c r="A627" s="2">
        <v>1.0</v>
      </c>
      <c r="B627" s="2" t="s">
        <v>1790</v>
      </c>
      <c r="C627" s="2" t="s">
        <v>1791</v>
      </c>
      <c r="D627" s="2" t="s">
        <v>20</v>
      </c>
      <c r="E627" s="2" t="s">
        <v>21</v>
      </c>
      <c r="F627" s="2" t="s">
        <v>15</v>
      </c>
      <c r="G627" s="2" t="s">
        <v>335</v>
      </c>
      <c r="H627" s="2" t="s">
        <v>23</v>
      </c>
      <c r="I627" s="2" t="str">
        <f>IFERROR(__xludf.DUMMYFUNCTION("GOOGLETRANSLATE(C627,""fr"",""en"")"),"Not satisfied with the serving for the breakdown of my Polo car, customer service is not listening and has not tried to find a solution to my problem I do not recommend this insurance")</f>
        <v>Not satisfied with the serving for the breakdown of my Polo car, customer service is not listening and has not tried to find a solution to my problem I do not recommend this insurance</v>
      </c>
    </row>
    <row r="628" ht="15.75" customHeight="1">
      <c r="A628" s="2">
        <v>1.0</v>
      </c>
      <c r="B628" s="2" t="s">
        <v>1792</v>
      </c>
      <c r="C628" s="2" t="s">
        <v>1793</v>
      </c>
      <c r="D628" s="2" t="s">
        <v>20</v>
      </c>
      <c r="E628" s="2" t="s">
        <v>21</v>
      </c>
      <c r="F628" s="2" t="s">
        <v>15</v>
      </c>
      <c r="G628" s="2" t="s">
        <v>69</v>
      </c>
      <c r="H628" s="2" t="s">
        <v>70</v>
      </c>
      <c r="I628" s="2" t="str">
        <f>IFERROR(__xludf.DUMMYFUNCTION("GOOGLETRANSLATE(C628,""fr"",""en"")"),"It is approx 25 € more expensive than another insurance while I have been with Direct for years; Loyalty does not count; If no change, I will look for another insurance soon!")</f>
        <v>It is approx 25 € more expensive than another insurance while I have been with Direct for years; Loyalty does not count; If no change, I will look for another insurance soon!</v>
      </c>
    </row>
    <row r="629" ht="15.75" customHeight="1">
      <c r="A629" s="2">
        <v>5.0</v>
      </c>
      <c r="B629" s="2" t="s">
        <v>1794</v>
      </c>
      <c r="C629" s="2" t="s">
        <v>1795</v>
      </c>
      <c r="D629" s="2" t="s">
        <v>64</v>
      </c>
      <c r="E629" s="2" t="s">
        <v>21</v>
      </c>
      <c r="F629" s="2" t="s">
        <v>15</v>
      </c>
      <c r="G629" s="2" t="s">
        <v>1053</v>
      </c>
      <c r="H629" s="2" t="s">
        <v>178</v>
      </c>
      <c r="I629" s="2" t="str">
        <f>IFERROR(__xludf.DUMMYFUNCTION("GOOGLETRANSLATE(C629,""fr"",""en"")"),"Drunk price for all competitions! Advised by a friend in insurance she did not hesitate to orient me towards the olive tree to ensure it! Thank you !!")</f>
        <v>Drunk price for all competitions! Advised by a friend in insurance she did not hesitate to orient me towards the olive tree to ensure it! Thank you !!</v>
      </c>
    </row>
    <row r="630" ht="15.75" customHeight="1">
      <c r="A630" s="2">
        <v>2.0</v>
      </c>
      <c r="B630" s="2" t="s">
        <v>1796</v>
      </c>
      <c r="C630" s="2" t="s">
        <v>1797</v>
      </c>
      <c r="D630" s="2" t="s">
        <v>585</v>
      </c>
      <c r="E630" s="2" t="s">
        <v>450</v>
      </c>
      <c r="F630" s="2" t="s">
        <v>15</v>
      </c>
      <c r="G630" s="2" t="s">
        <v>1798</v>
      </c>
      <c r="H630" s="2" t="s">
        <v>439</v>
      </c>
      <c r="I630" s="2" t="str">
        <f>IFERROR(__xludf.DUMMYFUNCTION("GOOGLETRANSLATE(C630,""fr"",""en"")"),"Hello I have been in sick leave since early July 2018.
At the end 91st day I declared my illness so that the SOGECAP takes over on my loan as indicated in our contract which is us.
 In November the SOGECAP confirmed to me that my file is complete but wh"&amp;"ich is lacking elements of the bank which finds a subsidiary company general like the SOGECAP. Since January more new from Sogecap and 4 months later the SOGECAP ME Re -MANDE DES. NEVED PARTS It is 10 months old am on stop and always nothing of the SOGECA"&amp;"P
Tomorrow I file a complaint against the Sogecap and I will put a small small against the Sogecap online")</f>
        <v>Hello I have been in sick leave since early July 2018.
At the end 91st day I declared my illness so that the SOGECAP takes over on my loan as indicated in our contract which is us.
 In November the SOGECAP confirmed to me that my file is complete but which is lacking elements of the bank which finds a subsidiary company general like the SOGECAP. Since January more new from Sogecap and 4 months later the SOGECAP ME Re -MANDE DES. NEVED PARTS It is 10 months old am on stop and always nothing of the SOGECAP
Tomorrow I file a complaint against the Sogecap and I will put a small small against the Sogecap online</v>
      </c>
    </row>
    <row r="631" ht="15.75" customHeight="1">
      <c r="A631" s="2">
        <v>1.0</v>
      </c>
      <c r="B631" s="2" t="s">
        <v>1799</v>
      </c>
      <c r="C631" s="2" t="s">
        <v>1800</v>
      </c>
      <c r="D631" s="2" t="s">
        <v>715</v>
      </c>
      <c r="E631" s="2" t="s">
        <v>14</v>
      </c>
      <c r="F631" s="2" t="s">
        <v>15</v>
      </c>
      <c r="G631" s="2" t="s">
        <v>1801</v>
      </c>
      <c r="H631" s="2" t="s">
        <v>17</v>
      </c>
      <c r="I631" s="2" t="str">
        <f>IFERROR(__xludf.DUMMYFUNCTION("GOOGLETRANSLATE(C631,""fr"",""en"")"),"Very bad mutual. Answers anything during the call. Are not consistent in the dates and during their answers. This mutual must be avoided at all costs. Do not reimburse or very badly even if it is justified. Draft requests .... we are dealing with robots ."&amp;"....")</f>
        <v>Very bad mutual. Answers anything during the call. Are not consistent in the dates and during their answers. This mutual must be avoided at all costs. Do not reimburse or very badly even if it is justified. Draft requests .... we are dealing with robots .....</v>
      </c>
    </row>
    <row r="632" ht="15.75" customHeight="1">
      <c r="A632" s="2">
        <v>1.0</v>
      </c>
      <c r="B632" s="2" t="s">
        <v>1802</v>
      </c>
      <c r="C632" s="2" t="s">
        <v>1803</v>
      </c>
      <c r="D632" s="2" t="s">
        <v>142</v>
      </c>
      <c r="E632" s="2" t="s">
        <v>79</v>
      </c>
      <c r="F632" s="2" t="s">
        <v>15</v>
      </c>
      <c r="G632" s="2" t="s">
        <v>1804</v>
      </c>
      <c r="H632" s="2" t="s">
        <v>1075</v>
      </c>
      <c r="I632" s="2" t="str">
        <f>IFERROR(__xludf.DUMMYFUNCTION("GOOGLETRANSLATE(C632,""fr"",""en"")"),"Contribution at 70 € The agency manager imposes me a high driver warranty which doubles the annual subscription, invites the customer to go see elsewhere, and believes to be the cheapest on the market while anxa for cheaper offer more warranty in Cover an"&amp;"d breakdown 0 kilomes!")</f>
        <v>Contribution at 70 € The agency manager imposes me a high driver warranty which doubles the annual subscription, invites the customer to go see elsewhere, and believes to be the cheapest on the market while anxa for cheaper offer more warranty in Cover and breakdown 0 kilomes!</v>
      </c>
    </row>
    <row r="633" ht="15.75" customHeight="1">
      <c r="A633" s="2">
        <v>3.0</v>
      </c>
      <c r="B633" s="2" t="s">
        <v>1805</v>
      </c>
      <c r="C633" s="2" t="s">
        <v>1806</v>
      </c>
      <c r="D633" s="2" t="s">
        <v>13</v>
      </c>
      <c r="E633" s="2" t="s">
        <v>14</v>
      </c>
      <c r="F633" s="2" t="s">
        <v>15</v>
      </c>
      <c r="G633" s="2" t="s">
        <v>1807</v>
      </c>
      <c r="H633" s="2" t="s">
        <v>283</v>
      </c>
      <c r="I633" s="2" t="str">
        <f>IFERROR(__xludf.DUMMYFUNCTION("GOOGLETRANSLATE(C633,""fr"",""en"")"),"To avoid seriously. They take ahead of the subscription. Until then everything is fine ... lol .. the worst and to come for 2 months that I have subscribed and still no reimbursements on their part when all the documents are under orders. Moreover, no pho"&amp;"ne numbers to solve the problems .... I have rarely seen such a rotten mutual and I weigh my words .... I strongly advise against. Just create to pick up money without return")</f>
        <v>To avoid seriously. They take ahead of the subscription. Until then everything is fine ... lol .. the worst and to come for 2 months that I have subscribed and still no reimbursements on their part when all the documents are under orders. Moreover, no phone numbers to solve the problems .... I have rarely seen such a rotten mutual and I weigh my words .... I strongly advise against. Just create to pick up money without return</v>
      </c>
    </row>
    <row r="634" ht="15.75" customHeight="1">
      <c r="A634" s="2">
        <v>4.0</v>
      </c>
      <c r="B634" s="2" t="s">
        <v>1808</v>
      </c>
      <c r="C634" s="2" t="s">
        <v>1809</v>
      </c>
      <c r="D634" s="2" t="s">
        <v>523</v>
      </c>
      <c r="E634" s="2" t="s">
        <v>450</v>
      </c>
      <c r="F634" s="2" t="s">
        <v>15</v>
      </c>
      <c r="G634" s="2" t="s">
        <v>503</v>
      </c>
      <c r="H634" s="2" t="s">
        <v>178</v>
      </c>
      <c r="I634" s="2" t="str">
        <f>IFERROR(__xludf.DUMMYFUNCTION("GOOGLETRANSLATE(C634,""fr"",""en"")"),"I am satisfied with service, reactivity.
The person I had online was very pleasant and good advice.
During my various requests this person always answered me in a very acceptable time")</f>
        <v>I am satisfied with service, reactivity.
The person I had online was very pleasant and good advice.
During my various requests this person always answered me in a very acceptable time</v>
      </c>
    </row>
    <row r="635" ht="15.75" customHeight="1">
      <c r="A635" s="2">
        <v>5.0</v>
      </c>
      <c r="B635" s="2" t="s">
        <v>1810</v>
      </c>
      <c r="C635" s="2" t="s">
        <v>1811</v>
      </c>
      <c r="D635" s="2" t="s">
        <v>20</v>
      </c>
      <c r="E635" s="2" t="s">
        <v>21</v>
      </c>
      <c r="F635" s="2" t="s">
        <v>15</v>
      </c>
      <c r="G635" s="2" t="s">
        <v>787</v>
      </c>
      <c r="H635" s="2" t="s">
        <v>70</v>
      </c>
      <c r="I635" s="2" t="str">
        <f>IFERROR(__xludf.DUMMYFUNCTION("GOOGLETRANSLATE(C635,""fr"",""en"")"),"I am very satisfied with the service, the prices are attractive
The site is easy to find and clear. The subscription is fast. The packs are interesting.
")</f>
        <v>I am very satisfied with the service, the prices are attractive
The site is easy to find and clear. The subscription is fast. The packs are interesting.
</v>
      </c>
    </row>
    <row r="636" ht="15.75" customHeight="1">
      <c r="A636" s="2">
        <v>4.0</v>
      </c>
      <c r="B636" s="2" t="s">
        <v>1812</v>
      </c>
      <c r="C636" s="2" t="s">
        <v>1813</v>
      </c>
      <c r="D636" s="2" t="s">
        <v>20</v>
      </c>
      <c r="E636" s="2" t="s">
        <v>21</v>
      </c>
      <c r="F636" s="2" t="s">
        <v>15</v>
      </c>
      <c r="G636" s="2" t="s">
        <v>411</v>
      </c>
      <c r="H636" s="2" t="s">
        <v>89</v>
      </c>
      <c r="I636" s="2" t="str">
        <f>IFERROR(__xludf.DUMMYFUNCTION("GOOGLETRANSLATE(C636,""fr"",""en"")"),"Very satisfied with the service that quick and effective easy to answer your questions
I am very happy with the speed and price you offer me")</f>
        <v>Very satisfied with the service that quick and effective easy to answer your questions
I am very happy with the speed and price you offer me</v>
      </c>
    </row>
    <row r="637" ht="15.75" customHeight="1">
      <c r="A637" s="2">
        <v>5.0</v>
      </c>
      <c r="B637" s="2" t="s">
        <v>1814</v>
      </c>
      <c r="C637" s="2" t="s">
        <v>1815</v>
      </c>
      <c r="D637" s="2" t="s">
        <v>64</v>
      </c>
      <c r="E637" s="2" t="s">
        <v>21</v>
      </c>
      <c r="F637" s="2" t="s">
        <v>15</v>
      </c>
      <c r="G637" s="2" t="s">
        <v>643</v>
      </c>
      <c r="H637" s="2" t="s">
        <v>23</v>
      </c>
      <c r="I637" s="2" t="str">
        <f>IFERROR(__xludf.DUMMYFUNCTION("GOOGLETRANSLATE(C637,""fr"",""en"")"),"The lowest prices on the market according to the different quotes that I made.
Very professional advisor on the phone for the subscription of the contract.")</f>
        <v>The lowest prices on the market according to the different quotes that I made.
Very professional advisor on the phone for the subscription of the contract.</v>
      </c>
    </row>
    <row r="638" ht="15.75" customHeight="1">
      <c r="A638" s="2">
        <v>1.0</v>
      </c>
      <c r="B638" s="2" t="s">
        <v>1816</v>
      </c>
      <c r="C638" s="2" t="s">
        <v>1817</v>
      </c>
      <c r="D638" s="2" t="s">
        <v>225</v>
      </c>
      <c r="E638" s="2" t="s">
        <v>261</v>
      </c>
      <c r="F638" s="2" t="s">
        <v>15</v>
      </c>
      <c r="G638" s="2" t="s">
        <v>1818</v>
      </c>
      <c r="H638" s="2" t="s">
        <v>121</v>
      </c>
      <c r="I638" s="2" t="str">
        <f>IFERROR(__xludf.DUMMYFUNCTION("GOOGLETRANSLATE(C638,""fr"",""en"")"),"Intervention deleted at the request of the Internet user.")</f>
        <v>Intervention deleted at the request of the Internet user.</v>
      </c>
    </row>
    <row r="639" ht="15.75" customHeight="1">
      <c r="A639" s="2">
        <v>1.0</v>
      </c>
      <c r="B639" s="2" t="s">
        <v>1819</v>
      </c>
      <c r="C639" s="2" t="s">
        <v>1820</v>
      </c>
      <c r="D639" s="2" t="s">
        <v>206</v>
      </c>
      <c r="E639" s="2" t="s">
        <v>207</v>
      </c>
      <c r="F639" s="2" t="s">
        <v>15</v>
      </c>
      <c r="G639" s="2" t="s">
        <v>1016</v>
      </c>
      <c r="H639" s="2" t="s">
        <v>742</v>
      </c>
      <c r="I639" s="2" t="str">
        <f>IFERROR(__xludf.DUMMYFUNCTION("GOOGLETRANSLATE(C639,""fr"",""en"")"),"Their customer service advisers are aggressive, poorly polished and lacks professionalism. It happened several times. So I terminated my contract with them for this reason. I have nothing to do with an insurer that I lack respect through its employees.")</f>
        <v>Their customer service advisers are aggressive, poorly polished and lacks professionalism. It happened several times. So I terminated my contract with them for this reason. I have nothing to do with an insurer that I lack respect through its employees.</v>
      </c>
    </row>
    <row r="640" ht="15.75" customHeight="1">
      <c r="A640" s="2">
        <v>3.0</v>
      </c>
      <c r="B640" s="2" t="s">
        <v>1821</v>
      </c>
      <c r="C640" s="2" t="s">
        <v>1822</v>
      </c>
      <c r="D640" s="2" t="s">
        <v>20</v>
      </c>
      <c r="E640" s="2" t="s">
        <v>21</v>
      </c>
      <c r="F640" s="2" t="s">
        <v>15</v>
      </c>
      <c r="G640" s="2" t="s">
        <v>1823</v>
      </c>
      <c r="H640" s="2" t="s">
        <v>139</v>
      </c>
      <c r="I640" s="2" t="str">
        <f>IFERROR(__xludf.DUMMYFUNCTION("GOOGLETRANSLATE(C640,""fr"",""en"")"),"The prices are very attractive but I find obscure the explanation of the 2 months to pay in advance while on the schedule I will pay again 1 month after")</f>
        <v>The prices are very attractive but I find obscure the explanation of the 2 months to pay in advance while on the schedule I will pay again 1 month after</v>
      </c>
    </row>
    <row r="641" ht="15.75" customHeight="1">
      <c r="A641" s="2">
        <v>1.0</v>
      </c>
      <c r="B641" s="2" t="s">
        <v>1824</v>
      </c>
      <c r="C641" s="2" t="s">
        <v>1825</v>
      </c>
      <c r="D641" s="2" t="s">
        <v>134</v>
      </c>
      <c r="E641" s="2" t="s">
        <v>14</v>
      </c>
      <c r="F641" s="2" t="s">
        <v>15</v>
      </c>
      <c r="G641" s="2" t="s">
        <v>214</v>
      </c>
      <c r="H641" s="2" t="s">
        <v>178</v>
      </c>
      <c r="I641" s="2" t="str">
        <f>IFERROR(__xludf.DUMMYFUNCTION("GOOGLETRANSLATE(C641,""fr"",""en"")"),"I share the opinions that I have just read, I travel the same difficulties with this mutual, not serious at all, do not answer or rarely answer questions and above all reimburse very badly or not at all for a very expensive contribution. Indeed consult el"&amp;"sewhere, it is certainly in any case it cannot be worse.")</f>
        <v>I share the opinions that I have just read, I travel the same difficulties with this mutual, not serious at all, do not answer or rarely answer questions and above all reimburse very badly or not at all for a very expensive contribution. Indeed consult elsewhere, it is certainly in any case it cannot be worse.</v>
      </c>
    </row>
    <row r="642" ht="15.75" customHeight="1">
      <c r="A642" s="2">
        <v>1.0</v>
      </c>
      <c r="B642" s="2" t="s">
        <v>1826</v>
      </c>
      <c r="C642" s="2" t="s">
        <v>1827</v>
      </c>
      <c r="D642" s="2" t="s">
        <v>40</v>
      </c>
      <c r="E642" s="2" t="s">
        <v>74</v>
      </c>
      <c r="F642" s="2" t="s">
        <v>15</v>
      </c>
      <c r="G642" s="2" t="s">
        <v>1828</v>
      </c>
      <c r="H642" s="2" t="s">
        <v>37</v>
      </c>
      <c r="I642" s="2" t="str">
        <f>IFERROR(__xludf.DUMMYFUNCTION("GOOGLETRANSLATE(C642,""fr"",""en"")"),"The General Mutual of the Police takes contributions for a funeral allowance that she refuses to pay after 90 years
No information is brought to this subject to the opening of contracts
Be vigilant
Many disgruntions make it known
You have to unite and"&amp;" initiate actions
come join us")</f>
        <v>The General Mutual of the Police takes contributions for a funeral allowance that she refuses to pay after 90 years
No information is brought to this subject to the opening of contracts
Be vigilant
Many disgruntions make it known
You have to unite and initiate actions
come join us</v>
      </c>
    </row>
    <row r="643" ht="15.75" customHeight="1">
      <c r="A643" s="2">
        <v>3.0</v>
      </c>
      <c r="B643" s="2" t="s">
        <v>1829</v>
      </c>
      <c r="C643" s="2" t="s">
        <v>1830</v>
      </c>
      <c r="D643" s="2" t="s">
        <v>20</v>
      </c>
      <c r="E643" s="2" t="s">
        <v>21</v>
      </c>
      <c r="F643" s="2" t="s">
        <v>15</v>
      </c>
      <c r="G643" s="2" t="s">
        <v>1831</v>
      </c>
      <c r="H643" s="2" t="s">
        <v>89</v>
      </c>
      <c r="I643" s="2" t="str">
        <f>IFERROR(__xludf.DUMMYFUNCTION("GOOGLETRANSLATE(C643,""fr"",""en"")"),"I am satisfied with the services offered by Direct Insurance insurance, the price is correct for the level of insurance chosen. Registration is quite fast I hope to continue to be satisfied by your services in the future.")</f>
        <v>I am satisfied with the services offered by Direct Insurance insurance, the price is correct for the level of insurance chosen. Registration is quite fast I hope to continue to be satisfied by your services in the future.</v>
      </c>
    </row>
    <row r="644" ht="15.75" customHeight="1">
      <c r="A644" s="2">
        <v>5.0</v>
      </c>
      <c r="B644" s="2" t="s">
        <v>1832</v>
      </c>
      <c r="C644" s="2" t="s">
        <v>1833</v>
      </c>
      <c r="D644" s="2" t="s">
        <v>64</v>
      </c>
      <c r="E644" s="2" t="s">
        <v>21</v>
      </c>
      <c r="F644" s="2" t="s">
        <v>15</v>
      </c>
      <c r="G644" s="2" t="s">
        <v>139</v>
      </c>
      <c r="H644" s="2" t="s">
        <v>139</v>
      </c>
      <c r="I644" s="2" t="str">
        <f>IFERROR(__xludf.DUMMYFUNCTION("GOOGLETRANSLATE(C644,""fr"",""en"")"),"I am satisfied with the service, very kind interlocutor. Best price. Lack the mobile application to be perfect. I hope he will have a great application")</f>
        <v>I am satisfied with the service, very kind interlocutor. Best price. Lack the mobile application to be perfect. I hope he will have a great application</v>
      </c>
    </row>
    <row r="645" ht="15.75" customHeight="1">
      <c r="A645" s="2">
        <v>1.0</v>
      </c>
      <c r="B645" s="2" t="s">
        <v>1834</v>
      </c>
      <c r="C645" s="2" t="s">
        <v>1835</v>
      </c>
      <c r="D645" s="2" t="s">
        <v>256</v>
      </c>
      <c r="E645" s="2" t="s">
        <v>207</v>
      </c>
      <c r="F645" s="2" t="s">
        <v>15</v>
      </c>
      <c r="G645" s="2" t="s">
        <v>1836</v>
      </c>
      <c r="H645" s="2" t="s">
        <v>250</v>
      </c>
      <c r="I645" s="2" t="str">
        <f>IFERROR(__xludf.DUMMYFUNCTION("GOOGLETRANSLATE(C645,""fr"",""en"")"),"5 years after a Pacifica fire has made many maneuvers not to pay - impute the claim - then to pay an insufficient minimum sum to recover our accommodation.")</f>
        <v>5 years after a Pacifica fire has made many maneuvers not to pay - impute the claim - then to pay an insufficient minimum sum to recover our accommodation.</v>
      </c>
    </row>
    <row r="646" ht="15.75" customHeight="1">
      <c r="A646" s="2">
        <v>3.0</v>
      </c>
      <c r="B646" s="2" t="s">
        <v>1837</v>
      </c>
      <c r="C646" s="2" t="s">
        <v>1838</v>
      </c>
      <c r="D646" s="2" t="s">
        <v>20</v>
      </c>
      <c r="E646" s="2" t="s">
        <v>21</v>
      </c>
      <c r="F646" s="2" t="s">
        <v>15</v>
      </c>
      <c r="G646" s="2" t="s">
        <v>1497</v>
      </c>
      <c r="H646" s="2" t="s">
        <v>45</v>
      </c>
      <c r="I646" s="2" t="str">
        <f>IFERROR(__xludf.DUMMYFUNCTION("GOOGLETRANSLATE(C646,""fr"",""en"")"),"I already have another contract (for my Ford Fiesta) with directory and I was very happy with the price, this is why this time I make a quote for another car with which my wife is the main driver, with directurance also . This car (C4 Picasso) is just 1 m"&amp;"ore tax hp (in comparison with the Ford Fiesta) but the price is already too high (77% more expensive if I choose the Tier Maxi option)!")</f>
        <v>I already have another contract (for my Ford Fiesta) with directory and I was very happy with the price, this is why this time I make a quote for another car with which my wife is the main driver, with directurance also . This car (C4 Picasso) is just 1 more tax hp (in comparison with the Ford Fiesta) but the price is already too high (77% more expensive if I choose the Tier Maxi option)!</v>
      </c>
    </row>
    <row r="647" ht="15.75" customHeight="1">
      <c r="A647" s="2">
        <v>2.0</v>
      </c>
      <c r="B647" s="2" t="s">
        <v>1839</v>
      </c>
      <c r="C647" s="2" t="s">
        <v>1840</v>
      </c>
      <c r="D647" s="2" t="s">
        <v>35</v>
      </c>
      <c r="E647" s="2" t="s">
        <v>21</v>
      </c>
      <c r="F647" s="2" t="s">
        <v>15</v>
      </c>
      <c r="G647" s="2" t="s">
        <v>751</v>
      </c>
      <c r="H647" s="2" t="s">
        <v>89</v>
      </c>
      <c r="I647" s="2" t="str">
        <f>IFERROR(__xludf.DUMMYFUNCTION("GOOGLETRANSLATE(C647,""fr"",""en"")"),"Simple and effective but uncompromising price, and which increases quickly - much faster than my salary. I have 3 insurances at home and no advantage, for the next vehicle in the project, the competition is more advantageous for example ...")</f>
        <v>Simple and effective but uncompromising price, and which increases quickly - much faster than my salary. I have 3 insurances at home and no advantage, for the next vehicle in the project, the competition is more advantageous for example ...</v>
      </c>
    </row>
    <row r="648" ht="15.75" customHeight="1">
      <c r="A648" s="2">
        <v>4.0</v>
      </c>
      <c r="B648" s="2" t="s">
        <v>1841</v>
      </c>
      <c r="C648" s="2" t="s">
        <v>1842</v>
      </c>
      <c r="D648" s="2" t="s">
        <v>142</v>
      </c>
      <c r="E648" s="2" t="s">
        <v>21</v>
      </c>
      <c r="F648" s="2" t="s">
        <v>15</v>
      </c>
      <c r="G648" s="2" t="s">
        <v>376</v>
      </c>
      <c r="H648" s="2" t="s">
        <v>23</v>
      </c>
      <c r="I648" s="2" t="str">
        <f>IFERROR(__xludf.DUMMYFUNCTION("GOOGLETRANSLATE(C648,""fr"",""en"")"),"Overall my insurer and very competent and very professional he reacts quickly when there is an insurance problem I recommends it to people they want to secure at their homes cordially Madame Kaddour")</f>
        <v>Overall my insurer and very competent and very professional he reacts quickly when there is an insurance problem I recommends it to people they want to secure at their homes cordially Madame Kaddour</v>
      </c>
    </row>
    <row r="649" ht="15.75" customHeight="1">
      <c r="A649" s="2">
        <v>1.0</v>
      </c>
      <c r="B649" s="2" t="s">
        <v>1843</v>
      </c>
      <c r="C649" s="2" t="s">
        <v>1844</v>
      </c>
      <c r="D649" s="2" t="s">
        <v>281</v>
      </c>
      <c r="E649" s="2" t="s">
        <v>21</v>
      </c>
      <c r="F649" s="2" t="s">
        <v>15</v>
      </c>
      <c r="G649" s="2" t="s">
        <v>1845</v>
      </c>
      <c r="H649" s="2" t="s">
        <v>1075</v>
      </c>
      <c r="I649" s="2" t="str">
        <f>IFERROR(__xludf.DUMMYFUNCTION("GOOGLETRANSLATE(C649,""fr"",""en"")"),"I am disappointed with this insurance. Prices are constantly increasing. 1st year: competitive price +1 months free. 2nd year The door is striped (accident in the underground parking lot without damage to other cars), I play my all -risk insurance. I had "&amp;"been in charge and paid a deductible. The price is increased following the penalty.
And after the bored are starting!. 3rd year: more months free, increased price increase ... for 3%. !!! Despite the penalty which is reduced by 0.3.
I phone customer ser"&amp;"vice: my question ""why there is no more"" free month ""? And why still I have an agentation of 3% more?. The answer: many natural claims, you have to be united.
Unpleasant, but I stay with Allianz for a year.
I just received the 2018-2019 schedule ... "&amp;"I won the bonus ... I am at 0.56, no accidents, but the price is further increased !!!
I recover the bonus, but I pay more than more.
In 3 years, I spent 36 euros per month to 65 euros per month!
Customer service tells you ""We will remind you."" And t"&amp;"hey never remind you. Never.")</f>
        <v>I am disappointed with this insurance. Prices are constantly increasing. 1st year: competitive price +1 months free. 2nd year The door is striped (accident in the underground parking lot without damage to other cars), I play my all -risk insurance. I had been in charge and paid a deductible. The price is increased following the penalty.
And after the bored are starting!. 3rd year: more months free, increased price increase ... for 3%. !!! Despite the penalty which is reduced by 0.3.
I phone customer service: my question "why there is no more" free month "? And why still I have an agentation of 3% more?. The answer: many natural claims, you have to be united.
Unpleasant, but I stay with Allianz for a year.
I just received the 2018-2019 schedule ... I won the bonus ... I am at 0.56, no accidents, but the price is further increased !!!
I recover the bonus, but I pay more than more.
In 3 years, I spent 36 euros per month to 65 euros per month!
Customer service tells you "We will remind you." And they never remind you. Never.</v>
      </c>
    </row>
    <row r="650" ht="15.75" customHeight="1">
      <c r="A650" s="2">
        <v>5.0</v>
      </c>
      <c r="B650" s="2" t="s">
        <v>1846</v>
      </c>
      <c r="C650" s="2" t="s">
        <v>1847</v>
      </c>
      <c r="D650" s="2" t="s">
        <v>35</v>
      </c>
      <c r="E650" s="2" t="s">
        <v>21</v>
      </c>
      <c r="F650" s="2" t="s">
        <v>15</v>
      </c>
      <c r="G650" s="2" t="s">
        <v>1064</v>
      </c>
      <c r="H650" s="2" t="s">
        <v>139</v>
      </c>
      <c r="I650" s="2" t="str">
        <f>IFERROR(__xludf.DUMMYFUNCTION("GOOGLETRANSLATE(C650,""fr"",""en"")"),"I have been satisfied with the service for years.
The prices offered are attractive.
I always had an answer quickly for various requests.")</f>
        <v>I have been satisfied with the service for years.
The prices offered are attractive.
I always had an answer quickly for various requests.</v>
      </c>
    </row>
    <row r="651" ht="15.75" customHeight="1">
      <c r="A651" s="2">
        <v>1.0</v>
      </c>
      <c r="B651" s="2" t="s">
        <v>1848</v>
      </c>
      <c r="C651" s="2" t="s">
        <v>1849</v>
      </c>
      <c r="D651" s="2" t="s">
        <v>13</v>
      </c>
      <c r="E651" s="2" t="s">
        <v>14</v>
      </c>
      <c r="F651" s="2" t="s">
        <v>15</v>
      </c>
      <c r="G651" s="2" t="s">
        <v>1850</v>
      </c>
      <c r="H651" s="2" t="s">
        <v>394</v>
      </c>
      <c r="I651" s="2" t="str">
        <f>IFERROR(__xludf.DUMMYFUNCTION("GOOGLETRANSLATE(C651,""fr"",""en"")"),"Mutual to flee, never receives the documents sent, does not make the junction between the security and the mutual, it is necessary to revive several times.
Very badly done website, there is no trace of the DESDOCUMENTS sent
Even a registered mail ship w"&amp;"ith acknowledgment of receipt, they are not able to find it.
The icing on the cake, the prices increase during the year while my status has not changed.
In short go your way, mutual dear and much worse than other mutuals.
Telephone reception below ever"&amp;"ything.")</f>
        <v>Mutual to flee, never receives the documents sent, does not make the junction between the security and the mutual, it is necessary to revive several times.
Very badly done website, there is no trace of the DESDOCUMENTS sent
Even a registered mail ship with acknowledgment of receipt, they are not able to find it.
The icing on the cake, the prices increase during the year while my status has not changed.
In short go your way, mutual dear and much worse than other mutuals.
Telephone reception below everything.</v>
      </c>
    </row>
    <row r="652" ht="15.75" customHeight="1">
      <c r="A652" s="2">
        <v>1.0</v>
      </c>
      <c r="B652" s="2" t="s">
        <v>1851</v>
      </c>
      <c r="C652" s="2" t="s">
        <v>1852</v>
      </c>
      <c r="D652" s="2" t="s">
        <v>256</v>
      </c>
      <c r="E652" s="2" t="s">
        <v>207</v>
      </c>
      <c r="F652" s="2" t="s">
        <v>15</v>
      </c>
      <c r="G652" s="2" t="s">
        <v>1853</v>
      </c>
      <c r="H652" s="2" t="s">
        <v>926</v>
      </c>
      <c r="I652" s="2" t="str">
        <f>IFERROR(__xludf.DUMMYFUNCTION("GOOGLETRANSLATE(C652,""fr"",""en"")"),"Dear customers I do not recommend this insurer who is not serious at all not kind advisers not serious since 14 01 19 that I have reported a disaster in my accommodation and to date we are on January 22 no news from them we have the Time to die with eithe"&amp;"r before their intervention thank you the pacifica so I will terminate all my contracts with them like that I am going to sleep quiet I pay more than 100 euros in insurance per month than I am stupid")</f>
        <v>Dear customers I do not recommend this insurer who is not serious at all not kind advisers not serious since 14 01 19 that I have reported a disaster in my accommodation and to date we are on January 22 no news from them we have the Time to die with either before their intervention thank you the pacifica so I will terminate all my contracts with them like that I am going to sleep quiet I pay more than 100 euros in insurance per month than I am stupid</v>
      </c>
    </row>
    <row r="653" ht="15.75" customHeight="1">
      <c r="A653" s="2">
        <v>1.0</v>
      </c>
      <c r="B653" s="2" t="s">
        <v>1854</v>
      </c>
      <c r="C653" s="2" t="s">
        <v>1855</v>
      </c>
      <c r="D653" s="2" t="s">
        <v>35</v>
      </c>
      <c r="E653" s="2" t="s">
        <v>21</v>
      </c>
      <c r="F653" s="2" t="s">
        <v>15</v>
      </c>
      <c r="G653" s="2" t="s">
        <v>1129</v>
      </c>
      <c r="H653" s="2" t="s">
        <v>45</v>
      </c>
      <c r="I653" s="2" t="str">
        <f>IFERROR(__xludf.DUMMYFUNCTION("GOOGLETRANSLATE(C653,""fr"",""en"")"),"GMF insurance premium 772.13 €
2020 I break a rear view mirror on my vehicle
Garage invoice 537.12 €
GMF reimbursement 343.12 €
Increase in my GMF insurance premium 126.44 € for 3 years
A total of € 898,57
Increase x 3 years 126.44 x 3 = 379.32 €
S"&amp;"o 37.20 € more than what it cost them
What is it for it to be insured any risk for GMF ???
")</f>
        <v>GMF insurance premium 772.13 €
2020 I break a rear view mirror on my vehicle
Garage invoice 537.12 €
GMF reimbursement 343.12 €
Increase in my GMF insurance premium 126.44 € for 3 years
A total of € 898,57
Increase x 3 years 126.44 x 3 = 379.32 €
So 37.20 € more than what it cost them
What is it for it to be insured any risk for GMF ???
</v>
      </c>
    </row>
    <row r="654" ht="15.75" customHeight="1">
      <c r="A654" s="2">
        <v>1.0</v>
      </c>
      <c r="B654" s="2" t="s">
        <v>1856</v>
      </c>
      <c r="C654" s="2" t="s">
        <v>1857</v>
      </c>
      <c r="D654" s="2" t="s">
        <v>13</v>
      </c>
      <c r="E654" s="2" t="s">
        <v>14</v>
      </c>
      <c r="F654" s="2" t="s">
        <v>15</v>
      </c>
      <c r="G654" s="2" t="s">
        <v>1858</v>
      </c>
      <c r="H654" s="2" t="s">
        <v>742</v>
      </c>
      <c r="I654" s="2" t="str">
        <f>IFERROR(__xludf.DUMMYFUNCTION("GOOGLETRANSLATE(C654,""fr"",""en"")"),"I am a decrease of this broker who is not honest when it comes to stopping a contract in the normal dates of terminations and which has walked well with all my calls and emails send unread and the bad ad that they make for generalie mutual, telling me abo"&amp;"ut me to this mutelle to terminate my contract and that if to apologize and tell me that s is with Satiane to see this")</f>
        <v>I am a decrease of this broker who is not honest when it comes to stopping a contract in the normal dates of terminations and which has walked well with all my calls and emails send unread and the bad ad that they make for generalie mutual, telling me about me to this mutelle to terminate my contract and that if to apologize and tell me that s is with Satiane to see this</v>
      </c>
    </row>
    <row r="655" ht="15.75" customHeight="1">
      <c r="A655" s="2">
        <v>3.0</v>
      </c>
      <c r="B655" s="2" t="s">
        <v>1859</v>
      </c>
      <c r="C655" s="2" t="s">
        <v>1860</v>
      </c>
      <c r="D655" s="2" t="s">
        <v>281</v>
      </c>
      <c r="E655" s="2" t="s">
        <v>21</v>
      </c>
      <c r="F655" s="2" t="s">
        <v>15</v>
      </c>
      <c r="G655" s="2" t="s">
        <v>1861</v>
      </c>
      <c r="H655" s="2" t="s">
        <v>116</v>
      </c>
      <c r="I655" s="2" t="str">
        <f>IFERROR(__xludf.DUMMYFUNCTION("GOOGLETRANSLATE(C655,""fr"",""en"")"),"Furious! I've been paying for an insurance of a vehicle for more than a year that I no longer have! This vehicle was a loan so that my husband could go to work (my husband has since changed work and left in the cold of his old work). We had made an insura"&amp;"nce transfer of this vehicle to the current vehicle of my husband (which I subsequently assured elsewhere for the reason for price). The advisor (bad like a louse) then resumed the insurance of the vehicle that the former boss of my husband had lent her ("&amp;"without telling us of course) and we realized it by receiving the call for contribution. By calling she tells us yes bring me a certificate on honor and that will do the trick, something I have done and since she wants to hear anything and refuses to stop"&amp;" insurance for this famous vehicle! I do not know what to do. She wants a certificate from the former boss of my husband who refuses her to do it to me ...")</f>
        <v>Furious! I've been paying for an insurance of a vehicle for more than a year that I no longer have! This vehicle was a loan so that my husband could go to work (my husband has since changed work and left in the cold of his old work). We had made an insurance transfer of this vehicle to the current vehicle of my husband (which I subsequently assured elsewhere for the reason for price). The advisor (bad like a louse) then resumed the insurance of the vehicle that the former boss of my husband had lent her (without telling us of course) and we realized it by receiving the call for contribution. By calling she tells us yes bring me a certificate on honor and that will do the trick, something I have done and since she wants to hear anything and refuses to stop insurance for this famous vehicle! I do not know what to do. She wants a certificate from the former boss of my husband who refuses her to do it to me ...</v>
      </c>
    </row>
    <row r="656" ht="15.75" customHeight="1">
      <c r="A656" s="2">
        <v>2.0</v>
      </c>
      <c r="B656" s="2" t="s">
        <v>1862</v>
      </c>
      <c r="C656" s="2" t="s">
        <v>1863</v>
      </c>
      <c r="D656" s="2" t="s">
        <v>68</v>
      </c>
      <c r="E656" s="2" t="s">
        <v>14</v>
      </c>
      <c r="F656" s="2" t="s">
        <v>15</v>
      </c>
      <c r="G656" s="2" t="s">
        <v>1864</v>
      </c>
      <c r="H656" s="2" t="s">
        <v>317</v>
      </c>
      <c r="I656" s="2" t="str">
        <f>IFERROR(__xludf.DUMMYFUNCTION("GOOGLETRANSLATE(C656,""fr"",""en"")"),"He contacts me by phone telling me that they had tried to join several resumptions by such and mail because I had to be entitled to complementary health from September.
So I told him that I had never been contacting, he maintained, however, that he had d"&amp;"one so.
Once his explanation finished he asked me my Iban and it was he who had to give me the last 2 figures.
I was not wanted to tell him that I did not have the ways to provide him, he then asked me as to do because he will not remember and that I ha"&amp;"d until December to subscribe to it, making me believe that he could have Do something after December 1 and that I had to subscribe to it as soon as possible.
So I told him not to send a contract and answered me dryly, I wanted to ask him a question and "&amp;"I barely said 1 word that he hangs up.
He reminds me of a few minutes after because he understood that I wanted to talk to him.
I was asking him for more information, he was kind enough to provide me.
After talking about it I therefore subscribed, he"&amp;" sent me a code by message that I had to send him back.
He told me that I had a 14 -day withdrawal delay, I will not wait 14 days to stop all because I have the same type of contract where I assured my vehicle.
Putting myself pressure for me to subscr"&amp;"ibe to this mutual I have not had time to check in my paper.
")</f>
        <v>He contacts me by phone telling me that they had tried to join several resumptions by such and mail because I had to be entitled to complementary health from September.
So I told him that I had never been contacting, he maintained, however, that he had done so.
Once his explanation finished he asked me my Iban and it was he who had to give me the last 2 figures.
I was not wanted to tell him that I did not have the ways to provide him, he then asked me as to do because he will not remember and that I had until December to subscribe to it, making me believe that he could have Do something after December 1 and that I had to subscribe to it as soon as possible.
So I told him not to send a contract and answered me dryly, I wanted to ask him a question and I barely said 1 word that he hangs up.
He reminds me of a few minutes after because he understood that I wanted to talk to him.
I was asking him for more information, he was kind enough to provide me.
After talking about it I therefore subscribed, he sent me a code by message that I had to send him back.
He told me that I had a 14 -day withdrawal delay, I will not wait 14 days to stop all because I have the same type of contract where I assured my vehicle.
Putting myself pressure for me to subscribe to this mutual I have not had time to check in my paper.
</v>
      </c>
    </row>
    <row r="657" ht="15.75" customHeight="1">
      <c r="A657" s="2">
        <v>2.0</v>
      </c>
      <c r="B657" s="2" t="s">
        <v>1865</v>
      </c>
      <c r="C657" s="2" t="s">
        <v>1866</v>
      </c>
      <c r="D657" s="2" t="s">
        <v>20</v>
      </c>
      <c r="E657" s="2" t="s">
        <v>21</v>
      </c>
      <c r="F657" s="2" t="s">
        <v>15</v>
      </c>
      <c r="G657" s="2" t="s">
        <v>1867</v>
      </c>
      <c r="H657" s="2" t="s">
        <v>23</v>
      </c>
      <c r="I657" s="2" t="str">
        <f>IFERROR(__xludf.DUMMYFUNCTION("GOOGLETRANSLATE(C657,""fr"",""en"")"),"The prices of the contribution increase each year by 40 euros, may be necessary to stop these increases a given moment.
Here it continues like that next year I change my insurance.")</f>
        <v>The prices of the contribution increase each year by 40 euros, may be necessary to stop these increases a given moment.
Here it continues like that next year I change my insurance.</v>
      </c>
    </row>
    <row r="658" ht="15.75" customHeight="1">
      <c r="A658" s="2">
        <v>1.0</v>
      </c>
      <c r="B658" s="2" t="s">
        <v>1868</v>
      </c>
      <c r="C658" s="2" t="s">
        <v>1869</v>
      </c>
      <c r="D658" s="2" t="s">
        <v>206</v>
      </c>
      <c r="E658" s="2" t="s">
        <v>207</v>
      </c>
      <c r="F658" s="2" t="s">
        <v>15</v>
      </c>
      <c r="G658" s="2" t="s">
        <v>1870</v>
      </c>
      <c r="H658" s="2" t="s">
        <v>97</v>
      </c>
      <c r="I658" s="2" t="str">
        <f>IFERROR(__xludf.DUMMYFUNCTION("GOOGLETRANSLATE(C658,""fr"",""en"")"),"I am very unhappy, insured for several years for my car, I had my daughter subscribe to my daughter in Maif and sponsor several people. My daughter was the victim of a burglary. It has of course respected the rules and duties in this case and since May 15"&amp;", 2019, no compensation. She provided all the invoices, there were 2 experts ??? 1 from Lyon then 1 from the North or she lives. She had to settle the franchise immediately to the craftsman named by the Maif to secure the house and gets a walk every week "&amp;"on the phone, an email with compensation must always arrive a few days later ..... I think about Bring a legislator to intervene and I find that it is unacceptable, especially since it did not have works of art .....")</f>
        <v>I am very unhappy, insured for several years for my car, I had my daughter subscribe to my daughter in Maif and sponsor several people. My daughter was the victim of a burglary. It has of course respected the rules and duties in this case and since May 15, 2019, no compensation. She provided all the invoices, there were 2 experts ??? 1 from Lyon then 1 from the North or she lives. She had to settle the franchise immediately to the craftsman named by the Maif to secure the house and gets a walk every week on the phone, an email with compensation must always arrive a few days later ..... I think about Bring a legislator to intervene and I find that it is unacceptable, especially since it did not have works of art .....</v>
      </c>
    </row>
    <row r="659" ht="15.75" customHeight="1">
      <c r="A659" s="2">
        <v>4.0</v>
      </c>
      <c r="B659" s="2" t="s">
        <v>1871</v>
      </c>
      <c r="C659" s="2" t="s">
        <v>1872</v>
      </c>
      <c r="D659" s="2" t="s">
        <v>20</v>
      </c>
      <c r="E659" s="2" t="s">
        <v>21</v>
      </c>
      <c r="F659" s="2" t="s">
        <v>15</v>
      </c>
      <c r="G659" s="2" t="s">
        <v>685</v>
      </c>
      <c r="H659" s="2" t="s">
        <v>45</v>
      </c>
      <c r="I659" s="2" t="str">
        <f>IFERROR(__xludf.DUMMYFUNCTION("GOOGLETRANSLATE(C659,""fr"",""en"")"),"I just subscribed and for the moment I am satisfied.
Speed ​​and efficiency at the appointment with advisers available.
I miss more than to attach the justifying documents.")</f>
        <v>I just subscribed and for the moment I am satisfied.
Speed ​​and efficiency at the appointment with advisers available.
I miss more than to attach the justifying documents.</v>
      </c>
    </row>
    <row r="660" ht="15.75" customHeight="1">
      <c r="A660" s="2">
        <v>5.0</v>
      </c>
      <c r="B660" s="2" t="s">
        <v>1873</v>
      </c>
      <c r="C660" s="2" t="s">
        <v>1874</v>
      </c>
      <c r="D660" s="2" t="s">
        <v>20</v>
      </c>
      <c r="E660" s="2" t="s">
        <v>21</v>
      </c>
      <c r="F660" s="2" t="s">
        <v>15</v>
      </c>
      <c r="G660" s="2" t="s">
        <v>233</v>
      </c>
      <c r="H660" s="2" t="s">
        <v>45</v>
      </c>
      <c r="I660" s="2" t="str">
        <f>IFERROR(__xludf.DUMMYFUNCTION("GOOGLETRANSLATE(C660,""fr"",""en"")"),"I am happy to make sure at Direct Insurance with a very good price.
And then we have perfect choices and there are monthly payments so I'm very satisfied")</f>
        <v>I am happy to make sure at Direct Insurance with a very good price.
And then we have perfect choices and there are monthly payments so I'm very satisfied</v>
      </c>
    </row>
    <row r="661" ht="15.75" customHeight="1">
      <c r="A661" s="2">
        <v>2.0</v>
      </c>
      <c r="B661" s="2" t="s">
        <v>1875</v>
      </c>
      <c r="C661" s="2" t="s">
        <v>1876</v>
      </c>
      <c r="D661" s="2" t="s">
        <v>20</v>
      </c>
      <c r="E661" s="2" t="s">
        <v>21</v>
      </c>
      <c r="F661" s="2" t="s">
        <v>15</v>
      </c>
      <c r="G661" s="2" t="s">
        <v>494</v>
      </c>
      <c r="H661" s="2" t="s">
        <v>89</v>
      </c>
      <c r="I661" s="2" t="str">
        <f>IFERROR(__xludf.DUMMYFUNCTION("GOOGLETRANSLATE(C661,""fr"",""en"")"),"The price suits me for these periods.
Simple and quick.
I recommend it to everyone.
Too bad there is not yet a system of sponsorship ...........")</f>
        <v>The price suits me for these periods.
Simple and quick.
I recommend it to everyone.
Too bad there is not yet a system of sponsorship ...........</v>
      </c>
    </row>
    <row r="662" ht="15.75" customHeight="1">
      <c r="A662" s="2">
        <v>1.0</v>
      </c>
      <c r="B662" s="2" t="s">
        <v>1877</v>
      </c>
      <c r="C662" s="2" t="s">
        <v>1878</v>
      </c>
      <c r="D662" s="2" t="s">
        <v>20</v>
      </c>
      <c r="E662" s="2" t="s">
        <v>21</v>
      </c>
      <c r="F662" s="2" t="s">
        <v>15</v>
      </c>
      <c r="G662" s="2" t="s">
        <v>1879</v>
      </c>
      <c r="H662" s="2" t="s">
        <v>362</v>
      </c>
      <c r="I662" s="2" t="str">
        <f>IFERROR(__xludf.DUMMYFUNCTION("GOOGLETRANSLATE(C662,""fr"",""en"")"),"Insured all risks. An accident declare 0% responsible by D.A. I had to advance the deductible not in accordance with the contract! And I always expect the reimbursement. Impossible to have an interlocutor and even less the manager of my account")</f>
        <v>Insured all risks. An accident declare 0% responsible by D.A. I had to advance the deductible not in accordance with the contract! And I always expect the reimbursement. Impossible to have an interlocutor and even less the manager of my account</v>
      </c>
    </row>
    <row r="663" ht="15.75" customHeight="1">
      <c r="A663" s="2">
        <v>3.0</v>
      </c>
      <c r="B663" s="2" t="s">
        <v>1880</v>
      </c>
      <c r="C663" s="2" t="s">
        <v>1881</v>
      </c>
      <c r="D663" s="2" t="s">
        <v>260</v>
      </c>
      <c r="E663" s="2" t="s">
        <v>450</v>
      </c>
      <c r="F663" s="2" t="s">
        <v>15</v>
      </c>
      <c r="G663" s="2" t="s">
        <v>1882</v>
      </c>
      <c r="H663" s="2" t="s">
        <v>439</v>
      </c>
      <c r="I663" s="2" t="str">
        <f>IFERROR(__xludf.DUMMYFUNCTION("GOOGLETRANSLATE(C663,""fr"",""en"")"),"Hello everyone I join the community of dissatisfied I am in the same situation as you 2 Refused care I have just sent my 2nd complaint because it is a good mistake in understanding my request and therefore I had to send another letter that Do not finish a"&amp;"nd I am fed up because I continue to pay the loan we may have to group ourselves to defend our rights what do you think I also consider a legal procedure for my side but I think that A collective would better advance our files well to you omega")</f>
        <v>Hello everyone I join the community of dissatisfied I am in the same situation as you 2 Refused care I have just sent my 2nd complaint because it is a good mistake in understanding my request and therefore I had to send another letter that Do not finish and I am fed up because I continue to pay the loan we may have to group ourselves to defend our rights what do you think I also consider a legal procedure for my side but I think that A collective would better advance our files well to you omega</v>
      </c>
    </row>
    <row r="664" ht="15.75" customHeight="1">
      <c r="A664" s="2">
        <v>2.0</v>
      </c>
      <c r="B664" s="2" t="s">
        <v>1883</v>
      </c>
      <c r="C664" s="2" t="s">
        <v>1884</v>
      </c>
      <c r="D664" s="2" t="s">
        <v>142</v>
      </c>
      <c r="E664" s="2" t="s">
        <v>21</v>
      </c>
      <c r="F664" s="2" t="s">
        <v>15</v>
      </c>
      <c r="G664" s="2" t="s">
        <v>1885</v>
      </c>
      <c r="H664" s="2" t="s">
        <v>832</v>
      </c>
      <c r="I664" s="2" t="str">
        <f>IFERROR(__xludf.DUMMYFUNCTION("GOOGLETRANSLATE(C664,""fr"",""en"")"),"I wanted to take out a Macif auto insurance, but the interlocutor I had on the phone was so odious, that it gives to think twice as for the future in the event of a problem!
And reading the comments, it confirms me in my hesitation.
So I flee this insur"&amp;"ance.")</f>
        <v>I wanted to take out a Macif auto insurance, but the interlocutor I had on the phone was so odious, that it gives to think twice as for the future in the event of a problem!
And reading the comments, it confirms me in my hesitation.
So I flee this insurance.</v>
      </c>
    </row>
    <row r="665" ht="15.75" customHeight="1">
      <c r="A665" s="2">
        <v>1.0</v>
      </c>
      <c r="B665" s="2" t="s">
        <v>1886</v>
      </c>
      <c r="C665" s="2" t="s">
        <v>1887</v>
      </c>
      <c r="D665" s="2" t="s">
        <v>277</v>
      </c>
      <c r="E665" s="2" t="s">
        <v>207</v>
      </c>
      <c r="F665" s="2" t="s">
        <v>15</v>
      </c>
      <c r="G665" s="2" t="s">
        <v>1888</v>
      </c>
      <c r="H665" s="2" t="s">
        <v>283</v>
      </c>
      <c r="I665" s="2" t="str">
        <f>IFERROR(__xludf.DUMMYFUNCTION("GOOGLETRANSLATE(C665,""fr"",""en"")"),"Home dispute which turns into a nightmare. At each action of the MAAF an error, an expert who returns to his word, incompetent providers, cascades errors.")</f>
        <v>Home dispute which turns into a nightmare. At each action of the MAAF an error, an expert who returns to his word, incompetent providers, cascades errors.</v>
      </c>
    </row>
    <row r="666" ht="15.75" customHeight="1">
      <c r="A666" s="2">
        <v>4.0</v>
      </c>
      <c r="B666" s="2" t="s">
        <v>1889</v>
      </c>
      <c r="C666" s="2" t="s">
        <v>1890</v>
      </c>
      <c r="D666" s="2" t="s">
        <v>68</v>
      </c>
      <c r="E666" s="2" t="s">
        <v>14</v>
      </c>
      <c r="F666" s="2" t="s">
        <v>15</v>
      </c>
      <c r="G666" s="2" t="s">
        <v>1214</v>
      </c>
      <c r="H666" s="2" t="s">
        <v>58</v>
      </c>
      <c r="I666" s="2" t="str">
        <f>IFERROR(__xludf.DUMMYFUNCTION("GOOGLETRANSLATE(C666,""fr"",""en"")"),"My correspondent responded very favorably to my expectations because it was in an emergency.
I am satisfied with the provisional document received, because I await the card asserting my real rights, given that I have subscribed to the option ""Neoliane E"&amp;"Q6.
Sincerely to my correspondent ""Emeline.")</f>
        <v>My correspondent responded very favorably to my expectations because it was in an emergency.
I am satisfied with the provisional document received, because I await the card asserting my real rights, given that I have subscribed to the option "Neoliane EQ6.
Sincerely to my correspondent "Emeline.</v>
      </c>
    </row>
    <row r="667" ht="15.75" customHeight="1">
      <c r="A667" s="2">
        <v>5.0</v>
      </c>
      <c r="B667" s="2" t="s">
        <v>1891</v>
      </c>
      <c r="C667" s="2" t="s">
        <v>1892</v>
      </c>
      <c r="D667" s="2" t="s">
        <v>64</v>
      </c>
      <c r="E667" s="2" t="s">
        <v>21</v>
      </c>
      <c r="F667" s="2" t="s">
        <v>15</v>
      </c>
      <c r="G667" s="2" t="s">
        <v>404</v>
      </c>
      <c r="H667" s="2" t="s">
        <v>178</v>
      </c>
      <c r="I667" s="2" t="str">
        <f>IFERROR(__xludf.DUMMYFUNCTION("GOOGLETRANSLATE(C667,""fr"",""en"")"),"I am very satisfied with your services and the very attractive price and the maintenance that I had with the salesperson was very clear and well explanatory.")</f>
        <v>I am very satisfied with your services and the very attractive price and the maintenance that I had with the salesperson was very clear and well explanatory.</v>
      </c>
    </row>
    <row r="668" ht="15.75" customHeight="1">
      <c r="A668" s="2">
        <v>5.0</v>
      </c>
      <c r="B668" s="2" t="s">
        <v>1893</v>
      </c>
      <c r="C668" s="2" t="s">
        <v>1894</v>
      </c>
      <c r="D668" s="2" t="s">
        <v>64</v>
      </c>
      <c r="E668" s="2" t="s">
        <v>21</v>
      </c>
      <c r="F668" s="2" t="s">
        <v>15</v>
      </c>
      <c r="G668" s="2" t="s">
        <v>1895</v>
      </c>
      <c r="H668" s="2" t="s">
        <v>45</v>
      </c>
      <c r="I668" s="2" t="str">
        <f>IFERROR(__xludf.DUMMYFUNCTION("GOOGLETRANSLATE(C668,""fr"",""en"")"),"I am satisfied with your services and availability. The quality/price ratio is undoubtedly the best, I recommend Volventier to my knowledge")</f>
        <v>I am satisfied with your services and availability. The quality/price ratio is undoubtedly the best, I recommend Volventier to my knowledge</v>
      </c>
    </row>
    <row r="669" ht="15.75" customHeight="1">
      <c r="A669" s="2">
        <v>4.0</v>
      </c>
      <c r="B669" s="2" t="s">
        <v>1896</v>
      </c>
      <c r="C669" s="2" t="s">
        <v>1897</v>
      </c>
      <c r="D669" s="2" t="s">
        <v>87</v>
      </c>
      <c r="E669" s="2" t="s">
        <v>79</v>
      </c>
      <c r="F669" s="2" t="s">
        <v>15</v>
      </c>
      <c r="G669" s="2" t="s">
        <v>494</v>
      </c>
      <c r="H669" s="2" t="s">
        <v>89</v>
      </c>
      <c r="I669" s="2" t="str">
        <f>IFERROR(__xludf.DUMMYFUNCTION("GOOGLETRANSLATE(C669,""fr"",""en"")"),"Very good service
 Good welcome very successful
The answers are clear and clear
I will recommend your insurance around me
Good day thank you
")</f>
        <v>Very good service
 Good welcome very successful
The answers are clear and clear
I will recommend your insurance around me
Good day thank you
</v>
      </c>
    </row>
    <row r="670" ht="15.75" customHeight="1">
      <c r="A670" s="2">
        <v>4.0</v>
      </c>
      <c r="B670" s="2" t="s">
        <v>1898</v>
      </c>
      <c r="C670" s="2" t="s">
        <v>1899</v>
      </c>
      <c r="D670" s="2" t="s">
        <v>64</v>
      </c>
      <c r="E670" s="2" t="s">
        <v>21</v>
      </c>
      <c r="F670" s="2" t="s">
        <v>15</v>
      </c>
      <c r="G670" s="2" t="s">
        <v>1900</v>
      </c>
      <c r="H670" s="2" t="s">
        <v>89</v>
      </c>
      <c r="I670" s="2" t="str">
        <f>IFERROR(__xludf.DUMMYFUNCTION("GOOGLETRANSLATE(C670,""fr"",""en"")"),"I am satisfied with the service, and the price.
Cordial telephone contact and simple, fast procedures.
My vehicle was insured in a few minutes, the day of the purchase of this one.")</f>
        <v>I am satisfied with the service, and the price.
Cordial telephone contact and simple, fast procedures.
My vehicle was insured in a few minutes, the day of the purchase of this one.</v>
      </c>
    </row>
    <row r="671" ht="15.75" customHeight="1">
      <c r="A671" s="2">
        <v>5.0</v>
      </c>
      <c r="B671" s="2" t="s">
        <v>1901</v>
      </c>
      <c r="C671" s="2" t="s">
        <v>1902</v>
      </c>
      <c r="D671" s="2" t="s">
        <v>64</v>
      </c>
      <c r="E671" s="2" t="s">
        <v>21</v>
      </c>
      <c r="F671" s="2" t="s">
        <v>15</v>
      </c>
      <c r="G671" s="2" t="s">
        <v>849</v>
      </c>
      <c r="H671" s="2" t="s">
        <v>70</v>
      </c>
      <c r="I671" s="2" t="str">
        <f>IFERROR(__xludf.DUMMYFUNCTION("GOOGLETRANSLATE(C671,""fr"",""en"")"),"Very satisfied with the speed and professionalism of interlocutors. Good explanations on the different types of contracts, franchises and deadlines.")</f>
        <v>Very satisfied with the speed and professionalism of interlocutors. Good explanations on the different types of contracts, franchises and deadlines.</v>
      </c>
    </row>
    <row r="672" ht="15.75" customHeight="1">
      <c r="A672" s="2">
        <v>5.0</v>
      </c>
      <c r="B672" s="2" t="s">
        <v>1903</v>
      </c>
      <c r="C672" s="2" t="s">
        <v>1904</v>
      </c>
      <c r="D672" s="2" t="s">
        <v>78</v>
      </c>
      <c r="E672" s="2" t="s">
        <v>79</v>
      </c>
      <c r="F672" s="2" t="s">
        <v>15</v>
      </c>
      <c r="G672" s="2" t="s">
        <v>685</v>
      </c>
      <c r="H672" s="2" t="s">
        <v>45</v>
      </c>
      <c r="I672" s="2" t="str">
        <f>IFERROR(__xludf.DUMMYFUNCTION("GOOGLETRANSLATE(C672,""fr"",""en"")"),"The price is attractive it will remain to be seen how it manages when there is an accident because it is at this moment that we really see the value of the insurance")</f>
        <v>The price is attractive it will remain to be seen how it manages when there is an accident because it is at this moment that we really see the value of the insurance</v>
      </c>
    </row>
    <row r="673" ht="15.75" customHeight="1">
      <c r="A673" s="2">
        <v>4.0</v>
      </c>
      <c r="B673" s="2" t="s">
        <v>1905</v>
      </c>
      <c r="C673" s="2" t="s">
        <v>1906</v>
      </c>
      <c r="D673" s="2" t="s">
        <v>64</v>
      </c>
      <c r="E673" s="2" t="s">
        <v>21</v>
      </c>
      <c r="F673" s="2" t="s">
        <v>15</v>
      </c>
      <c r="G673" s="2" t="s">
        <v>849</v>
      </c>
      <c r="H673" s="2" t="s">
        <v>70</v>
      </c>
      <c r="I673" s="2" t="str">
        <f>IFERROR(__xludf.DUMMYFUNCTION("GOOGLETRANSLATE(C673,""fr"",""en"")"),"The price offered by the Olivier Insurance is very interesting. The contract is clear. The website is very easy to use, we spot well and we find the information we are looking for.")</f>
        <v>The price offered by the Olivier Insurance is very interesting. The contract is clear. The website is very easy to use, we spot well and we find the information we are looking for.</v>
      </c>
    </row>
    <row r="674" ht="15.75" customHeight="1">
      <c r="A674" s="2">
        <v>4.0</v>
      </c>
      <c r="B674" s="2" t="s">
        <v>1907</v>
      </c>
      <c r="C674" s="2" t="s">
        <v>1908</v>
      </c>
      <c r="D674" s="2" t="s">
        <v>20</v>
      </c>
      <c r="E674" s="2" t="s">
        <v>21</v>
      </c>
      <c r="F674" s="2" t="s">
        <v>15</v>
      </c>
      <c r="G674" s="2" t="s">
        <v>233</v>
      </c>
      <c r="H674" s="2" t="s">
        <v>45</v>
      </c>
      <c r="I674" s="2" t="str">
        <f>IFERROR(__xludf.DUMMYFUNCTION("GOOGLETRANSLATE(C674,""fr"",""en"")"),"A little expensive despite the fact of not taking a pack, and a pity not to have greater compensation coverage without having a loan vehicle. Because indeed in my case I already have 24/24 7/7 assistance from the dealer for 2 years ... otherwise very good"&amp;" responsiveness of your insurance.")</f>
        <v>A little expensive despite the fact of not taking a pack, and a pity not to have greater compensation coverage without having a loan vehicle. Because indeed in my case I already have 24/24 7/7 assistance from the dealer for 2 years ... otherwise very good responsiveness of your insurance.</v>
      </c>
    </row>
    <row r="675" ht="15.75" customHeight="1">
      <c r="A675" s="2">
        <v>1.0</v>
      </c>
      <c r="B675" s="2" t="s">
        <v>1909</v>
      </c>
      <c r="C675" s="2" t="s">
        <v>1910</v>
      </c>
      <c r="D675" s="2" t="s">
        <v>709</v>
      </c>
      <c r="E675" s="2" t="s">
        <v>14</v>
      </c>
      <c r="F675" s="2" t="s">
        <v>15</v>
      </c>
      <c r="G675" s="2" t="s">
        <v>1911</v>
      </c>
      <c r="H675" s="2" t="s">
        <v>888</v>
      </c>
      <c r="I675" s="2" t="str">
        <f>IFERROR(__xludf.DUMMYFUNCTION("GOOGLETRANSLATE(C675,""fr"",""en"")"),"The worst mutual that exists. I subscribed to them and I bit my fingers. Previously when I changed my glasses I had about 50 € of my pocket. On the advice of the commercial Mgen who assured me that I would have absolutely nothing to pay for my next glasse"&amp;"s with the MGEN (I made it repeat 3 times because it seems strange) ... Morality more than 200 € of my pocket on my pair of very basic glasses. I am in the process of seeing the modalities to leave this mutual")</f>
        <v>The worst mutual that exists. I subscribed to them and I bit my fingers. Previously when I changed my glasses I had about 50 € of my pocket. On the advice of the commercial Mgen who assured me that I would have absolutely nothing to pay for my next glasses with the MGEN (I made it repeat 3 times because it seems strange) ... Morality more than 200 € of my pocket on my pair of very basic glasses. I am in the process of seeing the modalities to leave this mutual</v>
      </c>
    </row>
    <row r="676" ht="15.75" customHeight="1">
      <c r="A676" s="2">
        <v>1.0</v>
      </c>
      <c r="B676" s="2" t="s">
        <v>1912</v>
      </c>
      <c r="C676" s="2" t="s">
        <v>1913</v>
      </c>
      <c r="D676" s="2" t="s">
        <v>371</v>
      </c>
      <c r="E676" s="2" t="s">
        <v>14</v>
      </c>
      <c r="F676" s="2" t="s">
        <v>15</v>
      </c>
      <c r="G676" s="2" t="s">
        <v>1914</v>
      </c>
      <c r="H676" s="2" t="s">
        <v>89</v>
      </c>
      <c r="I676" s="2" t="str">
        <f>IFERROR(__xludf.DUMMYFUNCTION("GOOGLETRANSLATE(C676,""fr"",""en"")"),"Hello,
This insurance is really bad and very expensive (200 € per month !!!) I do not recommend. Customer service is catastrophic and not very kind, people who process the files are incompetent. Impossible to join them, only the standard, which knows not"&amp;"hing. This is the second time that it has happened to me. The first was settled only following the intervention of my HRD and the salesperson, which came for the renewal of the contract. We already had a lot of employees complaints, so I'm not the only on"&amp;"e.
On September 15, I get 2 teeth extract (beforehand I sent my quote). The security has passed on to the mutual insurance company. 2 weeks later I receive a letter from the mutual, that they need an invoice. I do it the same day. 1 week later I call the"&amp;"m and he confirms that the bill is received and it is correct. Then I am reimbursed 30% instead of 350%. I call them and they tell me, that they can do nothing for me, but I will be contacted. Still no one. But the worst part is that today I receive the l"&amp;"etter, that they need my bill. Absolutely the same letter. So you have to start all over again. And this, so -called advisor, does not even know that I was already reimbursed 30%. In short! It’s not serious, but above all it’s not the first time. You have"&amp;" to send them the documents 30 times but there are 20 interlocutors opposite, so no one knows anything. And especially their officials do not act.
Now I have to contact my HRD who in turn must contact the salesperson to be able to settle this painful sit"&amp;"uation !!!
So no, to avoid!")</f>
        <v>Hello,
This insurance is really bad and very expensive (200 € per month !!!) I do not recommend. Customer service is catastrophic and not very kind, people who process the files are incompetent. Impossible to join them, only the standard, which knows nothing. This is the second time that it has happened to me. The first was settled only following the intervention of my HRD and the salesperson, which came for the renewal of the contract. We already had a lot of employees complaints, so I'm not the only one.
On September 15, I get 2 teeth extract (beforehand I sent my quote). The security has passed on to the mutual insurance company. 2 weeks later I receive a letter from the mutual, that they need an invoice. I do it the same day. 1 week later I call them and he confirms that the bill is received and it is correct. Then I am reimbursed 30% instead of 350%. I call them and they tell me, that they can do nothing for me, but I will be contacted. Still no one. But the worst part is that today I receive the letter, that they need my bill. Absolutely the same letter. So you have to start all over again. And this, so -called advisor, does not even know that I was already reimbursed 30%. In short! It’s not serious, but above all it’s not the first time. You have to send them the documents 30 times but there are 20 interlocutors opposite, so no one knows anything. And especially their officials do not act.
Now I have to contact my HRD who in turn must contact the salesperson to be able to settle this painful situation !!!
So no, to avoid!</v>
      </c>
    </row>
    <row r="677" ht="15.75" customHeight="1">
      <c r="A677" s="2">
        <v>2.0</v>
      </c>
      <c r="B677" s="2" t="s">
        <v>1915</v>
      </c>
      <c r="C677" s="2" t="s">
        <v>1916</v>
      </c>
      <c r="D677" s="2" t="s">
        <v>200</v>
      </c>
      <c r="E677" s="2" t="s">
        <v>21</v>
      </c>
      <c r="F677" s="2" t="s">
        <v>15</v>
      </c>
      <c r="G677" s="2" t="s">
        <v>1917</v>
      </c>
      <c r="H677" s="2" t="s">
        <v>97</v>
      </c>
      <c r="I677" s="2" t="str">
        <f>IFERROR(__xludf.DUMMYFUNCTION("GOOGLETRANSLATE(C677,""fr"",""en"")"),"Formal notice for a so -called closed bank account. The bank indicates that the account is indeed open. Problem that arrives 1 month out of 2 which forces me to pay costs of 11 euros")</f>
        <v>Formal notice for a so -called closed bank account. The bank indicates that the account is indeed open. Problem that arrives 1 month out of 2 which forces me to pay costs of 11 euros</v>
      </c>
    </row>
    <row r="678" ht="15.75" customHeight="1">
      <c r="A678" s="2">
        <v>5.0</v>
      </c>
      <c r="B678" s="2" t="s">
        <v>1918</v>
      </c>
      <c r="C678" s="2" t="s">
        <v>1919</v>
      </c>
      <c r="D678" s="2" t="s">
        <v>13</v>
      </c>
      <c r="E678" s="2" t="s">
        <v>14</v>
      </c>
      <c r="F678" s="2" t="s">
        <v>15</v>
      </c>
      <c r="G678" s="2" t="s">
        <v>253</v>
      </c>
      <c r="H678" s="2" t="s">
        <v>178</v>
      </c>
      <c r="I678" s="2" t="str">
        <f>IFERROR(__xludf.DUMMYFUNCTION("GOOGLETRANSLATE(C678,""fr"",""en"")"),"I was very well recommended from the first call, following a misunderstanding with my old mutual, I recalled today to have advice on the samples already taken, and I was very well received and Oriented by Rita!")</f>
        <v>I was very well recommended from the first call, following a misunderstanding with my old mutual, I recalled today to have advice on the samples already taken, and I was very well received and Oriented by Rita!</v>
      </c>
    </row>
    <row r="679" ht="15.75" customHeight="1">
      <c r="A679" s="2">
        <v>4.0</v>
      </c>
      <c r="B679" s="2" t="s">
        <v>1920</v>
      </c>
      <c r="C679" s="2" t="s">
        <v>1921</v>
      </c>
      <c r="D679" s="2" t="s">
        <v>20</v>
      </c>
      <c r="E679" s="2" t="s">
        <v>21</v>
      </c>
      <c r="F679" s="2" t="s">
        <v>15</v>
      </c>
      <c r="G679" s="2" t="s">
        <v>1326</v>
      </c>
      <c r="H679" s="2" t="s">
        <v>178</v>
      </c>
      <c r="I679" s="2" t="str">
        <f>IFERROR(__xludf.DUMMYFUNCTION("GOOGLETRANSLATE(C679,""fr"",""en"")"),"I am satisfied with the quality report, never concerns, if delay in payment they are understanding. I highly recommend . Quite reactive when you need")</f>
        <v>I am satisfied with the quality report, never concerns, if delay in payment they are understanding. I highly recommend . Quite reactive when you need</v>
      </c>
    </row>
    <row r="680" ht="15.75" customHeight="1">
      <c r="A680" s="2">
        <v>2.0</v>
      </c>
      <c r="B680" s="2" t="s">
        <v>1922</v>
      </c>
      <c r="C680" s="2" t="s">
        <v>1923</v>
      </c>
      <c r="D680" s="2" t="s">
        <v>142</v>
      </c>
      <c r="E680" s="2" t="s">
        <v>21</v>
      </c>
      <c r="F680" s="2" t="s">
        <v>15</v>
      </c>
      <c r="G680" s="2" t="s">
        <v>37</v>
      </c>
      <c r="H680" s="2" t="s">
        <v>37</v>
      </c>
      <c r="I680" s="2" t="str">
        <f>IFERROR(__xludf.DUMMYFUNCTION("GOOGLETRANSLATE(C680,""fr"",""en"")"),"Hello Societaire for 40 years following a sinter with Delit of flight notes by police complaint. Make an appointment because the 2 preceding did not satisfy me during this appointment you were taken for a mechant, we call the police to Obline to leave the"&amp;"ir office before obtaining a response to my file what shame !! ! And now they want to love me")</f>
        <v>Hello Societaire for 40 years following a sinter with Delit of flight notes by police complaint. Make an appointment because the 2 preceding did not satisfy me during this appointment you were taken for a mechant, we call the police to Obline to leave their office before obtaining a response to my file what shame !! ! And now they want to love me</v>
      </c>
    </row>
    <row r="681" ht="15.75" customHeight="1">
      <c r="A681" s="2">
        <v>5.0</v>
      </c>
      <c r="B681" s="2" t="s">
        <v>1924</v>
      </c>
      <c r="C681" s="2" t="s">
        <v>1925</v>
      </c>
      <c r="D681" s="2" t="s">
        <v>64</v>
      </c>
      <c r="E681" s="2" t="s">
        <v>21</v>
      </c>
      <c r="F681" s="2" t="s">
        <v>15</v>
      </c>
      <c r="G681" s="2" t="s">
        <v>1926</v>
      </c>
      <c r="H681" s="2" t="s">
        <v>58</v>
      </c>
      <c r="I681" s="2" t="str">
        <f>IFERROR(__xludf.DUMMYFUNCTION("GOOGLETRANSLATE(C681,""fr"",""en"")"),"I am very satisfied thank you very much the team L'Olivier a very good welcome always listening we always welcome to you and I am too containing customer at home again thank you.")</f>
        <v>I am very satisfied thank you very much the team L'Olivier a very good welcome always listening we always welcome to you and I am too containing customer at home again thank you.</v>
      </c>
    </row>
    <row r="682" ht="15.75" customHeight="1">
      <c r="A682" s="2">
        <v>1.0</v>
      </c>
      <c r="B682" s="2" t="s">
        <v>1927</v>
      </c>
      <c r="C682" s="2" t="s">
        <v>1928</v>
      </c>
      <c r="D682" s="2" t="s">
        <v>95</v>
      </c>
      <c r="E682" s="2" t="s">
        <v>21</v>
      </c>
      <c r="F682" s="2" t="s">
        <v>15</v>
      </c>
      <c r="G682" s="2" t="s">
        <v>1929</v>
      </c>
      <c r="H682" s="2" t="s">
        <v>283</v>
      </c>
      <c r="I682" s="2" t="str">
        <f>IFERROR(__xludf.DUMMYFUNCTION("GOOGLETRANSLATE(C682,""fr"",""en"")"),"I have been insured since 1993 for my vehicle.
Unlucky 2016 1 Accident responsible 2017 and 2018 two non -parking manager, and 2018 1 manager. 2016 50% plus 10% so not so bad driver. 2018 50% so it's not too bad either. And there fired as a clean evil by"&amp;" registered mail without appeal from my advice that I have been rubbing shoulders with since 1993 ...
Very average even I would say zero. Here is my answer to the charming person who confirmed to me by email that I had to go to see elsewhere
Re: Your re"&amp;"quest Refs 330604000174R02 UG36
CN
Claude Nouvel
Good day Mrs.
And that's a shame. And above all is that our contributions are used to finance football stadiums instead of compensating us.
Of course you think that 15 years of loyalty and contribut"&amp;"ions have no value. And maybe I am a bad customer.
We live in a funny world.
But what I criticize is your actions send a recommended without my agent that I meet and with whom we have always maintained excellent reports not contact me to announce it.
W"&amp;"e are very poorly considered and insured for rights that we do not have. Since you assure us so as not to have an accident or incident.
I recommended the Matmut to my entourage this will not be the case.
I am revolted to see that my contributions partic"&amp;"ipated in funding from football stadiums.
Have a good day
Claude Nouvel")</f>
        <v>I have been insured since 1993 for my vehicle.
Unlucky 2016 1 Accident responsible 2017 and 2018 two non -parking manager, and 2018 1 manager. 2016 50% plus 10% so not so bad driver. 2018 50% so it's not too bad either. And there fired as a clean evil by registered mail without appeal from my advice that I have been rubbing shoulders with since 1993 ...
Very average even I would say zero. Here is my answer to the charming person who confirmed to me by email that I had to go to see elsewhere
Re: Your request Refs 330604000174R02 UG36
CN
Claude Nouvel
Good day Mrs.
And that's a shame. And above all is that our contributions are used to finance football stadiums instead of compensating us.
Of course you think that 15 years of loyalty and contributions have no value. And maybe I am a bad customer.
We live in a funny world.
But what I criticize is your actions send a recommended without my agent that I meet and with whom we have always maintained excellent reports not contact me to announce it.
We are very poorly considered and insured for rights that we do not have. Since you assure us so as not to have an accident or incident.
I recommended the Matmut to my entourage this will not be the case.
I am revolted to see that my contributions participated in funding from football stadiums.
Have a good day
Claude Nouvel</v>
      </c>
    </row>
    <row r="683" ht="15.75" customHeight="1">
      <c r="A683" s="2">
        <v>1.0</v>
      </c>
      <c r="B683" s="2" t="s">
        <v>1930</v>
      </c>
      <c r="C683" s="2" t="s">
        <v>1931</v>
      </c>
      <c r="D683" s="2" t="s">
        <v>87</v>
      </c>
      <c r="E683" s="2" t="s">
        <v>79</v>
      </c>
      <c r="F683" s="2" t="s">
        <v>15</v>
      </c>
      <c r="G683" s="2" t="s">
        <v>1823</v>
      </c>
      <c r="H683" s="2" t="s">
        <v>139</v>
      </c>
      <c r="I683" s="2" t="str">
        <f>IFERROR(__xludf.DUMMYFUNCTION("GOOGLETRANSLATE(C683,""fr"",""en"")"),"Prize a little breed by contribution to competitors and I am surprised not to be able to have an interlocutor but that everyone is facing online it would be more pleasant to have an advisor")</f>
        <v>Prize a little breed by contribution to competitors and I am surprised not to be able to have an interlocutor but that everyone is facing online it would be more pleasant to have an advisor</v>
      </c>
    </row>
    <row r="684" ht="15.75" customHeight="1">
      <c r="A684" s="2">
        <v>3.0</v>
      </c>
      <c r="B684" s="2" t="s">
        <v>1932</v>
      </c>
      <c r="C684" s="2" t="s">
        <v>1933</v>
      </c>
      <c r="D684" s="2" t="s">
        <v>392</v>
      </c>
      <c r="E684" s="2" t="s">
        <v>110</v>
      </c>
      <c r="F684" s="2" t="s">
        <v>15</v>
      </c>
      <c r="G684" s="2" t="s">
        <v>1137</v>
      </c>
      <c r="H684" s="2" t="s">
        <v>671</v>
      </c>
      <c r="I684" s="2" t="str">
        <f>IFERROR(__xludf.DUMMYFUNCTION("GOOGLETRANSLATE(C684,""fr"",""en"")"),"hello, 
I would like to focus with Assuropoil, but it is very difficult to have them on the phone, and I find the rates a little excessive. What is the best formula for my 4 -year -old and 5 month animal?")</f>
        <v>hello, 
I would like to focus with Assuropoil, but it is very difficult to have them on the phone, and I find the rates a little excessive. What is the best formula for my 4 -year -old and 5 month animal?</v>
      </c>
    </row>
    <row r="685" ht="15.75" customHeight="1">
      <c r="A685" s="2">
        <v>3.0</v>
      </c>
      <c r="B685" s="2" t="s">
        <v>1934</v>
      </c>
      <c r="C685" s="2" t="s">
        <v>1935</v>
      </c>
      <c r="D685" s="2" t="s">
        <v>277</v>
      </c>
      <c r="E685" s="2" t="s">
        <v>21</v>
      </c>
      <c r="F685" s="2" t="s">
        <v>15</v>
      </c>
      <c r="G685" s="2" t="s">
        <v>1936</v>
      </c>
      <c r="H685" s="2" t="s">
        <v>489</v>
      </c>
      <c r="I685" s="2" t="str">
        <f>IFERROR(__xludf.DUMMYFUNCTION("GOOGLETRANSLATE(C685,""fr"",""en"")"),"After 30 years of loyalty. I wanted to ensure a new vehicle. Refusal due to claims.
A disaster in 2016 shared torp
An ice cream in 2018. COEFF BONUS MALUS 0.5
Thank you the maaf.")</f>
        <v>After 30 years of loyalty. I wanted to ensure a new vehicle. Refusal due to claims.
A disaster in 2016 shared torp
An ice cream in 2018. COEFF BONUS MALUS 0.5
Thank you the maaf.</v>
      </c>
    </row>
    <row r="686" ht="15.75" customHeight="1">
      <c r="A686" s="2">
        <v>5.0</v>
      </c>
      <c r="B686" s="2" t="s">
        <v>1937</v>
      </c>
      <c r="C686" s="2" t="s">
        <v>1938</v>
      </c>
      <c r="D686" s="2" t="s">
        <v>64</v>
      </c>
      <c r="E686" s="2" t="s">
        <v>21</v>
      </c>
      <c r="F686" s="2" t="s">
        <v>15</v>
      </c>
      <c r="G686" s="2" t="s">
        <v>620</v>
      </c>
      <c r="H686" s="2" t="s">
        <v>17</v>
      </c>
      <c r="I686" s="2" t="str">
        <f>IFERROR(__xludf.DUMMYFUNCTION("GOOGLETRANSLATE(C686,""fr"",""en"")"),"Satisfied with the service, correct price and telephone reception and very pleasant care !! I would recommend this insurance to my loved ones. Very affordable price!")</f>
        <v>Satisfied with the service, correct price and telephone reception and very pleasant care !! I would recommend this insurance to my loved ones. Very affordable price!</v>
      </c>
    </row>
    <row r="687" ht="15.75" customHeight="1">
      <c r="A687" s="2">
        <v>4.0</v>
      </c>
      <c r="B687" s="2" t="s">
        <v>1939</v>
      </c>
      <c r="C687" s="2" t="s">
        <v>1940</v>
      </c>
      <c r="D687" s="2" t="s">
        <v>68</v>
      </c>
      <c r="E687" s="2" t="s">
        <v>14</v>
      </c>
      <c r="F687" s="2" t="s">
        <v>15</v>
      </c>
      <c r="G687" s="2" t="s">
        <v>1941</v>
      </c>
      <c r="H687" s="2" t="s">
        <v>1075</v>
      </c>
      <c r="I687" s="2" t="str">
        <f>IFERROR(__xludf.DUMMYFUNCTION("GOOGLETRANSLATE(C687,""fr"",""en"")"),"With Santiane since 2014 satisfied with reimbursements and services very good client")</f>
        <v>With Santiane since 2014 satisfied with reimbursements and services very good client</v>
      </c>
    </row>
    <row r="688" ht="15.75" customHeight="1">
      <c r="A688" s="2">
        <v>1.0</v>
      </c>
      <c r="B688" s="2" t="s">
        <v>1942</v>
      </c>
      <c r="C688" s="2" t="s">
        <v>1943</v>
      </c>
      <c r="D688" s="2" t="s">
        <v>206</v>
      </c>
      <c r="E688" s="2" t="s">
        <v>207</v>
      </c>
      <c r="F688" s="2" t="s">
        <v>15</v>
      </c>
      <c r="G688" s="2" t="s">
        <v>864</v>
      </c>
      <c r="H688" s="2" t="s">
        <v>139</v>
      </c>
      <c r="I688" s="2" t="str">
        <f>IFERROR(__xludf.DUMMYFUNCTION("GOOGLETRANSLATE(C688,""fr"",""en"")"),"The insurer who is fine, when everything is fine
Otherwise, it is strangely complicated
I had to call on the maif after a disaster caused by a third party: on the phone, a lot of _fausses_ promises and words _sans suite_;
finally neither assistance n"&amp;"or defense nor compensation;
What time and energy lost, what disappointment!
And I dare not imagine if I had been responsible for the disaster
On the other hand the samples pass without worry")</f>
        <v>The insurer who is fine, when everything is fine
Otherwise, it is strangely complicated
I had to call on the maif after a disaster caused by a third party: on the phone, a lot of _fausses_ promises and words _sans suite_;
finally neither assistance nor defense nor compensation;
What time and energy lost, what disappointment!
And I dare not imagine if I had been responsible for the disaster
On the other hand the samples pass without worry</v>
      </c>
    </row>
    <row r="689" ht="15.75" customHeight="1">
      <c r="A689" s="2">
        <v>4.0</v>
      </c>
      <c r="B689" s="2" t="s">
        <v>1944</v>
      </c>
      <c r="C689" s="2" t="s">
        <v>1945</v>
      </c>
      <c r="D689" s="2" t="s">
        <v>64</v>
      </c>
      <c r="E689" s="2" t="s">
        <v>21</v>
      </c>
      <c r="F689" s="2" t="s">
        <v>15</v>
      </c>
      <c r="G689" s="2" t="s">
        <v>1946</v>
      </c>
      <c r="H689" s="2" t="s">
        <v>178</v>
      </c>
      <c r="I689" s="2" t="str">
        <f>IFERROR(__xludf.DUMMYFUNCTION("GOOGLETRANSLATE(C689,""fr"",""en"")"),"Very satisfied with the service and I highly recommend this insurance.
Thank you for their responsiveness and skills that allowed me to be in time in good standing.")</f>
        <v>Very satisfied with the service and I highly recommend this insurance.
Thank you for their responsiveness and skills that allowed me to be in time in good standing.</v>
      </c>
    </row>
    <row r="690" ht="15.75" customHeight="1">
      <c r="A690" s="2">
        <v>1.0</v>
      </c>
      <c r="B690" s="2" t="s">
        <v>1947</v>
      </c>
      <c r="C690" s="2" t="s">
        <v>1948</v>
      </c>
      <c r="D690" s="2" t="s">
        <v>715</v>
      </c>
      <c r="E690" s="2" t="s">
        <v>14</v>
      </c>
      <c r="F690" s="2" t="s">
        <v>15</v>
      </c>
      <c r="G690" s="2" t="s">
        <v>1949</v>
      </c>
      <c r="H690" s="2" t="s">
        <v>489</v>
      </c>
      <c r="I690" s="2" t="str">
        <f>IFERROR(__xludf.DUMMYFUNCTION("GOOGLETRANSLATE(C690,""fr"",""en"")"),"Unreachable, do not answer emails. Waiting time on the phone paying and extremely long. How such a company can still exist. Why companies (leader in customer service) choose this type of mutual insurance ???")</f>
        <v>Unreachable, do not answer emails. Waiting time on the phone paying and extremely long. How such a company can still exist. Why companies (leader in customer service) choose this type of mutual insurance ???</v>
      </c>
    </row>
    <row r="691" ht="15.75" customHeight="1">
      <c r="A691" s="2">
        <v>4.0</v>
      </c>
      <c r="B691" s="2" t="s">
        <v>1950</v>
      </c>
      <c r="C691" s="2" t="s">
        <v>1951</v>
      </c>
      <c r="D691" s="2" t="s">
        <v>64</v>
      </c>
      <c r="E691" s="2" t="s">
        <v>21</v>
      </c>
      <c r="F691" s="2" t="s">
        <v>15</v>
      </c>
      <c r="G691" s="2" t="s">
        <v>1026</v>
      </c>
      <c r="H691" s="2" t="s">
        <v>23</v>
      </c>
      <c r="I691" s="2" t="str">
        <f>IFERROR(__xludf.DUMMYFUNCTION("GOOGLETRANSLATE(C691,""fr"",""en"")"),"Simple effective but beware of the price.
What is good with them is the speed on the phone, the kindness and professionalism of operators does not seek to sell you options or others. I highly recommend")</f>
        <v>Simple effective but beware of the price.
What is good with them is the speed on the phone, the kindness and professionalism of operators does not seek to sell you options or others. I highly recommend</v>
      </c>
    </row>
    <row r="692" ht="15.75" customHeight="1">
      <c r="A692" s="2">
        <v>3.0</v>
      </c>
      <c r="B692" s="2" t="s">
        <v>1952</v>
      </c>
      <c r="C692" s="2" t="s">
        <v>1953</v>
      </c>
      <c r="D692" s="2" t="s">
        <v>206</v>
      </c>
      <c r="E692" s="2" t="s">
        <v>21</v>
      </c>
      <c r="F692" s="2" t="s">
        <v>15</v>
      </c>
      <c r="G692" s="2" t="s">
        <v>1954</v>
      </c>
      <c r="H692" s="2" t="s">
        <v>926</v>
      </c>
      <c r="I692" s="2" t="str">
        <f>IFERROR(__xludf.DUMMYFUNCTION("GOOGLETRANSLATE(C692,""fr"",""en"")"),"No flexibility competition is cheaper on the same product.")</f>
        <v>No flexibility competition is cheaper on the same product.</v>
      </c>
    </row>
    <row r="693" ht="15.75" customHeight="1">
      <c r="A693" s="2">
        <v>4.0</v>
      </c>
      <c r="B693" s="2" t="s">
        <v>1955</v>
      </c>
      <c r="C693" s="2" t="s">
        <v>1956</v>
      </c>
      <c r="D693" s="2" t="s">
        <v>20</v>
      </c>
      <c r="E693" s="2" t="s">
        <v>21</v>
      </c>
      <c r="F693" s="2" t="s">
        <v>15</v>
      </c>
      <c r="G693" s="2" t="s">
        <v>149</v>
      </c>
      <c r="H693" s="2" t="s">
        <v>139</v>
      </c>
      <c r="I693" s="2" t="str">
        <f>IFERROR(__xludf.DUMMYFUNCTION("GOOGLETRANSLATE(C693,""fr"",""en"")"),"I am satisfied with the prices offer by Direct Assurances hoping that your reputation for taking care of your customers in the event of problems. (And I hope never to test it)")</f>
        <v>I am satisfied with the prices offer by Direct Assurances hoping that your reputation for taking care of your customers in the event of problems. (And I hope never to test it)</v>
      </c>
    </row>
    <row r="694" ht="15.75" customHeight="1">
      <c r="A694" s="2">
        <v>1.0</v>
      </c>
      <c r="B694" s="2" t="s">
        <v>1957</v>
      </c>
      <c r="C694" s="2" t="s">
        <v>1958</v>
      </c>
      <c r="D694" s="2" t="s">
        <v>281</v>
      </c>
      <c r="E694" s="2" t="s">
        <v>74</v>
      </c>
      <c r="F694" s="2" t="s">
        <v>15</v>
      </c>
      <c r="G694" s="2" t="s">
        <v>1959</v>
      </c>
      <c r="H694" s="2" t="s">
        <v>1570</v>
      </c>
      <c r="I694" s="2" t="str">
        <f>IFERROR(__xludf.DUMMYFUNCTION("GOOGLETRANSLATE(C694,""fr"",""en"")"),"I am assured through a bank card (black) It's been 5 months that I try to obtain a reimbursement of a trip canceled following an accident. The height of stupidity, yesterday the insurer informs me by email that the doctor advice considers that could trave"&amp;"l and I could not claim a refund (I had to go hiking in Mauritius.) How to hike with a leg in the plaster?
For information my companion who had his own insurance with his bank card had the reimbursement within 3 weeks of cancellation")</f>
        <v>I am assured through a bank card (black) It's been 5 months that I try to obtain a reimbursement of a trip canceled following an accident. The height of stupidity, yesterday the insurer informs me by email that the doctor advice considers that could travel and I could not claim a refund (I had to go hiking in Mauritius.) How to hike with a leg in the plaster?
For information my companion who had his own insurance with his bank card had the reimbursement within 3 weeks of cancellation</v>
      </c>
    </row>
    <row r="695" ht="15.75" customHeight="1">
      <c r="A695" s="2">
        <v>5.0</v>
      </c>
      <c r="B695" s="2" t="s">
        <v>1960</v>
      </c>
      <c r="C695" s="2" t="s">
        <v>1961</v>
      </c>
      <c r="D695" s="2" t="s">
        <v>523</v>
      </c>
      <c r="E695" s="2" t="s">
        <v>450</v>
      </c>
      <c r="F695" s="2" t="s">
        <v>15</v>
      </c>
      <c r="G695" s="2" t="s">
        <v>1164</v>
      </c>
      <c r="H695" s="2" t="s">
        <v>380</v>
      </c>
      <c r="I695" s="2" t="str">
        <f>IFERROR(__xludf.DUMMYFUNCTION("GOOGLETRANSLATE(C695,""fr"",""en"")"),"I have been satisfied with my experience so far. Difficult to say more at this stage. The interface is good, customer relations on the phone too.")</f>
        <v>I have been satisfied with my experience so far. Difficult to say more at this stage. The interface is good, customer relations on the phone too.</v>
      </c>
    </row>
    <row r="696" ht="15.75" customHeight="1">
      <c r="A696" s="2">
        <v>1.0</v>
      </c>
      <c r="B696" s="2" t="s">
        <v>1962</v>
      </c>
      <c r="C696" s="2" t="s">
        <v>1963</v>
      </c>
      <c r="D696" s="2" t="s">
        <v>119</v>
      </c>
      <c r="E696" s="2" t="s">
        <v>261</v>
      </c>
      <c r="F696" s="2" t="s">
        <v>15</v>
      </c>
      <c r="G696" s="2" t="s">
        <v>1964</v>
      </c>
      <c r="H696" s="2" t="s">
        <v>1570</v>
      </c>
      <c r="I696" s="2" t="str">
        <f>IFERROR(__xludf.DUMMYFUNCTION("GOOGLETRANSLATE(C696,""fr"",""en"")"),"I myself lost money in case fees %, negative performance and finally unjustified exit costs. Me and my wife have lost more than € 2,500 over 1 year with € 40,000 placed in Excellium life insurance
The absence of general conditions is truly harmful and pr"&amp;"events you from learning about all the specifics of the contract. Insofar as it is insurance very difficult to understand for the vast majority of individuals
")</f>
        <v>I myself lost money in case fees %, negative performance and finally unjustified exit costs. Me and my wife have lost more than € 2,500 over 1 year with € 40,000 placed in Excellium life insurance
The absence of general conditions is truly harmful and prevents you from learning about all the specifics of the contract. Insofar as it is insurance very difficult to understand for the vast majority of individuals
</v>
      </c>
    </row>
    <row r="697" ht="15.75" customHeight="1">
      <c r="A697" s="2">
        <v>4.0</v>
      </c>
      <c r="B697" s="2" t="s">
        <v>1965</v>
      </c>
      <c r="C697" s="2" t="s">
        <v>1966</v>
      </c>
      <c r="D697" s="2" t="s">
        <v>95</v>
      </c>
      <c r="E697" s="2" t="s">
        <v>207</v>
      </c>
      <c r="F697" s="2" t="s">
        <v>15</v>
      </c>
      <c r="G697" s="2" t="s">
        <v>688</v>
      </c>
      <c r="H697" s="2" t="s">
        <v>112</v>
      </c>
      <c r="I697" s="2" t="str">
        <f>IFERROR(__xludf.DUMMYFUNCTION("GOOGLETRANSLATE(C697,""fr"",""en"")"),"I needed my legal protection for the decennale warranty of my terrace and I was very well defended because reimbursed correctly")</f>
        <v>I needed my legal protection for the decennale warranty of my terrace and I was very well defended because reimbursed correctly</v>
      </c>
    </row>
    <row r="698" ht="15.75" customHeight="1">
      <c r="A698" s="2">
        <v>3.0</v>
      </c>
      <c r="B698" s="2" t="s">
        <v>1967</v>
      </c>
      <c r="C698" s="2" t="s">
        <v>1968</v>
      </c>
      <c r="D698" s="2" t="s">
        <v>40</v>
      </c>
      <c r="E698" s="2" t="s">
        <v>14</v>
      </c>
      <c r="F698" s="2" t="s">
        <v>15</v>
      </c>
      <c r="G698" s="2" t="s">
        <v>131</v>
      </c>
      <c r="H698" s="2" t="s">
        <v>23</v>
      </c>
      <c r="I698" s="2" t="str">
        <f>IFERROR(__xludf.DUMMYFUNCTION("GOOGLETRANSLATE(C698,""fr"",""en"")"),"Overall very satisfied with the health cover. However, an effort may be made in the processing of updating personal data in the event of modification of the latter.")</f>
        <v>Overall very satisfied with the health cover. However, an effort may be made in the processing of updating personal data in the event of modification of the latter.</v>
      </c>
    </row>
    <row r="699" ht="15.75" customHeight="1">
      <c r="A699" s="2">
        <v>1.0</v>
      </c>
      <c r="B699" s="2" t="s">
        <v>1969</v>
      </c>
      <c r="C699" s="2" t="s">
        <v>1970</v>
      </c>
      <c r="D699" s="2" t="s">
        <v>206</v>
      </c>
      <c r="E699" s="2" t="s">
        <v>21</v>
      </c>
      <c r="F699" s="2" t="s">
        <v>15</v>
      </c>
      <c r="G699" s="2" t="s">
        <v>1971</v>
      </c>
      <c r="H699" s="2" t="s">
        <v>408</v>
      </c>
      <c r="I699" s="2" t="str">
        <f>IFERROR(__xludf.DUMMYFUNCTION("GOOGLETRANSLATE(C699,""fr"",""en"")"),"Insured at the MAIF for almost 20 years without any responsible accident, the ""mutualist"" service collapsed from year to year, unlike the franchises and amounts of the contracts which have soared ...... 'Home has become almost zero ...... at one time or"&amp;" change insurer (even if it is all the same ....) is easy, I absolutely do not understand this policy which is the will not to Keep, retain its longtime customers and in addition ""good"" to the maximum ..... no commercial gesture, divergent opinion betwe"&amp;"en the ""advisers"", finally in short of the flan as (worse because more expensive) the others .... .I will go to see elsewhere ....")</f>
        <v>Insured at the MAIF for almost 20 years without any responsible accident, the "mutualist" service collapsed from year to year, unlike the franchises and amounts of the contracts which have soared ...... 'Home has become almost zero ...... at one time or change insurer (even if it is all the same ....) is easy, I absolutely do not understand this policy which is the will not to Keep, retain its longtime customers and in addition "good" to the maximum ..... no commercial gesture, divergent opinion between the "advisers", finally in short of the flan as (worse because more expensive) the others .... .I will go to see elsewhere ....</v>
      </c>
    </row>
    <row r="700" ht="15.75" customHeight="1">
      <c r="A700" s="2">
        <v>1.0</v>
      </c>
      <c r="B700" s="2" t="s">
        <v>1972</v>
      </c>
      <c r="C700" s="2" t="s">
        <v>1973</v>
      </c>
      <c r="D700" s="2" t="s">
        <v>119</v>
      </c>
      <c r="E700" s="2" t="s">
        <v>207</v>
      </c>
      <c r="F700" s="2" t="s">
        <v>15</v>
      </c>
      <c r="G700" s="2" t="s">
        <v>1974</v>
      </c>
      <c r="H700" s="2" t="s">
        <v>1975</v>
      </c>
      <c r="I700" s="2" t="str">
        <f>IFERROR(__xludf.DUMMYFUNCTION("GOOGLETRANSLATE(C700,""fr"",""en"")"),"Hello customer of the AXA agency for + 40 years. Change of manager at the start of the summer.
For several years I have undergone significant increases which are reduced after discussions with the agency (in 2015 from 411.73 to 382.72, in 2016 from 403.5"&amp;" to 382.03, in 2017 431.03) and this year no way of rebate or I am told 2.50 % increase that seems normal and then the rest because of the attacks, and the other years it was? So after several messages and call to the agency or I tell them that in competi"&amp;"tion I have better offers I am told that they too do it for new customers so old people pay for the new ones so I go and I regret all the money I gave in Axa when I had professional insurance. On the Internet the insurance increases all speak of 2.50%. I "&amp;"sent a complaint to Axa in early August and still no answer, so goodbye Axa. And I have the same concerns with my car insurance")</f>
        <v>Hello customer of the AXA agency for + 40 years. Change of manager at the start of the summer.
For several years I have undergone significant increases which are reduced after discussions with the agency (in 2015 from 411.73 to 382.72, in 2016 from 403.5 to 382.03, in 2017 431.03) and this year no way of rebate or I am told 2.50 % increase that seems normal and then the rest because of the attacks, and the other years it was? So after several messages and call to the agency or I tell them that in competition I have better offers I am told that they too do it for new customers so old people pay for the new ones so I go and I regret all the money I gave in Axa when I had professional insurance. On the Internet the insurance increases all speak of 2.50%. I sent a complaint to Axa in early August and still no answer, so goodbye Axa. And I have the same concerns with my car insurance</v>
      </c>
    </row>
    <row r="701" ht="15.75" customHeight="1">
      <c r="A701" s="2">
        <v>1.0</v>
      </c>
      <c r="B701" s="2" t="s">
        <v>1976</v>
      </c>
      <c r="C701" s="2" t="s">
        <v>1977</v>
      </c>
      <c r="D701" s="2" t="s">
        <v>277</v>
      </c>
      <c r="E701" s="2" t="s">
        <v>21</v>
      </c>
      <c r="F701" s="2" t="s">
        <v>15</v>
      </c>
      <c r="G701" s="2" t="s">
        <v>1978</v>
      </c>
      <c r="H701" s="2" t="s">
        <v>468</v>
      </c>
      <c r="I701" s="2" t="str">
        <f>IFERROR(__xludf.DUMMYFUNCTION("GOOGLETRANSLATE(C701,""fr"",""en"")"),"Ditto - Tented after 18 years of good and loyal service, in short we are the milk cows that feed their wallets but beware of us when we derogate from the beautiful lamb as they want us to be. So I will advertise them ... prices far from competitive, exorb"&amp;"itant franchises while other insurers offer decreasing deductibles for good and loyal service. The maaf nothing ... just a thank you and aptly when you declare two claims. Which class !....
Shame on you .... well you will lose customers ... But know that"&amp;" you will not recover them and also know that our descendants will not be your future customers either ... Finally will arrive a day when you will show pasta White to restore your wallet. And yes the wheel turns ...
")</f>
        <v>Ditto - Tented after 18 years of good and loyal service, in short we are the milk cows that feed their wallets but beware of us when we derogate from the beautiful lamb as they want us to be. So I will advertise them ... prices far from competitive, exorbitant franchises while other insurers offer decreasing deductibles for good and loyal service. The maaf nothing ... just a thank you and aptly when you declare two claims. Which class !....
Shame on you .... well you will lose customers ... But know that you will not recover them and also know that our descendants will not be your future customers either ... Finally will arrive a day when you will show pasta White to restore your wallet. And yes the wheel turns ...
</v>
      </c>
    </row>
    <row r="702" ht="15.75" customHeight="1">
      <c r="A702" s="2">
        <v>2.0</v>
      </c>
      <c r="B702" s="2" t="s">
        <v>1979</v>
      </c>
      <c r="C702" s="2" t="s">
        <v>1980</v>
      </c>
      <c r="D702" s="2" t="s">
        <v>64</v>
      </c>
      <c r="E702" s="2" t="s">
        <v>21</v>
      </c>
      <c r="F702" s="2" t="s">
        <v>15</v>
      </c>
      <c r="G702" s="2" t="s">
        <v>1981</v>
      </c>
      <c r="H702" s="2" t="s">
        <v>168</v>
      </c>
      <c r="I702" s="2" t="str">
        <f>IFERROR(__xludf.DUMMYFUNCTION("GOOGLETRANSLATE(C702,""fr"",""en"")"),"The price offered for a first contract varies from day to day in a range of € 80 apart which is very honest")</f>
        <v>The price offered for a first contract varies from day to day in a range of € 80 apart which is very honest</v>
      </c>
    </row>
    <row r="703" ht="15.75" customHeight="1">
      <c r="A703" s="2">
        <v>1.0</v>
      </c>
      <c r="B703" s="2" t="s">
        <v>1982</v>
      </c>
      <c r="C703" s="2" t="s">
        <v>1983</v>
      </c>
      <c r="D703" s="2" t="s">
        <v>277</v>
      </c>
      <c r="E703" s="2" t="s">
        <v>207</v>
      </c>
      <c r="F703" s="2" t="s">
        <v>15</v>
      </c>
      <c r="G703" s="2" t="s">
        <v>1984</v>
      </c>
      <c r="H703" s="2" t="s">
        <v>801</v>
      </c>
      <c r="I703" s="2" t="str">
        <f>IFERROR(__xludf.DUMMYFUNCTION("GOOGLETRANSLATE(C703,""fr"",""en"")"),"Hello I wanted to share with you my situation which has been going on for more than a year following a water damage in my bathroom coming from a shower siphon. Following this I was asked to pass two craftsmen to make quotes. I transmitted these quotes to "&amp;"the MAAF which were greater than € 3000. The expert refused the two quotes of craftsmen that I offered him. They asked me to pass their partner business to estimate the damage to this partner company to encrypted the work 3 times more expensive than the q"&amp;"uote that I had presented to it. Indeed to redo the work of the water leak, remove the shower tray as well as the tiling tiles around this tank. My bathroom has united tiles on all points on all walls. The expert sent by the MAAF took the estimate of this"&amp;" company and to crossed the amounts that she did not want to take care of and made me a transfer of a sum which I do not agree at all. I formally opposed this transfer which was still made. Following this I sent a letter with acknowledgment of receipt to "&amp;"the complaint service which makes me run in a watery with the expert. This water leak has caused the mold staircase in my wallpaper in my wallpaper I told them that I have a young child and that does not seem to worry them more than that! I'm starting to "&amp;"get tired of making telephone reminders. I think I'm going to have to go up a gear.
Despite my over 15 years of loyalty to the maaf I really think of going to see the competition")</f>
        <v>Hello I wanted to share with you my situation which has been going on for more than a year following a water damage in my bathroom coming from a shower siphon. Following this I was asked to pass two craftsmen to make quotes. I transmitted these quotes to the MAAF which were greater than € 3000. The expert refused the two quotes of craftsmen that I offered him. They asked me to pass their partner business to estimate the damage to this partner company to encrypted the work 3 times more expensive than the quote that I had presented to it. Indeed to redo the work of the water leak, remove the shower tray as well as the tiling tiles around this tank. My bathroom has united tiles on all points on all walls. The expert sent by the MAAF took the estimate of this company and to crossed the amounts that she did not want to take care of and made me a transfer of a sum which I do not agree at all. I formally opposed this transfer which was still made. Following this I sent a letter with acknowledgment of receipt to the complaint service which makes me run in a watery with the expert. This water leak has caused the mold staircase in my wallpaper in my wallpaper I told them that I have a young child and that does not seem to worry them more than that! I'm starting to get tired of making telephone reminders. I think I'm going to have to go up a gear.
Despite my over 15 years of loyalty to the maaf I really think of going to see the competition</v>
      </c>
    </row>
    <row r="704" ht="15.75" customHeight="1">
      <c r="A704" s="2">
        <v>2.0</v>
      </c>
      <c r="B704" s="2" t="s">
        <v>1985</v>
      </c>
      <c r="C704" s="2" t="s">
        <v>1986</v>
      </c>
      <c r="D704" s="2" t="s">
        <v>20</v>
      </c>
      <c r="E704" s="2" t="s">
        <v>21</v>
      </c>
      <c r="F704" s="2" t="s">
        <v>15</v>
      </c>
      <c r="G704" s="2" t="s">
        <v>69</v>
      </c>
      <c r="H704" s="2" t="s">
        <v>70</v>
      </c>
      <c r="I704" s="2" t="str">
        <f>IFERROR(__xludf.DUMMYFUNCTION("GOOGLETRANSLATE(C704,""fr"",""en"")"),"Satisfied as long as nothing happens. 100% non -responsible accident, our car is assessed at a bite of bread. Of course we do not have the ways to do a counter expertise ....")</f>
        <v>Satisfied as long as nothing happens. 100% non -responsible accident, our car is assessed at a bite of bread. Of course we do not have the ways to do a counter expertise ....</v>
      </c>
    </row>
    <row r="705" ht="15.75" customHeight="1">
      <c r="A705" s="2">
        <v>5.0</v>
      </c>
      <c r="B705" s="2" t="s">
        <v>1987</v>
      </c>
      <c r="C705" s="2" t="s">
        <v>1988</v>
      </c>
      <c r="D705" s="2" t="s">
        <v>40</v>
      </c>
      <c r="E705" s="2" t="s">
        <v>14</v>
      </c>
      <c r="F705" s="2" t="s">
        <v>15</v>
      </c>
      <c r="G705" s="2" t="s">
        <v>1989</v>
      </c>
      <c r="H705" s="2" t="s">
        <v>317</v>
      </c>
      <c r="I705" s="2" t="str">
        <f>IFERROR(__xludf.DUMMYFUNCTION("GOOGLETRANSLATE(C705,""fr"",""en"")"),"No problem with our mutual,
My 88 -year -old husband has never changed why doing, to have problems.
Not possible to get bored.
is there to help us asking more. Yvonne
")</f>
        <v>No problem with our mutual,
My 88 -year -old husband has never changed why doing, to have problems.
Not possible to get bored.
is there to help us asking more. Yvonne
</v>
      </c>
    </row>
    <row r="706" ht="15.75" customHeight="1">
      <c r="A706" s="2">
        <v>1.0</v>
      </c>
      <c r="B706" s="2" t="s">
        <v>1990</v>
      </c>
      <c r="C706" s="2" t="s">
        <v>1991</v>
      </c>
      <c r="D706" s="2" t="s">
        <v>256</v>
      </c>
      <c r="E706" s="2" t="s">
        <v>21</v>
      </c>
      <c r="F706" s="2" t="s">
        <v>15</v>
      </c>
      <c r="G706" s="2" t="s">
        <v>1992</v>
      </c>
      <c r="H706" s="2" t="s">
        <v>394</v>
      </c>
      <c r="I706" s="2" t="str">
        <f>IFERROR(__xludf.DUMMYFUNCTION("GOOGLETRANSLATE(C706,""fr"",""en"")"),"I don't have the way to put 0 so I'm forced to put 1 star / run away from this insurance !!!! I have declared a claim since June 2020, I cannot be answered and I am asked to wait until mid-December 2020 !!!!
I was torn off my retro on the highway by a he"&amp;"avy goods vehicle which of course did not stop. I filed a complaint at the police station with the registration of the vehicle. The driver's insurance has therefore not responded to this day to my insurance. I am told to wait until mid-December and for th"&amp;"e moment I am declared responsible for this 100 %accident. Look for the error ..... This insurance is not competent and belongs to Crédit Agricole")</f>
        <v>I don't have the way to put 0 so I'm forced to put 1 star / run away from this insurance !!!! I have declared a claim since June 2020, I cannot be answered and I am asked to wait until mid-December 2020 !!!!
I was torn off my retro on the highway by a heavy goods vehicle which of course did not stop. I filed a complaint at the police station with the registration of the vehicle. The driver's insurance has therefore not responded to this day to my insurance. I am told to wait until mid-December and for the moment I am declared responsible for this 100 %accident. Look for the error ..... This insurance is not competent and belongs to Crédit Agricole</v>
      </c>
    </row>
    <row r="707" ht="15.75" customHeight="1">
      <c r="A707" s="2">
        <v>5.0</v>
      </c>
      <c r="B707" s="2" t="s">
        <v>1993</v>
      </c>
      <c r="C707" s="2" t="s">
        <v>1994</v>
      </c>
      <c r="D707" s="2" t="s">
        <v>64</v>
      </c>
      <c r="E707" s="2" t="s">
        <v>21</v>
      </c>
      <c r="F707" s="2" t="s">
        <v>15</v>
      </c>
      <c r="G707" s="2" t="s">
        <v>393</v>
      </c>
      <c r="H707" s="2" t="s">
        <v>394</v>
      </c>
      <c r="I707" s="2" t="str">
        <f>IFERROR(__xludf.DUMMYFUNCTION("GOOGLETRANSLATE(C707,""fr"",""en"")"),"Very good insurance, the advisers are very professional and courteous, they are looking for a solution with each problem and quickly, I advise this insurance if it continues to treat its customers as it once the contracts are signed and if there is a prob"&amp;"lem.")</f>
        <v>Very good insurance, the advisers are very professional and courteous, they are looking for a solution with each problem and quickly, I advise this insurance if it continues to treat its customers as it once the contracts are signed and if there is a problem.</v>
      </c>
    </row>
    <row r="708" ht="15.75" customHeight="1">
      <c r="A708" s="2">
        <v>2.0</v>
      </c>
      <c r="B708" s="2" t="s">
        <v>1995</v>
      </c>
      <c r="C708" s="2" t="s">
        <v>1996</v>
      </c>
      <c r="D708" s="2" t="s">
        <v>281</v>
      </c>
      <c r="E708" s="2" t="s">
        <v>207</v>
      </c>
      <c r="F708" s="2" t="s">
        <v>15</v>
      </c>
      <c r="G708" s="2" t="s">
        <v>934</v>
      </c>
      <c r="H708" s="2" t="s">
        <v>23</v>
      </c>
      <c r="I708" s="2" t="str">
        <f>IFERROR(__xludf.DUMMYFUNCTION("GOOGLETRANSLATE(C708,""fr"",""en"")"),"Insurance makes me pay for my roof but refuses to intervene in the loss under the pretext of dilapidation of this one
Delays in reimbursements
Contemptious attitude of dispute managers")</f>
        <v>Insurance makes me pay for my roof but refuses to intervene in the loss under the pretext of dilapidation of this one
Delays in reimbursements
Contemptious attitude of dispute managers</v>
      </c>
    </row>
    <row r="709" ht="15.75" customHeight="1">
      <c r="A709" s="2">
        <v>4.0</v>
      </c>
      <c r="B709" s="2" t="s">
        <v>1997</v>
      </c>
      <c r="C709" s="2" t="s">
        <v>1998</v>
      </c>
      <c r="D709" s="2" t="s">
        <v>40</v>
      </c>
      <c r="E709" s="2" t="s">
        <v>14</v>
      </c>
      <c r="F709" s="2" t="s">
        <v>15</v>
      </c>
      <c r="G709" s="2" t="s">
        <v>1999</v>
      </c>
      <c r="H709" s="2" t="s">
        <v>101</v>
      </c>
      <c r="I709" s="2" t="str">
        <f>IFERROR(__xludf.DUMMYFUNCTION("GOOGLETRANSLATE(C709,""fr"",""en"")"),"Customer service accessible quickly. Specific information. Competent and attentive staff.")</f>
        <v>Customer service accessible quickly. Specific information. Competent and attentive staff.</v>
      </c>
    </row>
    <row r="710" ht="15.75" customHeight="1">
      <c r="A710" s="2">
        <v>1.0</v>
      </c>
      <c r="B710" s="2" t="s">
        <v>2000</v>
      </c>
      <c r="C710" s="2" t="s">
        <v>2001</v>
      </c>
      <c r="D710" s="2" t="s">
        <v>20</v>
      </c>
      <c r="E710" s="2" t="s">
        <v>21</v>
      </c>
      <c r="F710" s="2" t="s">
        <v>15</v>
      </c>
      <c r="G710" s="2" t="s">
        <v>1446</v>
      </c>
      <c r="H710" s="2" t="s">
        <v>23</v>
      </c>
      <c r="I710" s="2" t="str">
        <f>IFERROR(__xludf.DUMMYFUNCTION("GOOGLETRANSLATE(C710,""fr"",""en"")"),"I am not satisfied. I have been your customer for a long time. You have terminated me for a payment of payment and put me in a difficult situation")</f>
        <v>I am not satisfied. I have been your customer for a long time. You have terminated me for a payment of payment and put me in a difficult situation</v>
      </c>
    </row>
    <row r="711" ht="15.75" customHeight="1">
      <c r="A711" s="2">
        <v>2.0</v>
      </c>
      <c r="B711" s="2" t="s">
        <v>2002</v>
      </c>
      <c r="C711" s="2" t="s">
        <v>2003</v>
      </c>
      <c r="D711" s="2" t="s">
        <v>40</v>
      </c>
      <c r="E711" s="2" t="s">
        <v>14</v>
      </c>
      <c r="F711" s="2" t="s">
        <v>15</v>
      </c>
      <c r="G711" s="2" t="s">
        <v>2004</v>
      </c>
      <c r="H711" s="2" t="s">
        <v>283</v>
      </c>
      <c r="I711" s="2" t="str">
        <f>IFERROR(__xludf.DUMMYFUNCTION("GOOGLETRANSLATE(C711,""fr"",""en"")"),"So refusal to deposit Immal loan .. I got it back!
Now refusal to guarantee me Primo ...
What is this mutual spirit? More than 20 years ago I had sold this mutual with the slogan: the mutual by the police for the police! No, it's the mutual of financier"&amp;"s to smoke the police!
Anyway, run away .... I think I'm going to go to the one opposite, even if I see me to refuse a product.")</f>
        <v>So refusal to deposit Immal loan .. I got it back!
Now refusal to guarantee me Primo ...
What is this mutual spirit? More than 20 years ago I had sold this mutual with the slogan: the mutual by the police for the police! No, it's the mutual of financiers to smoke the police!
Anyway, run away .... I think I'm going to go to the one opposite, even if I see me to refuse a product.</v>
      </c>
    </row>
    <row r="712" ht="15.75" customHeight="1">
      <c r="A712" s="2">
        <v>5.0</v>
      </c>
      <c r="B712" s="2" t="s">
        <v>2005</v>
      </c>
      <c r="C712" s="2" t="s">
        <v>2006</v>
      </c>
      <c r="D712" s="2" t="s">
        <v>20</v>
      </c>
      <c r="E712" s="2" t="s">
        <v>21</v>
      </c>
      <c r="F712" s="2" t="s">
        <v>15</v>
      </c>
      <c r="G712" s="2" t="s">
        <v>1101</v>
      </c>
      <c r="H712" s="2" t="s">
        <v>58</v>
      </c>
      <c r="I712" s="2" t="str">
        <f>IFERROR(__xludf.DUMMYFUNCTION("GOOGLETRANSLATE(C712,""fr"",""en"")"),"correct price
fast and clear the quote is well detailed and the instructions are clear
The documents are received immediately and the electronic signature is practical")</f>
        <v>correct price
fast and clear the quote is well detailed and the instructions are clear
The documents are received immediately and the electronic signature is practical</v>
      </c>
    </row>
    <row r="713" ht="15.75" customHeight="1">
      <c r="A713" s="2">
        <v>2.0</v>
      </c>
      <c r="B713" s="2" t="s">
        <v>2007</v>
      </c>
      <c r="C713" s="2" t="s">
        <v>2008</v>
      </c>
      <c r="D713" s="2" t="s">
        <v>95</v>
      </c>
      <c r="E713" s="2" t="s">
        <v>21</v>
      </c>
      <c r="F713" s="2" t="s">
        <v>15</v>
      </c>
      <c r="G713" s="2" t="s">
        <v>515</v>
      </c>
      <c r="H713" s="2" t="s">
        <v>70</v>
      </c>
      <c r="I713" s="2" t="str">
        <f>IFERROR(__xludf.DUMMYFUNCTION("GOOGLETRANSLATE(C713,""fr"",""en"")"),"
I was insured Matmut for my vehicles and my home for 49 years by trusting this insurer. When I asked for a quote to ensure a 3rd vehicle, I realized that this group did not give a gift to its loyal customers because I paid ""Rubis on the nail"" for a fe"&amp;"eling of tranquility 30% more expensive than at competition. Today I went to competition and I am also satisfied. However, I kept home insurance for my son's studio. It is also assured for legal protection which it cannot benefit from because legal assist"&amp;"ance maintains that it is not assured, and I sail from Matmut to legal assistance. Yesterday dated June 8, an employee of the Tinque Matmut made my son patient 40 minutes on the phone to finally tell him that he was not assured what is false. Today I try "&amp;"a final call to try to know what is going on. Presumably there is a lack of follow -up of files at this insurer.
")</f>
        <v>
I was insured Matmut for my vehicles and my home for 49 years by trusting this insurer. When I asked for a quote to ensure a 3rd vehicle, I realized that this group did not give a gift to its loyal customers because I paid "Rubis on the nail" for a feeling of tranquility 30% more expensive than at competition. Today I went to competition and I am also satisfied. However, I kept home insurance for my son's studio. It is also assured for legal protection which it cannot benefit from because legal assistance maintains that it is not assured, and I sail from Matmut to legal assistance. Yesterday dated June 8, an employee of the Tinque Matmut made my son patient 40 minutes on the phone to finally tell him that he was not assured what is false. Today I try a final call to try to know what is going on. Presumably there is a lack of follow -up of files at this insurer.
</v>
      </c>
    </row>
    <row r="714" ht="15.75" customHeight="1">
      <c r="A714" s="2">
        <v>1.0</v>
      </c>
      <c r="B714" s="2" t="s">
        <v>2009</v>
      </c>
      <c r="C714" s="2" t="s">
        <v>2010</v>
      </c>
      <c r="D714" s="2" t="s">
        <v>20</v>
      </c>
      <c r="E714" s="2" t="s">
        <v>21</v>
      </c>
      <c r="F714" s="2" t="s">
        <v>15</v>
      </c>
      <c r="G714" s="2" t="s">
        <v>149</v>
      </c>
      <c r="H714" s="2" t="s">
        <v>139</v>
      </c>
      <c r="I714" s="2" t="str">
        <f>IFERROR(__xludf.DUMMYFUNCTION("GOOGLETRANSLATE(C714,""fr"",""en"")"),"For the past three days I have been trying to make a claim with Direct Insurance The advisers can never be reachable
I do not recommend engaging with this insurance!")</f>
        <v>For the past three days I have been trying to make a claim with Direct Insurance The advisers can never be reachable
I do not recommend engaging with this insurance!</v>
      </c>
    </row>
    <row r="715" ht="15.75" customHeight="1">
      <c r="A715" s="2">
        <v>5.0</v>
      </c>
      <c r="B715" s="2" t="s">
        <v>2011</v>
      </c>
      <c r="C715" s="2" t="s">
        <v>2012</v>
      </c>
      <c r="D715" s="2" t="s">
        <v>35</v>
      </c>
      <c r="E715" s="2" t="s">
        <v>21</v>
      </c>
      <c r="F715" s="2" t="s">
        <v>15</v>
      </c>
      <c r="G715" s="2" t="s">
        <v>1129</v>
      </c>
      <c r="H715" s="2" t="s">
        <v>45</v>
      </c>
      <c r="I715" s="2" t="str">
        <f>IFERROR(__xludf.DUMMYFUNCTION("GOOGLETRANSLATE(C715,""fr"",""en"")"),"satisfied with the service with the rapidity of the study of the problem
and top telephone recall system !! At the exact time we are recalled !!")</f>
        <v>satisfied with the service with the rapidity of the study of the problem
and top telephone recall system !! At the exact time we are recalled !!</v>
      </c>
    </row>
    <row r="716" ht="15.75" customHeight="1">
      <c r="A716" s="2">
        <v>5.0</v>
      </c>
      <c r="B716" s="2" t="s">
        <v>2013</v>
      </c>
      <c r="C716" s="2" t="s">
        <v>2014</v>
      </c>
      <c r="D716" s="2" t="s">
        <v>64</v>
      </c>
      <c r="E716" s="2" t="s">
        <v>21</v>
      </c>
      <c r="F716" s="2" t="s">
        <v>15</v>
      </c>
      <c r="G716" s="2" t="s">
        <v>969</v>
      </c>
      <c r="H716" s="2" t="s">
        <v>23</v>
      </c>
      <c r="I716" s="2" t="str">
        <f>IFERROR(__xludf.DUMMYFUNCTION("GOOGLETRANSLATE(C716,""fr"",""en"")"),"I have been at the Olivier Insurance for three years whether by internet or phone they are fast pleasant and my always found solutions. The price is very competitive. For the rest I cannot talk about it because I did not have an accident I do not know the"&amp;"ir disaster reimbursement performance.")</f>
        <v>I have been at the Olivier Insurance for three years whether by internet or phone they are fast pleasant and my always found solutions. The price is very competitive. For the rest I cannot talk about it because I did not have an accident I do not know their disaster reimbursement performance.</v>
      </c>
    </row>
    <row r="717" ht="15.75" customHeight="1">
      <c r="A717" s="2">
        <v>4.0</v>
      </c>
      <c r="B717" s="2" t="s">
        <v>2015</v>
      </c>
      <c r="C717" s="2" t="s">
        <v>2016</v>
      </c>
      <c r="D717" s="2" t="s">
        <v>13</v>
      </c>
      <c r="E717" s="2" t="s">
        <v>14</v>
      </c>
      <c r="F717" s="2" t="s">
        <v>15</v>
      </c>
      <c r="G717" s="2" t="s">
        <v>2017</v>
      </c>
      <c r="H717" s="2" t="s">
        <v>186</v>
      </c>
      <c r="I717" s="2" t="str">
        <f>IFERROR(__xludf.DUMMYFUNCTION("GOOGLETRANSLATE(C717,""fr"",""en"")"),"Thanks to Virginie for her availability and her clear and precise explanations and her speed to answer my request even if a smile does not see on the phone he can still get along!
Thanks to Virginie for Don welcomes and her kindness!")</f>
        <v>Thanks to Virginie for her availability and her clear and precise explanations and her speed to answer my request even if a smile does not see on the phone he can still get along!
Thanks to Virginie for Don welcomes and her kindness!</v>
      </c>
    </row>
    <row r="718" ht="15.75" customHeight="1">
      <c r="A718" s="2">
        <v>5.0</v>
      </c>
      <c r="B718" s="2" t="s">
        <v>2018</v>
      </c>
      <c r="C718" s="2" t="s">
        <v>2019</v>
      </c>
      <c r="D718" s="2" t="s">
        <v>20</v>
      </c>
      <c r="E718" s="2" t="s">
        <v>21</v>
      </c>
      <c r="F718" s="2" t="s">
        <v>15</v>
      </c>
      <c r="G718" s="2" t="s">
        <v>174</v>
      </c>
      <c r="H718" s="2" t="s">
        <v>89</v>
      </c>
      <c r="I718" s="2" t="str">
        <f>IFERROR(__xludf.DUMMYFUNCTION("GOOGLETRANSLATE(C718,""fr"",""en"")"),"I am satisfied the prices too thank you I recommend, thank you, however I have a second car and I have no reduction, nor a commercial gesture")</f>
        <v>I am satisfied the prices too thank you I recommend, thank you, however I have a second car and I have no reduction, nor a commercial gesture</v>
      </c>
    </row>
    <row r="719" ht="15.75" customHeight="1">
      <c r="A719" s="2">
        <v>1.0</v>
      </c>
      <c r="B719" s="2" t="s">
        <v>2020</v>
      </c>
      <c r="C719" s="2" t="s">
        <v>2021</v>
      </c>
      <c r="D719" s="2" t="s">
        <v>225</v>
      </c>
      <c r="E719" s="2" t="s">
        <v>261</v>
      </c>
      <c r="F719" s="2" t="s">
        <v>15</v>
      </c>
      <c r="G719" s="2" t="s">
        <v>2022</v>
      </c>
      <c r="H719" s="2" t="s">
        <v>418</v>
      </c>
      <c r="I719" s="2" t="str">
        <f>IFERROR(__xludf.DUMMYFUNCTION("GOOGLETRANSLATE(C719,""fr"",""en"")"),"Non -compliance with the application of the PACTE law:
After numerous complaints, for more than three months following a request to the insurer Swisslife for the transformation of my PERP to an individual retirement plan, it has still not been made, de"&amp;"spite The official and written confirmation of this transformation by the CERENA association which subscribed to this Perp N ° 1006 with the insurer Swisslife. To date I have still not had any answers or explanations.
")</f>
        <v>Non -compliance with the application of the PACTE law:
After numerous complaints, for more than three months following a request to the insurer Swisslife for the transformation of my PERP to an individual retirement plan, it has still not been made, despite The official and written confirmation of this transformation by the CERENA association which subscribed to this Perp N ° 1006 with the insurer Swisslife. To date I have still not had any answers or explanations.
</v>
      </c>
    </row>
    <row r="720" ht="15.75" customHeight="1">
      <c r="A720" s="2">
        <v>4.0</v>
      </c>
      <c r="B720" s="2" t="s">
        <v>2023</v>
      </c>
      <c r="C720" s="2" t="s">
        <v>2024</v>
      </c>
      <c r="D720" s="2" t="s">
        <v>64</v>
      </c>
      <c r="E720" s="2" t="s">
        <v>21</v>
      </c>
      <c r="F720" s="2" t="s">
        <v>15</v>
      </c>
      <c r="G720" s="2" t="s">
        <v>1683</v>
      </c>
      <c r="H720" s="2" t="s">
        <v>45</v>
      </c>
      <c r="I720" s="2" t="str">
        <f>IFERROR(__xludf.DUMMYFUNCTION("GOOGLETRANSLATE(C720,""fr"",""en"")"),"I am satisfied with the service. Fast and effective. All the people I have on the phone are very pleasant and help us in our efforts.")</f>
        <v>I am satisfied with the service. Fast and effective. All the people I have on the phone are very pleasant and help us in our efforts.</v>
      </c>
    </row>
    <row r="721" ht="15.75" customHeight="1">
      <c r="A721" s="2">
        <v>1.0</v>
      </c>
      <c r="B721" s="2" t="s">
        <v>2025</v>
      </c>
      <c r="C721" s="2" t="s">
        <v>2026</v>
      </c>
      <c r="D721" s="2" t="s">
        <v>709</v>
      </c>
      <c r="E721" s="2" t="s">
        <v>14</v>
      </c>
      <c r="F721" s="2" t="s">
        <v>15</v>
      </c>
      <c r="G721" s="2" t="s">
        <v>969</v>
      </c>
      <c r="H721" s="2" t="s">
        <v>23</v>
      </c>
      <c r="I721" s="2" t="str">
        <f>IFERROR(__xludf.DUMMYFUNCTION("GOOGLETRANSLATE(C721,""fr"",""en"")"),"Thank you the Mgen ....
Pay a subscription and wait like Pénélope .. I gave birth in December and I did not receive my daughter's birth bonus. More than 300 euros in exceeding fees that I still haven't had ..
I still have other care invoices waiting to "&amp;"be reimbursed for my daughter but I do not send anything because no one is able to tell me when I have had to claim since January .. we pay we pay and No one cares about knowing if we are in the open ... I cry with nerves .. we don't all have good wages e"&amp;"specially in the minimum wage .. I can't take it anymore")</f>
        <v>Thank you the Mgen ....
Pay a subscription and wait like Pénélope .. I gave birth in December and I did not receive my daughter's birth bonus. More than 300 euros in exceeding fees that I still haven't had ..
I still have other care invoices waiting to be reimbursed for my daughter but I do not send anything because no one is able to tell me when I have had to claim since January .. we pay we pay and No one cares about knowing if we are in the open ... I cry with nerves .. we don't all have good wages especially in the minimum wage .. I can't take it anymore</v>
      </c>
    </row>
    <row r="722" ht="15.75" customHeight="1">
      <c r="A722" s="2">
        <v>2.0</v>
      </c>
      <c r="B722" s="2" t="s">
        <v>2027</v>
      </c>
      <c r="C722" s="2" t="s">
        <v>2028</v>
      </c>
      <c r="D722" s="2" t="s">
        <v>256</v>
      </c>
      <c r="E722" s="2" t="s">
        <v>207</v>
      </c>
      <c r="F722" s="2" t="s">
        <v>15</v>
      </c>
      <c r="G722" s="2" t="s">
        <v>2029</v>
      </c>
      <c r="H722" s="2" t="s">
        <v>1075</v>
      </c>
      <c r="I722" s="2" t="str">
        <f>IFERROR(__xludf.DUMMYFUNCTION("GOOGLETRANSLATE(C722,""fr"",""en"")"),"Following a burglary in early January we are at the end of June and still nothing despite our recovery and 3 times Lexpert answered at their request")</f>
        <v>Following a burglary in early January we are at the end of June and still nothing despite our recovery and 3 times Lexpert answered at their request</v>
      </c>
    </row>
    <row r="723" ht="15.75" customHeight="1">
      <c r="A723" s="2">
        <v>2.0</v>
      </c>
      <c r="B723" s="2" t="s">
        <v>2030</v>
      </c>
      <c r="C723" s="2" t="s">
        <v>2031</v>
      </c>
      <c r="D723" s="2" t="s">
        <v>95</v>
      </c>
      <c r="E723" s="2" t="s">
        <v>207</v>
      </c>
      <c r="F723" s="2" t="s">
        <v>15</v>
      </c>
      <c r="G723" s="2" t="s">
        <v>2032</v>
      </c>
      <c r="H723" s="2" t="s">
        <v>186</v>
      </c>
      <c r="I723" s="2" t="str">
        <f>IFERROR(__xludf.DUMMYFUNCTION("GOOGLETRANSLATE(C723,""fr"",""en"")"),"Insured for almost 10 years for our apartment without any claim, we have just had a big water damage. We declare the claim the same day and immediately receive an acknowledgment of receipt. The next day we communicate all the documents necessary for proce"&amp;"ssing the file. And ... nothing. 2 reminders by the messaging of their online platform and at least 5 calls to the sinister service where I am put on hold 20 minutes before hanging up on the nose. The worst insurance company I was dealing with. I had othe"&amp;"r claims for the car and my business managed with another company and the result is incomparable.")</f>
        <v>Insured for almost 10 years for our apartment without any claim, we have just had a big water damage. We declare the claim the same day and immediately receive an acknowledgment of receipt. The next day we communicate all the documents necessary for processing the file. And ... nothing. 2 reminders by the messaging of their online platform and at least 5 calls to the sinister service where I am put on hold 20 minutes before hanging up on the nose. The worst insurance company I was dealing with. I had other claims for the car and my business managed with another company and the result is incomparable.</v>
      </c>
    </row>
    <row r="724" ht="15.75" customHeight="1">
      <c r="A724" s="2">
        <v>1.0</v>
      </c>
      <c r="B724" s="2" t="s">
        <v>2033</v>
      </c>
      <c r="C724" s="2" t="s">
        <v>2034</v>
      </c>
      <c r="D724" s="2" t="s">
        <v>20</v>
      </c>
      <c r="E724" s="2" t="s">
        <v>21</v>
      </c>
      <c r="F724" s="2" t="s">
        <v>15</v>
      </c>
      <c r="G724" s="2" t="s">
        <v>1326</v>
      </c>
      <c r="H724" s="2" t="s">
        <v>178</v>
      </c>
      <c r="I724" s="2" t="str">
        <f>IFERROR(__xludf.DUMMYFUNCTION("GOOGLETRANSLATE(C724,""fr"",""en"")"),"Faithful customer for 5 years now, I absolutely do not understand the price you offer that increased by 23% in 5 years !!!!
Especially since by subscribing to a new contract, a lower price is proposed, it is really not normal for the prices to increase t"&amp;"o +23% after 5 years when no sinister n 'has been declared on my part on these 5 years.")</f>
        <v>Faithful customer for 5 years now, I absolutely do not understand the price you offer that increased by 23% in 5 years !!!!
Especially since by subscribing to a new contract, a lower price is proposed, it is really not normal for the prices to increase to +23% after 5 years when no sinister n 'has been declared on my part on these 5 years.</v>
      </c>
    </row>
    <row r="725" ht="15.75" customHeight="1">
      <c r="A725" s="2">
        <v>4.0</v>
      </c>
      <c r="B725" s="2" t="s">
        <v>2035</v>
      </c>
      <c r="C725" s="2" t="s">
        <v>2036</v>
      </c>
      <c r="D725" s="2" t="s">
        <v>40</v>
      </c>
      <c r="E725" s="2" t="s">
        <v>14</v>
      </c>
      <c r="F725" s="2" t="s">
        <v>15</v>
      </c>
      <c r="G725" s="2" t="s">
        <v>2037</v>
      </c>
      <c r="H725" s="2" t="s">
        <v>182</v>
      </c>
      <c r="I725" s="2" t="str">
        <f>IFERROR(__xludf.DUMMYFUNCTION("GOOGLETRANSLATE(C725,""fr"",""en"")"),"I am satisfied with my mutual, especially the telephone reception which is fast and operational.
However, the price of mutuals in relation to reimbursement remains a bit high.
Fortunately there is rescue health costs.")</f>
        <v>I am satisfied with my mutual, especially the telephone reception which is fast and operational.
However, the price of mutuals in relation to reimbursement remains a bit high.
Fortunately there is rescue health costs.</v>
      </c>
    </row>
    <row r="726" ht="15.75" customHeight="1">
      <c r="A726" s="2">
        <v>5.0</v>
      </c>
      <c r="B726" s="2" t="s">
        <v>2038</v>
      </c>
      <c r="C726" s="2" t="s">
        <v>2039</v>
      </c>
      <c r="D726" s="2" t="s">
        <v>383</v>
      </c>
      <c r="E726" s="2" t="s">
        <v>110</v>
      </c>
      <c r="F726" s="2" t="s">
        <v>15</v>
      </c>
      <c r="G726" s="2" t="s">
        <v>1114</v>
      </c>
      <c r="H726" s="2" t="s">
        <v>317</v>
      </c>
      <c r="I726" s="2" t="str">
        <f>IFERROR(__xludf.DUMMYFUNCTION("GOOGLETRANSLATE(C726,""fr"",""en"")"),"I do not understand the negative opinions on HealthVet. I have been assured at home for 14 years, for my dog ​​and one of my cats. Everything has been clear since the 1st day of subscription, immediate care for certain care, and 6 months deductible for ot"&amp;"hers. Compulsory identification of the animal, and several formulas proposed, with the possibility of modification at any time. I chose a contract which reimburses the costs at 85%, with a package of € 1,800 for veterinary care, and an annual refunding de"&amp;"scaling. I transmit the documents through my personal space, and the transfer comes within 48 hours. It is true that at the start the contributions are not very high, but like all insurances, they increase each year. Today I pay 70 € for my cocker spaniel"&amp;" which is 14 years old, but I congratulate myself each time he goes to the vet of having health that covers me. I have always been very well received on the phone, and the advisers are very attentive. I sponsored a few people who are delighted with their "&amp;"choice, and the only time I had a concern with Santevet, a commercial gesture was done, which I really appreciated.
")</f>
        <v>I do not understand the negative opinions on HealthVet. I have been assured at home for 14 years, for my dog ​​and one of my cats. Everything has been clear since the 1st day of subscription, immediate care for certain care, and 6 months deductible for others. Compulsory identification of the animal, and several formulas proposed, with the possibility of modification at any time. I chose a contract which reimburses the costs at 85%, with a package of € 1,800 for veterinary care, and an annual refunding descaling. I transmit the documents through my personal space, and the transfer comes within 48 hours. It is true that at the start the contributions are not very high, but like all insurances, they increase each year. Today I pay 70 € for my cocker spaniel which is 14 years old, but I congratulate myself each time he goes to the vet of having health that covers me. I have always been very well received on the phone, and the advisers are very attentive. I sponsored a few people who are delighted with their choice, and the only time I had a concern with Santevet, a commercial gesture was done, which I really appreciated.
</v>
      </c>
    </row>
    <row r="727" ht="15.75" customHeight="1">
      <c r="A727" s="2">
        <v>4.0</v>
      </c>
      <c r="B727" s="2" t="s">
        <v>2040</v>
      </c>
      <c r="C727" s="2" t="s">
        <v>2041</v>
      </c>
      <c r="D727" s="2" t="s">
        <v>78</v>
      </c>
      <c r="E727" s="2" t="s">
        <v>79</v>
      </c>
      <c r="F727" s="2" t="s">
        <v>15</v>
      </c>
      <c r="G727" s="2" t="s">
        <v>566</v>
      </c>
      <c r="H727" s="2" t="s">
        <v>17</v>
      </c>
      <c r="I727" s="2" t="str">
        <f>IFERROR(__xludf.DUMMYFUNCTION("GOOGLETRANSLATE(C727,""fr"",""en"")"),"Super well satisfied good insurance thank you for everything my 2 wheels A was assured very quickly and in terms of super top price really I was not expecting that")</f>
        <v>Super well satisfied good insurance thank you for everything my 2 wheels A was assured very quickly and in terms of super top price really I was not expecting that</v>
      </c>
    </row>
    <row r="728" ht="15.75" customHeight="1">
      <c r="A728" s="2">
        <v>2.0</v>
      </c>
      <c r="B728" s="2" t="s">
        <v>2042</v>
      </c>
      <c r="C728" s="2" t="s">
        <v>2043</v>
      </c>
      <c r="D728" s="2" t="s">
        <v>20</v>
      </c>
      <c r="E728" s="2" t="s">
        <v>21</v>
      </c>
      <c r="F728" s="2" t="s">
        <v>15</v>
      </c>
      <c r="G728" s="2" t="s">
        <v>2044</v>
      </c>
      <c r="H728" s="2" t="s">
        <v>112</v>
      </c>
      <c r="I728" s="2" t="str">
        <f>IFERROR(__xludf.DUMMYFUNCTION("GOOGLETRANSLATE(C728,""fr"",""en"")"),"Absolutely to flee. I had made an infidelity to my ex insurer, attracted by the so -called best prices !! But what a bad service !!! It is better to pay a little more expensive elsewhere and be better considered than a wallet and be better taken care of.
"&amp;"
Do everything not to compensate his insured and do not really defend them in the event of a disaster.
The contribution increases sharply every year. It is beautiful to be cheaper at the inscription finally we pay almost as much as expensive over time
F"&amp;"inally the price is not cheaper than other insurances because they attract you with a basic price necessarily cheaper but with all the options that must be paid in addition to have more comfort, the attractive price is no longer The same at all ....
Has "&amp;"changed the amount of deductibles in the thousands of the years without informing us about the basic contract, it's not honest
Lamentable and incompetent customer service.
And because there is no local office to solve a dispute, and give a good punch on"&amp;" the desk to grumble a little and be heard, we spend our time calling at the end of the world and There are hours of waiting every time, to write mail to explain your problem and to finally get to say that they will not change their position and we stay w"&amp;"ith our injustice ..... In addition no possibility To have a ""real"" responsible online to expose his dissatisfaction. The only solution ? Take a lawyer against an insurance company !!! It will cost me more than my disaster ..... so like many people I dr"&amp;"opped and I leave to make sure elsewhere or I will be better considered and protected.")</f>
        <v>Absolutely to flee. I had made an infidelity to my ex insurer, attracted by the so -called best prices !! But what a bad service !!! It is better to pay a little more expensive elsewhere and be better considered than a wallet and be better taken care of.
Do everything not to compensate his insured and do not really defend them in the event of a disaster.
The contribution increases sharply every year. It is beautiful to be cheaper at the inscription finally we pay almost as much as expensive over time
Finally the price is not cheaper than other insurances because they attract you with a basic price necessarily cheaper but with all the options that must be paid in addition to have more comfort, the attractive price is no longer The same at all ....
Has changed the amount of deductibles in the thousands of the years without informing us about the basic contract, it's not honest
Lamentable and incompetent customer service.
And because there is no local office to solve a dispute, and give a good punch on the desk to grumble a little and be heard, we spend our time calling at the end of the world and There are hours of waiting every time, to write mail to explain your problem and to finally get to say that they will not change their position and we stay with our injustice ..... In addition no possibility To have a "real" responsible online to expose his dissatisfaction. The only solution ? Take a lawyer against an insurance company !!! It will cost me more than my disaster ..... so like many people I dropped and I leave to make sure elsewhere or I will be better considered and protected.</v>
      </c>
    </row>
    <row r="729" ht="15.75" customHeight="1">
      <c r="A729" s="2">
        <v>4.0</v>
      </c>
      <c r="B729" s="2" t="s">
        <v>2045</v>
      </c>
      <c r="C729" s="2" t="s">
        <v>2046</v>
      </c>
      <c r="D729" s="2" t="s">
        <v>78</v>
      </c>
      <c r="E729" s="2" t="s">
        <v>79</v>
      </c>
      <c r="F729" s="2" t="s">
        <v>15</v>
      </c>
      <c r="G729" s="2" t="s">
        <v>599</v>
      </c>
      <c r="H729" s="2" t="s">
        <v>17</v>
      </c>
      <c r="I729" s="2" t="str">
        <f>IFERROR(__xludf.DUMMYFUNCTION("GOOGLETRANSLATE(C729,""fr"",""en"")"),"I am satisfied with the simple and fast internet subscription
The price is correct and many options are offered
 To see in the event of a claim .....")</f>
        <v>I am satisfied with the simple and fast internet subscription
The price is correct and many options are offered
 To see in the event of a claim .....</v>
      </c>
    </row>
    <row r="730" ht="15.75" customHeight="1">
      <c r="A730" s="2">
        <v>4.0</v>
      </c>
      <c r="B730" s="2" t="s">
        <v>2047</v>
      </c>
      <c r="C730" s="2" t="s">
        <v>2048</v>
      </c>
      <c r="D730" s="2" t="s">
        <v>78</v>
      </c>
      <c r="E730" s="2" t="s">
        <v>79</v>
      </c>
      <c r="F730" s="2" t="s">
        <v>15</v>
      </c>
      <c r="G730" s="2" t="s">
        <v>1205</v>
      </c>
      <c r="H730" s="2" t="s">
        <v>70</v>
      </c>
      <c r="I730" s="2" t="str">
        <f>IFERROR(__xludf.DUMMYFUNCTION("GOOGLETRANSLATE(C730,""fr"",""en"")"),"For a 1st insurance, the price is more than correct
I cannot judge the quality of the served, I haven't faced it yet
I hope I never have to use the services offer.")</f>
        <v>For a 1st insurance, the price is more than correct
I cannot judge the quality of the served, I haven't faced it yet
I hope I never have to use the services offer.</v>
      </c>
    </row>
    <row r="731" ht="15.75" customHeight="1">
      <c r="A731" s="2">
        <v>1.0</v>
      </c>
      <c r="B731" s="2" t="s">
        <v>2049</v>
      </c>
      <c r="C731" s="2" t="s">
        <v>2050</v>
      </c>
      <c r="D731" s="2" t="s">
        <v>277</v>
      </c>
      <c r="E731" s="2" t="s">
        <v>21</v>
      </c>
      <c r="F731" s="2" t="s">
        <v>15</v>
      </c>
      <c r="G731" s="2" t="s">
        <v>2051</v>
      </c>
      <c r="H731" s="2" t="s">
        <v>195</v>
      </c>
      <c r="I731" s="2" t="str">
        <f>IFERROR(__xludf.DUMMYFUNCTION("GOOGLETRANSLATE(C731,""fr"",""en"")"),"No one assists those who cause accidents. Use defamation and slander. In short with the MAAF, their advice is to cause accidents and they will assure you and protect you. If you are a bad driver, bad times moreover, they will advise you to pay false witne"&amp;"sses to legally undergo money from insurance police the other road users")</f>
        <v>No one assists those who cause accidents. Use defamation and slander. In short with the MAAF, their advice is to cause accidents and they will assure you and protect you. If you are a bad driver, bad times moreover, they will advise you to pay false witnesses to legally undergo money from insurance police the other road users</v>
      </c>
    </row>
    <row r="732" ht="15.75" customHeight="1">
      <c r="A732" s="2">
        <v>1.0</v>
      </c>
      <c r="B732" s="2" t="s">
        <v>2052</v>
      </c>
      <c r="C732" s="2" t="s">
        <v>2053</v>
      </c>
      <c r="D732" s="2" t="s">
        <v>119</v>
      </c>
      <c r="E732" s="2" t="s">
        <v>207</v>
      </c>
      <c r="F732" s="2" t="s">
        <v>15</v>
      </c>
      <c r="G732" s="2" t="s">
        <v>112</v>
      </c>
      <c r="H732" s="2" t="s">
        <v>112</v>
      </c>
      <c r="I732" s="2" t="str">
        <f>IFERROR(__xludf.DUMMYFUNCTION("GOOGLETRANSLATE(C732,""fr"",""en"")"),"Very unhappy with this AXA insurance.
I underwent a sinister Building condominium on 05/12/2016. My multi -risk condominium insurance building is responsible for quantified the damage suffered by the condominium building and to indicate me.
I showed the"&amp;" convincing elements, photos of the damage caused. The evidence of the responsibility of the building condominium.
The manager of my damage is the insurance of the condominium of this building.
My advisor Axa told me did not bother to come back to my ag"&amp;"ency, I will not do anything about your disaster.
I had to obtain information from another insurance company and a lawyer to find out what my AXA advisor should do.
My advisor AXA is incompetent to manage a file.
He finds all the excuses not to compens"&amp;"ate us.
I made a complaint on 12/12/2016 with the customer management of AXA Assurance which I had no response from them.
I must have an expert at the scene of the claim to quantify the amount of damages to be compensated.
Thank you for processing my r"&amp;"equest and bringing an expert to the scene of the disaster.
")</f>
        <v>Very unhappy with this AXA insurance.
I underwent a sinister Building condominium on 05/12/2016. My multi -risk condominium insurance building is responsible for quantified the damage suffered by the condominium building and to indicate me.
I showed the convincing elements, photos of the damage caused. The evidence of the responsibility of the building condominium.
The manager of my damage is the insurance of the condominium of this building.
My advisor Axa told me did not bother to come back to my agency, I will not do anything about your disaster.
I had to obtain information from another insurance company and a lawyer to find out what my AXA advisor should do.
My advisor AXA is incompetent to manage a file.
He finds all the excuses not to compensate us.
I made a complaint on 12/12/2016 with the customer management of AXA Assurance which I had no response from them.
I must have an expert at the scene of the claim to quantify the amount of damages to be compensated.
Thank you for processing my request and bringing an expert to the scene of the disaster.
</v>
      </c>
    </row>
    <row r="733" ht="15.75" customHeight="1">
      <c r="A733" s="2">
        <v>5.0</v>
      </c>
      <c r="B733" s="2" t="s">
        <v>2054</v>
      </c>
      <c r="C733" s="2" t="s">
        <v>2055</v>
      </c>
      <c r="D733" s="2" t="s">
        <v>40</v>
      </c>
      <c r="E733" s="2" t="s">
        <v>14</v>
      </c>
      <c r="F733" s="2" t="s">
        <v>15</v>
      </c>
      <c r="G733" s="2" t="s">
        <v>313</v>
      </c>
      <c r="H733" s="2" t="s">
        <v>23</v>
      </c>
      <c r="I733" s="2" t="str">
        <f>IFERROR(__xludf.DUMMYFUNCTION("GOOGLETRANSLATE(C733,""fr"",""en"")"),"Pleasant and very friendly welcome.
Listening, takes care to do the requested research.
Competent and professional interlocutor.
Thank you very much to you")</f>
        <v>Pleasant and very friendly welcome.
Listening, takes care to do the requested research.
Competent and professional interlocutor.
Thank you very much to you</v>
      </c>
    </row>
    <row r="734" ht="15.75" customHeight="1">
      <c r="A734" s="2">
        <v>3.0</v>
      </c>
      <c r="B734" s="2" t="s">
        <v>2056</v>
      </c>
      <c r="C734" s="2" t="s">
        <v>2057</v>
      </c>
      <c r="D734" s="2" t="s">
        <v>64</v>
      </c>
      <c r="E734" s="2" t="s">
        <v>21</v>
      </c>
      <c r="F734" s="2" t="s">
        <v>15</v>
      </c>
      <c r="G734" s="2" t="s">
        <v>2058</v>
      </c>
      <c r="H734" s="2" t="s">
        <v>394</v>
      </c>
      <c r="I734" s="2" t="str">
        <f>IFERROR(__xludf.DUMMYFUNCTION("GOOGLETRANSLATE(C734,""fr"",""en"")"),"The price remains high after 2 responsible claims but however cheaper than in agency. Difficult to find cheaper elsewhere. The advisers are very courteous and of exemplary patience. File produced and corrected quickly according to the information given.")</f>
        <v>The price remains high after 2 responsible claims but however cheaper than in agency. Difficult to find cheaper elsewhere. The advisers are very courteous and of exemplary patience. File produced and corrected quickly according to the information given.</v>
      </c>
    </row>
    <row r="735" ht="15.75" customHeight="1">
      <c r="A735" s="2">
        <v>5.0</v>
      </c>
      <c r="B735" s="2" t="s">
        <v>2059</v>
      </c>
      <c r="C735" s="2" t="s">
        <v>2060</v>
      </c>
      <c r="D735" s="2" t="s">
        <v>20</v>
      </c>
      <c r="E735" s="2" t="s">
        <v>21</v>
      </c>
      <c r="F735" s="2" t="s">
        <v>15</v>
      </c>
      <c r="G735" s="2" t="s">
        <v>341</v>
      </c>
      <c r="H735" s="2" t="s">
        <v>45</v>
      </c>
      <c r="I735" s="2" t="str">
        <f>IFERROR(__xludf.DUMMYFUNCTION("GOOGLETRANSLATE(C735,""fr"",""en"")"),"I am satisfied with the service offered by Direct Insurance. I find this good for young drivers. simple and efficient.
I recommend this insurance.")</f>
        <v>I am satisfied with the service offered by Direct Insurance. I find this good for young drivers. simple and efficient.
I recommend this insurance.</v>
      </c>
    </row>
    <row r="736" ht="15.75" customHeight="1">
      <c r="A736" s="2">
        <v>5.0</v>
      </c>
      <c r="B736" s="2" t="s">
        <v>2061</v>
      </c>
      <c r="C736" s="2" t="s">
        <v>2062</v>
      </c>
      <c r="D736" s="2" t="s">
        <v>64</v>
      </c>
      <c r="E736" s="2" t="s">
        <v>21</v>
      </c>
      <c r="F736" s="2" t="s">
        <v>15</v>
      </c>
      <c r="G736" s="2" t="s">
        <v>643</v>
      </c>
      <c r="H736" s="2" t="s">
        <v>23</v>
      </c>
      <c r="I736" s="2" t="str">
        <f>IFERROR(__xludf.DUMMYFUNCTION("GOOGLETRANSLATE(C736,""fr"",""en"")"),"I am satisfied with the service as well as to rapidize it from the processing processing, thank you to the team the olive assurance for your skills, good luck.")</f>
        <v>I am satisfied with the service as well as to rapidize it from the processing processing, thank you to the team the olive assurance for your skills, good luck.</v>
      </c>
    </row>
    <row r="737" ht="15.75" customHeight="1">
      <c r="A737" s="2">
        <v>2.0</v>
      </c>
      <c r="B737" s="2" t="s">
        <v>2063</v>
      </c>
      <c r="C737" s="2" t="s">
        <v>2064</v>
      </c>
      <c r="D737" s="2" t="s">
        <v>20</v>
      </c>
      <c r="E737" s="2" t="s">
        <v>21</v>
      </c>
      <c r="F737" s="2" t="s">
        <v>15</v>
      </c>
      <c r="G737" s="2" t="s">
        <v>2065</v>
      </c>
      <c r="H737" s="2" t="s">
        <v>32</v>
      </c>
      <c r="I737" s="2" t="str">
        <f>IFERROR(__xludf.DUMMYFUNCTION("GOOGLETRANSLATE(C737,""fr"",""en"")"),"Ok, good price, customer service by phone leaves something to be desired
I have already been a client for over 3 years and I was very badly informed by your television")</f>
        <v>Ok, good price, customer service by phone leaves something to be desired
I have already been a client for over 3 years and I was very badly informed by your television</v>
      </c>
    </row>
    <row r="738" ht="15.75" customHeight="1">
      <c r="A738" s="2">
        <v>4.0</v>
      </c>
      <c r="B738" s="2" t="s">
        <v>2066</v>
      </c>
      <c r="C738" s="2" t="s">
        <v>2067</v>
      </c>
      <c r="D738" s="2" t="s">
        <v>64</v>
      </c>
      <c r="E738" s="2" t="s">
        <v>21</v>
      </c>
      <c r="F738" s="2" t="s">
        <v>15</v>
      </c>
      <c r="G738" s="2" t="s">
        <v>2068</v>
      </c>
      <c r="H738" s="2" t="s">
        <v>81</v>
      </c>
      <c r="I738" s="2" t="str">
        <f>IFERROR(__xludf.DUMMYFUNCTION("GOOGLETRANSLATE(C738,""fr"",""en"")"),"Hello I am disappointed to pay 70 € more between my online quote and your advisor just having changed the city for my workplace
Cordially")</f>
        <v>Hello I am disappointed to pay 70 € more between my online quote and your advisor just having changed the city for my workplace
Cordially</v>
      </c>
    </row>
    <row r="739" ht="15.75" customHeight="1">
      <c r="A739" s="2">
        <v>1.0</v>
      </c>
      <c r="B739" s="2" t="s">
        <v>2069</v>
      </c>
      <c r="C739" s="2" t="s">
        <v>2070</v>
      </c>
      <c r="D739" s="2" t="s">
        <v>206</v>
      </c>
      <c r="E739" s="2" t="s">
        <v>207</v>
      </c>
      <c r="F739" s="2" t="s">
        <v>15</v>
      </c>
      <c r="G739" s="2" t="s">
        <v>2071</v>
      </c>
      <c r="H739" s="2" t="s">
        <v>128</v>
      </c>
      <c r="I739" s="2" t="str">
        <f>IFERROR(__xludf.DUMMYFUNCTION("GOOGLETRANSLATE(C739,""fr"",""en"")"),"Despite several solicitations and a complaint, I have no news of the management of my file in legal protection: silence of the lawyer chosen and commissioned by the manager of my file and no reaction from him despite several messages sent and remained wit"&amp;"hout answer.
Where have the mutualist values ​​of yesteryear gone (respect for the member and the defense of his interests)? The quality of customer service has deteriorated since the disappearance of the role of local delegations which preserved human c"&amp;"ontact. Today everything happens by phone with an anonymous interlocutor and not always respectful of the member. To improve things, I proposed to assess the file managers. What is done today for all service activities. But no response to date.
")</f>
        <v>Despite several solicitations and a complaint, I have no news of the management of my file in legal protection: silence of the lawyer chosen and commissioned by the manager of my file and no reaction from him despite several messages sent and remained without answer.
Where have the mutualist values ​​of yesteryear gone (respect for the member and the defense of his interests)? The quality of customer service has deteriorated since the disappearance of the role of local delegations which preserved human contact. Today everything happens by phone with an anonymous interlocutor and not always respectful of the member. To improve things, I proposed to assess the file managers. What is done today for all service activities. But no response to date.
</v>
      </c>
    </row>
    <row r="740" ht="15.75" customHeight="1">
      <c r="A740" s="2">
        <v>2.0</v>
      </c>
      <c r="B740" s="2" t="s">
        <v>2072</v>
      </c>
      <c r="C740" s="2" t="s">
        <v>2073</v>
      </c>
      <c r="D740" s="2" t="s">
        <v>95</v>
      </c>
      <c r="E740" s="2" t="s">
        <v>21</v>
      </c>
      <c r="F740" s="2" t="s">
        <v>15</v>
      </c>
      <c r="G740" s="2" t="s">
        <v>2074</v>
      </c>
      <c r="H740" s="2" t="s">
        <v>418</v>
      </c>
      <c r="I740" s="2" t="str">
        <f>IFERROR(__xludf.DUMMYFUNCTION("GOOGLETRANSLATE(C740,""fr"",""en"")"),"Faithful client for over 17 years and I am disappointed.
No claims responsible except for the broken ice (like everyone) all my insurance at home, family, two cars, house and a motorcycle.
I type a hare so bof liability level ... and here we need them a"&amp;"nd we find ourselves facing a wall! Results = my franchise higher than repairs. Obviously I ask for a gesture on their part and negative response. In short thank you for my loyalty.")</f>
        <v>Faithful client for over 17 years and I am disappointed.
No claims responsible except for the broken ice (like everyone) all my insurance at home, family, two cars, house and a motorcycle.
I type a hare so bof liability level ... and here we need them and we find ourselves facing a wall! Results = my franchise higher than repairs. Obviously I ask for a gesture on their part and negative response. In short thank you for my loyalty.</v>
      </c>
    </row>
    <row r="741" ht="15.75" customHeight="1">
      <c r="A741" s="2">
        <v>1.0</v>
      </c>
      <c r="B741" s="2" t="s">
        <v>2075</v>
      </c>
      <c r="C741" s="2" t="s">
        <v>2076</v>
      </c>
      <c r="D741" s="2" t="s">
        <v>200</v>
      </c>
      <c r="E741" s="2" t="s">
        <v>21</v>
      </c>
      <c r="F741" s="2" t="s">
        <v>15</v>
      </c>
      <c r="G741" s="2" t="s">
        <v>2077</v>
      </c>
      <c r="H741" s="2" t="s">
        <v>42</v>
      </c>
      <c r="I741" s="2" t="str">
        <f>IFERROR(__xludf.DUMMYFUNCTION("GOOGLETRANSLATE(C741,""fr"",""en"")"),"You pay, you complete your file to which you will always miss a document, after a month they take you for an amount of 80 euros plus your month in progress plus half an hour at such 1 euros per minute with interlocutors besides sea ​​and no skills in insu"&amp;"rance subjects. good luck to everyone")</f>
        <v>You pay, you complete your file to which you will always miss a document, after a month they take you for an amount of 80 euros plus your month in progress plus half an hour at such 1 euros per minute with interlocutors besides sea ​​and no skills in insurance subjects. good luck to everyone</v>
      </c>
    </row>
    <row r="742" ht="15.75" customHeight="1">
      <c r="A742" s="2">
        <v>4.0</v>
      </c>
      <c r="B742" s="2" t="s">
        <v>2078</v>
      </c>
      <c r="C742" s="2" t="s">
        <v>2079</v>
      </c>
      <c r="D742" s="2" t="s">
        <v>375</v>
      </c>
      <c r="E742" s="2" t="s">
        <v>14</v>
      </c>
      <c r="F742" s="2" t="s">
        <v>15</v>
      </c>
      <c r="G742" s="2" t="s">
        <v>2080</v>
      </c>
      <c r="H742" s="2" t="s">
        <v>832</v>
      </c>
      <c r="I742" s="2" t="str">
        <f>IFERROR(__xludf.DUMMYFUNCTION("GOOGLETRANSLATE(C742,""fr"",""en"")"),"Good mutual, fast reimbursement within 4 days on average, fast customer service with kind advisers and response to the quote in 2 days. Perhaps designing website but complete to carry out most of the procedures and check the condition of its refunds. Over"&amp;"all, well satisfied with my mutual.")</f>
        <v>Good mutual, fast reimbursement within 4 days on average, fast customer service with kind advisers and response to the quote in 2 days. Perhaps designing website but complete to carry out most of the procedures and check the condition of its refunds. Overall, well satisfied with my mutual.</v>
      </c>
    </row>
    <row r="743" ht="15.75" customHeight="1">
      <c r="A743" s="2">
        <v>2.0</v>
      </c>
      <c r="B743" s="2" t="s">
        <v>2081</v>
      </c>
      <c r="C743" s="2" t="s">
        <v>2082</v>
      </c>
      <c r="D743" s="2" t="s">
        <v>64</v>
      </c>
      <c r="E743" s="2" t="s">
        <v>21</v>
      </c>
      <c r="F743" s="2" t="s">
        <v>15</v>
      </c>
      <c r="G743" s="2" t="s">
        <v>2083</v>
      </c>
      <c r="H743" s="2" t="s">
        <v>418</v>
      </c>
      <c r="I743" s="2" t="str">
        <f>IFERROR(__xludf.DUMMYFUNCTION("GOOGLETRANSLATE(C743,""fr"",""en"")"),"During the suspension of my contract, the franchise was not that indicated on the quote. To change it, I will have paid a supplement, which I refused.
For the renewal this year, I have an increase in my annual rate of € 50 ... Despite this year when cars"&amp;" remained in the garages ... due to ""the frequency of victims around you, the flights concerning concerning Your vehicle model or even the evolution of the cost of repairs ""... good understanding, hi!")</f>
        <v>During the suspension of my contract, the franchise was not that indicated on the quote. To change it, I will have paid a supplement, which I refused.
For the renewal this year, I have an increase in my annual rate of € 50 ... Despite this year when cars remained in the garages ... due to "the frequency of victims around you, the flights concerning concerning Your vehicle model or even the evolution of the cost of repairs "... good understanding, hi!</v>
      </c>
    </row>
    <row r="744" ht="15.75" customHeight="1">
      <c r="A744" s="2">
        <v>1.0</v>
      </c>
      <c r="B744" s="2" t="s">
        <v>2084</v>
      </c>
      <c r="C744" s="2" t="s">
        <v>2085</v>
      </c>
      <c r="D744" s="2" t="s">
        <v>26</v>
      </c>
      <c r="E744" s="2" t="s">
        <v>14</v>
      </c>
      <c r="F744" s="2" t="s">
        <v>15</v>
      </c>
      <c r="G744" s="2" t="s">
        <v>2086</v>
      </c>
      <c r="H744" s="2" t="s">
        <v>17</v>
      </c>
      <c r="I744" s="2" t="str">
        <f>IFERROR(__xludf.DUMMYFUNCTION("GOOGLETRANSLATE(C744,""fr"",""en"")"),"No responsiveness !!! Incurred since October 1 and still no paid third party card to download or received emails! It is shameful do not respond to emails after maintaining requests on sending my card The application does not work and huge bug to identify "&amp;"really disappointed with a 10 -day mutual debt that I wait to get to my doctor no response from them Inadmissible !!!")</f>
        <v>No responsiveness !!! Incurred since October 1 and still no paid third party card to download or received emails! It is shameful do not respond to emails after maintaining requests on sending my card The application does not work and huge bug to identify really disappointed with a 10 -day mutual debt that I wait to get to my doctor no response from them Inadmissible !!!</v>
      </c>
    </row>
    <row r="745" ht="15.75" customHeight="1">
      <c r="A745" s="2">
        <v>5.0</v>
      </c>
      <c r="B745" s="2" t="s">
        <v>2087</v>
      </c>
      <c r="C745" s="2" t="s">
        <v>2088</v>
      </c>
      <c r="D745" s="2" t="s">
        <v>20</v>
      </c>
      <c r="E745" s="2" t="s">
        <v>21</v>
      </c>
      <c r="F745" s="2" t="s">
        <v>15</v>
      </c>
      <c r="G745" s="2" t="s">
        <v>733</v>
      </c>
      <c r="H745" s="2" t="s">
        <v>139</v>
      </c>
      <c r="I745" s="2" t="str">
        <f>IFERROR(__xludf.DUMMYFUNCTION("GOOGLETRANSLATE(C745,""fr"",""en"")"),"I am very satisfied with the interlocutor during our telephone interview, he showed a lot of patient, empathy of professionalism. We seem to have a good value for money. Hopefully the rest will be at the RV of our expectations. Bravo and thank you Farid")</f>
        <v>I am very satisfied with the interlocutor during our telephone interview, he showed a lot of patient, empathy of professionalism. We seem to have a good value for money. Hopefully the rest will be at the RV of our expectations. Bravo and thank you Farid</v>
      </c>
    </row>
    <row r="746" ht="15.75" customHeight="1">
      <c r="A746" s="2">
        <v>2.0</v>
      </c>
      <c r="B746" s="2" t="s">
        <v>2089</v>
      </c>
      <c r="C746" s="2" t="s">
        <v>2090</v>
      </c>
      <c r="D746" s="2" t="s">
        <v>68</v>
      </c>
      <c r="E746" s="2" t="s">
        <v>14</v>
      </c>
      <c r="F746" s="2" t="s">
        <v>15</v>
      </c>
      <c r="G746" s="2" t="s">
        <v>338</v>
      </c>
      <c r="H746" s="2" t="s">
        <v>17</v>
      </c>
      <c r="I746" s="2" t="str">
        <f>IFERROR(__xludf.DUMMYFUNCTION("GOOGLETRANSLATE(C746,""fr"",""en"")"),"My father died in May. I sent the death certificate, strong door delegation, heredity certificate etc. I paid for his latest bills and sent it to Néoliane on July 15. Since then, they have made 3 times the transfer to his account (necessarily closed) know"&amp;"ing that they have my rib, since they asked me twice. I relaunch them once a month, to give them time to process the file but it is lamentable! To the latest news, they sent a check on September 7 ... on his name !!! What is completely needed, since I hav"&amp;"e received nothing and that I made the re -exposition order for the mail.
In short, no follow -up and do everything possible not to reimburse!")</f>
        <v>My father died in May. I sent the death certificate, strong door delegation, heredity certificate etc. I paid for his latest bills and sent it to Néoliane on July 15. Since then, they have made 3 times the transfer to his account (necessarily closed) knowing that they have my rib, since they asked me twice. I relaunch them once a month, to give them time to process the file but it is lamentable! To the latest news, they sent a check on September 7 ... on his name !!! What is completely needed, since I have received nothing and that I made the re -exposition order for the mail.
In short, no follow -up and do everything possible not to reimburse!</v>
      </c>
    </row>
    <row r="747" ht="15.75" customHeight="1">
      <c r="A747" s="2">
        <v>5.0</v>
      </c>
      <c r="B747" s="2" t="s">
        <v>2091</v>
      </c>
      <c r="C747" s="2" t="s">
        <v>2092</v>
      </c>
      <c r="D747" s="2" t="s">
        <v>20</v>
      </c>
      <c r="E747" s="2" t="s">
        <v>21</v>
      </c>
      <c r="F747" s="2" t="s">
        <v>15</v>
      </c>
      <c r="G747" s="2" t="s">
        <v>48</v>
      </c>
      <c r="H747" s="2" t="s">
        <v>45</v>
      </c>
      <c r="I747" s="2" t="str">
        <f>IFERROR(__xludf.DUMMYFUNCTION("GOOGLETRANSLATE(C747,""fr"",""en"")"),"Very attractive price I would recommend to friends looking for an insurer
I will contact you later for my motorcycle which is currently insured at my bank cordially")</f>
        <v>Very attractive price I would recommend to friends looking for an insurer
I will contact you later for my motorcycle which is currently insured at my bank cordially</v>
      </c>
    </row>
    <row r="748" ht="15.75" customHeight="1">
      <c r="A748" s="2">
        <v>3.0</v>
      </c>
      <c r="B748" s="2" t="s">
        <v>2093</v>
      </c>
      <c r="C748" s="2" t="s">
        <v>2094</v>
      </c>
      <c r="D748" s="2" t="s">
        <v>20</v>
      </c>
      <c r="E748" s="2" t="s">
        <v>21</v>
      </c>
      <c r="F748" s="2" t="s">
        <v>15</v>
      </c>
      <c r="G748" s="2" t="s">
        <v>497</v>
      </c>
      <c r="H748" s="2" t="s">
        <v>89</v>
      </c>
      <c r="I748" s="2" t="str">
        <f>IFERROR(__xludf.DUMMYFUNCTION("GOOGLETRANSLATE(C748,""fr"",""en"")"),"Insurance at the top quality and price reasonable simple net service I highly recommend direct insurance here is thank you for all this simplicity and again bravo")</f>
        <v>Insurance at the top quality and price reasonable simple net service I highly recommend direct insurance here is thank you for all this simplicity and again bravo</v>
      </c>
    </row>
    <row r="749" ht="15.75" customHeight="1">
      <c r="A749" s="2">
        <v>2.0</v>
      </c>
      <c r="B749" s="2" t="s">
        <v>2095</v>
      </c>
      <c r="C749" s="2" t="s">
        <v>2096</v>
      </c>
      <c r="D749" s="2" t="s">
        <v>64</v>
      </c>
      <c r="E749" s="2" t="s">
        <v>21</v>
      </c>
      <c r="F749" s="2" t="s">
        <v>15</v>
      </c>
      <c r="G749" s="2" t="s">
        <v>135</v>
      </c>
      <c r="H749" s="2" t="s">
        <v>81</v>
      </c>
      <c r="I749" s="2" t="str">
        <f>IFERROR(__xludf.DUMMYFUNCTION("GOOGLETRANSLATE(C749,""fr"",""en"")"),"I am very disappointed with the file follow -up for the insurance of a 2nd vehicle at home. I had 3 interlocutors without finalizing the quote. I had to recall and waste time restoring all the information.")</f>
        <v>I am very disappointed with the file follow -up for the insurance of a 2nd vehicle at home. I had 3 interlocutors without finalizing the quote. I had to recall and waste time restoring all the information.</v>
      </c>
    </row>
    <row r="750" ht="15.75" customHeight="1">
      <c r="A750" s="2">
        <v>4.0</v>
      </c>
      <c r="B750" s="2" t="s">
        <v>2097</v>
      </c>
      <c r="C750" s="2" t="s">
        <v>2098</v>
      </c>
      <c r="D750" s="2" t="s">
        <v>64</v>
      </c>
      <c r="E750" s="2" t="s">
        <v>21</v>
      </c>
      <c r="F750" s="2" t="s">
        <v>15</v>
      </c>
      <c r="G750" s="2" t="s">
        <v>617</v>
      </c>
      <c r="H750" s="2" t="s">
        <v>45</v>
      </c>
      <c r="I750" s="2" t="str">
        <f>IFERROR(__xludf.DUMMYFUNCTION("GOOGLETRANSLATE(C750,""fr"",""en"")"),"correct in terms of registration and prices.
I was well taken care of by the advisor. I was well taken care of by the advisor.
To see for the future")</f>
        <v>correct in terms of registration and prices.
I was well taken care of by the advisor. I was well taken care of by the advisor.
To see for the future</v>
      </c>
    </row>
    <row r="751" ht="15.75" customHeight="1">
      <c r="A751" s="2">
        <v>1.0</v>
      </c>
      <c r="B751" s="2" t="s">
        <v>2099</v>
      </c>
      <c r="C751" s="2" t="s">
        <v>2100</v>
      </c>
      <c r="D751" s="2" t="s">
        <v>206</v>
      </c>
      <c r="E751" s="2" t="s">
        <v>21</v>
      </c>
      <c r="F751" s="2" t="s">
        <v>15</v>
      </c>
      <c r="G751" s="2" t="s">
        <v>2101</v>
      </c>
      <c r="H751" s="2" t="s">
        <v>168</v>
      </c>
      <c r="I751" s="2" t="str">
        <f>IFERROR(__xludf.DUMMYFUNCTION("GOOGLETRANSLATE(C751,""fr"",""en"")"),"Everything is fine until you have a problem after that is seriously complicated and the maif quickly becomes a gas factory .. I have dealt with one of your experts who in Finé simply told me that I had not had an accident. After 1 operation, a second plan"&amp;"ned and 8 months of stopping, including 6 in terrible pain. It's delusional.")</f>
        <v>Everything is fine until you have a problem after that is seriously complicated and the maif quickly becomes a gas factory .. I have dealt with one of your experts who in Finé simply told me that I had not had an accident. After 1 operation, a second planned and 8 months of stopping, including 6 in terrible pain. It's delusional.</v>
      </c>
    </row>
    <row r="752" ht="15.75" customHeight="1">
      <c r="A752" s="2">
        <v>4.0</v>
      </c>
      <c r="B752" s="2" t="s">
        <v>2102</v>
      </c>
      <c r="C752" s="2" t="s">
        <v>2103</v>
      </c>
      <c r="D752" s="2" t="s">
        <v>20</v>
      </c>
      <c r="E752" s="2" t="s">
        <v>21</v>
      </c>
      <c r="F752" s="2" t="s">
        <v>15</v>
      </c>
      <c r="G752" s="2" t="s">
        <v>298</v>
      </c>
      <c r="H752" s="2" t="s">
        <v>58</v>
      </c>
      <c r="I752" s="2" t="str">
        <f>IFERROR(__xludf.DUMMYFUNCTION("GOOGLETRANSLATE(C752,""fr"",""en"")"),"I am satisfied with the contacts and information provided and the quality of the response.
For the price it seems to me that there is a way to make a gesture for individuals have been several vehicles and without accidents for many years")</f>
        <v>I am satisfied with the contacts and information provided and the quality of the response.
For the price it seems to me that there is a way to make a gesture for individuals have been several vehicles and without accidents for many years</v>
      </c>
    </row>
    <row r="753" ht="15.75" customHeight="1">
      <c r="A753" s="2">
        <v>1.0</v>
      </c>
      <c r="B753" s="2" t="s">
        <v>2104</v>
      </c>
      <c r="C753" s="2" t="s">
        <v>2105</v>
      </c>
      <c r="D753" s="2" t="s">
        <v>281</v>
      </c>
      <c r="E753" s="2" t="s">
        <v>261</v>
      </c>
      <c r="F753" s="2" t="s">
        <v>15</v>
      </c>
      <c r="G753" s="2" t="s">
        <v>2106</v>
      </c>
      <c r="H753" s="2" t="s">
        <v>128</v>
      </c>
      <c r="I753" s="2" t="str">
        <f>IFERROR(__xludf.DUMMYFUNCTION("GOOGLETRANSLATE(C753,""fr"",""en"")"),"To flee, 2 months that I await the transfer of my life insurance and nothing ....
To take everyone is well but to return it is the combination's journey ...")</f>
        <v>To flee, 2 months that I await the transfer of my life insurance and nothing ....
To take everyone is well but to return it is the combination's journey ...</v>
      </c>
    </row>
    <row r="754" ht="15.75" customHeight="1">
      <c r="A754" s="2">
        <v>4.0</v>
      </c>
      <c r="B754" s="2" t="s">
        <v>2107</v>
      </c>
      <c r="C754" s="2" t="s">
        <v>2108</v>
      </c>
      <c r="D754" s="2" t="s">
        <v>20</v>
      </c>
      <c r="E754" s="2" t="s">
        <v>21</v>
      </c>
      <c r="F754" s="2" t="s">
        <v>15</v>
      </c>
      <c r="G754" s="2" t="s">
        <v>2109</v>
      </c>
      <c r="H754" s="2" t="s">
        <v>89</v>
      </c>
      <c r="I754" s="2" t="str">
        <f>IFERROR(__xludf.DUMMYFUNCTION("GOOGLETRANSLATE(C754,""fr"",""en"")"),"I am satisfied with the service ... prices suit me, the advisers are listening and advise very well according to what we are looking for ... ..")</f>
        <v>I am satisfied with the service ... prices suit me, the advisers are listening and advise very well according to what we are looking for ... ..</v>
      </c>
    </row>
    <row r="755" ht="15.75" customHeight="1">
      <c r="A755" s="2">
        <v>1.0</v>
      </c>
      <c r="B755" s="2" t="s">
        <v>2110</v>
      </c>
      <c r="C755" s="2" t="s">
        <v>2111</v>
      </c>
      <c r="D755" s="2" t="s">
        <v>371</v>
      </c>
      <c r="E755" s="2" t="s">
        <v>14</v>
      </c>
      <c r="F755" s="2" t="s">
        <v>15</v>
      </c>
      <c r="G755" s="2" t="s">
        <v>407</v>
      </c>
      <c r="H755" s="2" t="s">
        <v>408</v>
      </c>
      <c r="I755" s="2" t="str">
        <f>IFERROR(__xludf.DUMMYFUNCTION("GOOGLETRANSLATE(C755,""fr"",""en"")"),"For me the services do not do their jobs it has been several times that I have contacted them as well as my current mutual insurance AG2R screw the mutual")</f>
        <v>For me the services do not do their jobs it has been several times that I have contacted them as well as my current mutual insurance AG2R screw the mutual</v>
      </c>
    </row>
    <row r="756" ht="15.75" customHeight="1">
      <c r="A756" s="2">
        <v>2.0</v>
      </c>
      <c r="B756" s="2" t="s">
        <v>2112</v>
      </c>
      <c r="C756" s="2" t="s">
        <v>2113</v>
      </c>
      <c r="D756" s="2" t="s">
        <v>200</v>
      </c>
      <c r="E756" s="2" t="s">
        <v>21</v>
      </c>
      <c r="F756" s="2" t="s">
        <v>15</v>
      </c>
      <c r="G756" s="2" t="s">
        <v>2004</v>
      </c>
      <c r="H756" s="2" t="s">
        <v>283</v>
      </c>
      <c r="I756" s="2" t="str">
        <f>IFERROR(__xludf.DUMMYFUNCTION("GOOGLETRANSLATE(C756,""fr"",""en"")"),"Currently customer (326414), I did not receive my green housing, after 4 calls, I am always told that I am going to send it back to me, I receive an email confirming my request by telling myself that you have to wait 3 or 4 days. But still nothing, they d"&amp;"o not find the postal address but they manage to find the bank address for the levy on the other hand. Now I want my information statement, in how long they will succeed in getting it to me")</f>
        <v>Currently customer (326414), I did not receive my green housing, after 4 calls, I am always told that I am going to send it back to me, I receive an email confirming my request by telling myself that you have to wait 3 or 4 days. But still nothing, they do not find the postal address but they manage to find the bank address for the levy on the other hand. Now I want my information statement, in how long they will succeed in getting it to me</v>
      </c>
    </row>
    <row r="757" ht="15.75" customHeight="1">
      <c r="A757" s="2">
        <v>2.0</v>
      </c>
      <c r="B757" s="2" t="s">
        <v>2114</v>
      </c>
      <c r="C757" s="2" t="s">
        <v>2115</v>
      </c>
      <c r="D757" s="2" t="s">
        <v>20</v>
      </c>
      <c r="E757" s="2" t="s">
        <v>21</v>
      </c>
      <c r="F757" s="2" t="s">
        <v>15</v>
      </c>
      <c r="G757" s="2" t="s">
        <v>54</v>
      </c>
      <c r="H757" s="2" t="s">
        <v>23</v>
      </c>
      <c r="I757" s="2" t="str">
        <f>IFERROR(__xludf.DUMMYFUNCTION("GOOGLETRANSLATE(C757,""fr"",""en"")"),"very expensive! Several insurance is much cheaper, we plan to go elsewhere for the same guarantees with lower monthly payments and the same guarantees see more according to some!")</f>
        <v>very expensive! Several insurance is much cheaper, we plan to go elsewhere for the same guarantees with lower monthly payments and the same guarantees see more according to some!</v>
      </c>
    </row>
    <row r="758" ht="15.75" customHeight="1">
      <c r="A758" s="2">
        <v>1.0</v>
      </c>
      <c r="B758" s="2" t="s">
        <v>2116</v>
      </c>
      <c r="C758" s="2" t="s">
        <v>2117</v>
      </c>
      <c r="D758" s="2" t="s">
        <v>256</v>
      </c>
      <c r="E758" s="2" t="s">
        <v>207</v>
      </c>
      <c r="F758" s="2" t="s">
        <v>15</v>
      </c>
      <c r="G758" s="2" t="s">
        <v>2118</v>
      </c>
      <c r="H758" s="2" t="s">
        <v>101</v>
      </c>
      <c r="I758" s="2" t="str">
        <f>IFERROR(__xludf.DUMMYFUNCTION("GOOGLETRANSLATE(C758,""fr"",""en"")"),"The worst of banks, pardons, insurance. All the responses to help itself. .................................................. .................................................. .........................")</f>
        <v>The worst of banks, pardons, insurance. All the responses to help itself. .................................................. .................................................. .........................</v>
      </c>
    </row>
    <row r="759" ht="15.75" customHeight="1">
      <c r="A759" s="2">
        <v>3.0</v>
      </c>
      <c r="B759" s="2" t="s">
        <v>2119</v>
      </c>
      <c r="C759" s="2" t="s">
        <v>2120</v>
      </c>
      <c r="D759" s="2" t="s">
        <v>20</v>
      </c>
      <c r="E759" s="2" t="s">
        <v>21</v>
      </c>
      <c r="F759" s="2" t="s">
        <v>15</v>
      </c>
      <c r="G759" s="2" t="s">
        <v>1497</v>
      </c>
      <c r="H759" s="2" t="s">
        <v>45</v>
      </c>
      <c r="I759" s="2" t="str">
        <f>IFERROR(__xludf.DUMMYFUNCTION("GOOGLETRANSLATE(C759,""fr"",""en"")"),"I am satisfied with the service, clear and well done. The prices are affordable and the function of You Drive allows me to benefit from discounts when I do not yet have a bonus.")</f>
        <v>I am satisfied with the service, clear and well done. The prices are affordable and the function of You Drive allows me to benefit from discounts when I do not yet have a bonus.</v>
      </c>
    </row>
    <row r="760" ht="15.75" customHeight="1">
      <c r="A760" s="2">
        <v>2.0</v>
      </c>
      <c r="B760" s="2" t="s">
        <v>2121</v>
      </c>
      <c r="C760" s="2" t="s">
        <v>2122</v>
      </c>
      <c r="D760" s="2" t="s">
        <v>281</v>
      </c>
      <c r="E760" s="2" t="s">
        <v>207</v>
      </c>
      <c r="F760" s="2" t="s">
        <v>15</v>
      </c>
      <c r="G760" s="2" t="s">
        <v>2123</v>
      </c>
      <c r="H760" s="2" t="s">
        <v>250</v>
      </c>
      <c r="I760" s="2" t="str">
        <f>IFERROR(__xludf.DUMMYFUNCTION("GOOGLETRANSLATE(C760,""fr"",""en"")"),"Victim of water damage on August 19, 2016, to date I have still not had a compensation proposal. Although repeatedly relaunched, it is radio silence on the agent's side. By cons to make you subscribe to contracts, there no problem! If I have no proposal q"&amp;"uickly, I would bring my contracts to competition. The insured is just good to pay bonuses -")</f>
        <v>Victim of water damage on August 19, 2016, to date I have still not had a compensation proposal. Although repeatedly relaunched, it is radio silence on the agent's side. By cons to make you subscribe to contracts, there no problem! If I have no proposal quickly, I would bring my contracts to competition. The insured is just good to pay bonuses -</v>
      </c>
    </row>
    <row r="761" ht="15.75" customHeight="1">
      <c r="A761" s="2">
        <v>2.0</v>
      </c>
      <c r="B761" s="2" t="s">
        <v>2124</v>
      </c>
      <c r="C761" s="2" t="s">
        <v>2125</v>
      </c>
      <c r="D761" s="2" t="s">
        <v>64</v>
      </c>
      <c r="E761" s="2" t="s">
        <v>21</v>
      </c>
      <c r="F761" s="2" t="s">
        <v>15</v>
      </c>
      <c r="G761" s="2" t="s">
        <v>2126</v>
      </c>
      <c r="H761" s="2" t="s">
        <v>89</v>
      </c>
      <c r="I761" s="2" t="str">
        <f>IFERROR(__xludf.DUMMYFUNCTION("GOOGLETRANSLATE(C761,""fr"",""en"")"),"2 times quote on the internet can not be finalized (+15 min)
+10 minutes with consultant #1
+25 minutes with consultant #2
Not clear questions etc ...
Process too long when you are already customers ...
Finally Tarrif higher because of ....?!")</f>
        <v>2 times quote on the internet can not be finalized (+15 min)
+10 minutes with consultant #1
+25 minutes with consultant #2
Not clear questions etc ...
Process too long when you are already customers ...
Finally Tarrif higher because of ....?!</v>
      </c>
    </row>
    <row r="762" ht="15.75" customHeight="1">
      <c r="A762" s="2">
        <v>2.0</v>
      </c>
      <c r="B762" s="2" t="s">
        <v>2127</v>
      </c>
      <c r="C762" s="2" t="s">
        <v>2128</v>
      </c>
      <c r="D762" s="2" t="s">
        <v>256</v>
      </c>
      <c r="E762" s="2" t="s">
        <v>207</v>
      </c>
      <c r="F762" s="2" t="s">
        <v>15</v>
      </c>
      <c r="G762" s="2" t="s">
        <v>298</v>
      </c>
      <c r="H762" s="2" t="s">
        <v>58</v>
      </c>
      <c r="I762" s="2" t="str">
        <f>IFERROR(__xludf.DUMMYFUNCTION("GOOGLETRANSLATE(C762,""fr"",""en"")"),"Scandalized by the management of a claim.
We give you a link with an advisor who is supposed to manage everything. It is the only contact that is given. However, for the monitoring of the disaster, he does not answer the phone or is unreachable, and when"&amp;" we leave a message, he does not recall.
When declaring the claim, we also give you a link to a repair site which is supposed to inform you of the progress of the work. However, there are dates which are displayed of appointments which are not held, then"&amp;", they change status without my knowing why !!. This follow -up is fanciful because nothing is written is achieved.
No way of contacting a support or other service, all calls to other numbers presented by Pacifica ask you to recall the advisor in charge "&amp;"which does not answer or else, 15 days ago, he undertakes to answer you within 48 hours and nothing happens.
For a disaster reported in January, I still have no return on the progress of the file, its foreseeable resolution date.
Is there follow -up at "&amp;"Pacifica, an climbing system, an alert on non -treatment or advancement times in the management of claims?
It's simply incredible and surreal !!")</f>
        <v>Scandalized by the management of a claim.
We give you a link with an advisor who is supposed to manage everything. It is the only contact that is given. However, for the monitoring of the disaster, he does not answer the phone or is unreachable, and when we leave a message, he does not recall.
When declaring the claim, we also give you a link to a repair site which is supposed to inform you of the progress of the work. However, there are dates which are displayed of appointments which are not held, then, they change status without my knowing why !!. This follow -up is fanciful because nothing is written is achieved.
No way of contacting a support or other service, all calls to other numbers presented by Pacifica ask you to recall the advisor in charge which does not answer or else, 15 days ago, he undertakes to answer you within 48 hours and nothing happens.
For a disaster reported in January, I still have no return on the progress of the file, its foreseeable resolution date.
Is there follow -up at Pacifica, an climbing system, an alert on non -treatment or advancement times in the management of claims?
It's simply incredible and surreal !!</v>
      </c>
    </row>
    <row r="763" ht="15.75" customHeight="1">
      <c r="A763" s="2">
        <v>5.0</v>
      </c>
      <c r="B763" s="2" t="s">
        <v>2129</v>
      </c>
      <c r="C763" s="2" t="s">
        <v>2130</v>
      </c>
      <c r="D763" s="2" t="s">
        <v>64</v>
      </c>
      <c r="E763" s="2" t="s">
        <v>21</v>
      </c>
      <c r="F763" s="2" t="s">
        <v>15</v>
      </c>
      <c r="G763" s="2" t="s">
        <v>2131</v>
      </c>
      <c r="H763" s="2" t="s">
        <v>89</v>
      </c>
      <c r="I763" s="2" t="str">
        <f>IFERROR(__xludf.DUMMYFUNCTION("GOOGLETRANSLATE(C763,""fr"",""en"")"),"I came to the Olivier Insurance following an ubiquitous experience with my former “Direct Insurance” insurance. Their incompetence and total idiocy for an ordinary address change treatment during the COVVID, made me reconsider my years as a customer at ho"&amp;"me. And I can say that the olive tree, from the start, put the quality of its employees on the Line front. Available, courteous and effective, they have paid my concerns with DA and they have unbeatable prices.")</f>
        <v>I came to the Olivier Insurance following an ubiquitous experience with my former “Direct Insurance” insurance. Their incompetence and total idiocy for an ordinary address change treatment during the COVVID, made me reconsider my years as a customer at home. And I can say that the olive tree, from the start, put the quality of its employees on the Line front. Available, courteous and effective, they have paid my concerns with DA and they have unbeatable prices.</v>
      </c>
    </row>
    <row r="764" ht="15.75" customHeight="1">
      <c r="A764" s="2">
        <v>2.0</v>
      </c>
      <c r="B764" s="2" t="s">
        <v>2132</v>
      </c>
      <c r="C764" s="2" t="s">
        <v>2133</v>
      </c>
      <c r="D764" s="2" t="s">
        <v>225</v>
      </c>
      <c r="E764" s="2" t="s">
        <v>74</v>
      </c>
      <c r="F764" s="2" t="s">
        <v>15</v>
      </c>
      <c r="G764" s="2" t="s">
        <v>2134</v>
      </c>
      <c r="H764" s="2" t="s">
        <v>428</v>
      </c>
      <c r="I764" s="2" t="str">
        <f>IFERROR(__xludf.DUMMYFUNCTION("GOOGLETRANSLATE(C764,""fr"",""en"")"),"As long as you are healthy everything is fine but the day Swisslife has to pay is a real disaster. Since January 2018, I was cut off my disability pension by invoking eccentric apology. Since then, I have been on trial!")</f>
        <v>As long as you are healthy everything is fine but the day Swisslife has to pay is a real disaster. Since January 2018, I was cut off my disability pension by invoking eccentric apology. Since then, I have been on trial!</v>
      </c>
    </row>
    <row r="765" ht="15.75" customHeight="1">
      <c r="A765" s="2">
        <v>1.0</v>
      </c>
      <c r="B765" s="2" t="s">
        <v>2135</v>
      </c>
      <c r="C765" s="2" t="s">
        <v>2136</v>
      </c>
      <c r="D765" s="2" t="s">
        <v>281</v>
      </c>
      <c r="E765" s="2" t="s">
        <v>207</v>
      </c>
      <c r="F765" s="2" t="s">
        <v>15</v>
      </c>
      <c r="G765" s="2" t="s">
        <v>2137</v>
      </c>
      <c r="H765" s="2" t="s">
        <v>209</v>
      </c>
      <c r="I765" s="2" t="str">
        <f>IFERROR(__xludf.DUMMYFUNCTION("GOOGLETRANSLATE(C765,""fr"",""en"")"),"Hello, Following a disaster he my to compensate without quote at the phone quickly done well do in doing quotes and without telling me what I was entitled to be easier for them 921 euros. Then 2 months later sinister more serious so an expert passes does "&amp;"not go up on the roof (polyexpert) final report I am not doing work on the first claims in water degates. It does not ask me for the same day. So he took 1 month 19 days to tell me that ok no problem I try to have someone nobody in the meantime it goes by"&amp;" natural disaster I send the declaration and the still nothing. We are 09/20/2018 'is to pass on 06/13/2018 I live with mushrooms on my head with 3 children I will have to do the work alone thank you Allianz with false advertising 9 years with them with s"&amp;"everal contracts")</f>
        <v>Hello, Following a disaster he my to compensate without quote at the phone quickly done well do in doing quotes and without telling me what I was entitled to be easier for them 921 euros. Then 2 months later sinister more serious so an expert passes does not go up on the roof (polyexpert) final report I am not doing work on the first claims in water degates. It does not ask me for the same day. So he took 1 month 19 days to tell me that ok no problem I try to have someone nobody in the meantime it goes by natural disaster I send the declaration and the still nothing. We are 09/20/2018 'is to pass on 06/13/2018 I live with mushrooms on my head with 3 children I will have to do the work alone thank you Allianz with false advertising 9 years with them with several contracts</v>
      </c>
    </row>
    <row r="766" ht="15.75" customHeight="1">
      <c r="A766" s="2">
        <v>1.0</v>
      </c>
      <c r="B766" s="2" t="s">
        <v>2138</v>
      </c>
      <c r="C766" s="2" t="s">
        <v>2139</v>
      </c>
      <c r="D766" s="2" t="s">
        <v>134</v>
      </c>
      <c r="E766" s="2" t="s">
        <v>14</v>
      </c>
      <c r="F766" s="2" t="s">
        <v>15</v>
      </c>
      <c r="G766" s="2" t="s">
        <v>2140</v>
      </c>
      <c r="H766" s="2" t="s">
        <v>380</v>
      </c>
      <c r="I766" s="2" t="str">
        <f>IFERROR(__xludf.DUMMYFUNCTION("GOOGLETRANSLATE(C766,""fr"",""en"")"),"I do not recommend this mutual insurance company, it must be called five times in a row in order to obtain an advisor, no internet response. We promise me an answer to a quote for dental care from week to week without result, it should be authorized to br"&amp;"eak a Contract at any time with such a company!")</f>
        <v>I do not recommend this mutual insurance company, it must be called five times in a row in order to obtain an advisor, no internet response. We promise me an answer to a quote for dental care from week to week without result, it should be authorized to break a Contract at any time with such a company!</v>
      </c>
    </row>
    <row r="767" ht="15.75" customHeight="1">
      <c r="A767" s="2">
        <v>5.0</v>
      </c>
      <c r="B767" s="2" t="s">
        <v>2141</v>
      </c>
      <c r="C767" s="2" t="s">
        <v>2142</v>
      </c>
      <c r="D767" s="2" t="s">
        <v>40</v>
      </c>
      <c r="E767" s="2" t="s">
        <v>14</v>
      </c>
      <c r="F767" s="2" t="s">
        <v>15</v>
      </c>
      <c r="G767" s="2" t="s">
        <v>609</v>
      </c>
      <c r="H767" s="2" t="s">
        <v>89</v>
      </c>
      <c r="I767" s="2" t="str">
        <f>IFERROR(__xludf.DUMMYFUNCTION("GOOGLETRANSLATE(C767,""fr"",""en"")"),"Ease of use of the site, and very effective and reactive people.
As for the mutual of very good reimbursements, very reasonable prices and top services.
Very happy with my mutual insurance company for 20 years")</f>
        <v>Ease of use of the site, and very effective and reactive people.
As for the mutual of very good reimbursements, very reasonable prices and top services.
Very happy with my mutual insurance company for 20 years</v>
      </c>
    </row>
    <row r="768" ht="15.75" customHeight="1">
      <c r="A768" s="2">
        <v>1.0</v>
      </c>
      <c r="B768" s="2" t="s">
        <v>2143</v>
      </c>
      <c r="C768" s="2" t="s">
        <v>2144</v>
      </c>
      <c r="D768" s="2" t="s">
        <v>256</v>
      </c>
      <c r="E768" s="2" t="s">
        <v>21</v>
      </c>
      <c r="F768" s="2" t="s">
        <v>15</v>
      </c>
      <c r="G768" s="2" t="s">
        <v>2145</v>
      </c>
      <c r="H768" s="2" t="s">
        <v>380</v>
      </c>
      <c r="I768" s="2" t="str">
        <f>IFERROR(__xludf.DUMMYFUNCTION("GOOGLETRANSLATE(C768,""fr"",""en"")"),"I was very badly received with a very insolent young girl. No claim taken care of on two water damage despite insurance with all options. On the other hand, he told you that you have had several claims when they did not intervene .")</f>
        <v>I was very badly received with a very insolent young girl. No claim taken care of on two water damage despite insurance with all options. On the other hand, he told you that you have had several claims when they did not intervene .</v>
      </c>
    </row>
    <row r="769" ht="15.75" customHeight="1">
      <c r="A769" s="2">
        <v>2.0</v>
      </c>
      <c r="B769" s="2" t="s">
        <v>2146</v>
      </c>
      <c r="C769" s="2" t="s">
        <v>2147</v>
      </c>
      <c r="D769" s="2" t="s">
        <v>20</v>
      </c>
      <c r="E769" s="2" t="s">
        <v>21</v>
      </c>
      <c r="F769" s="2" t="s">
        <v>15</v>
      </c>
      <c r="G769" s="2" t="s">
        <v>2148</v>
      </c>
      <c r="H769" s="2" t="s">
        <v>667</v>
      </c>
      <c r="I769" s="2" t="str">
        <f>IFERROR(__xludf.DUMMYFUNCTION("GOOGLETRANSLATE(C769,""fr"",""en"")"),"In December a salesperson makes me a proposal that I sign and in January another which does not understand anything on my date of aquisition of the vehicle wants to offer me another more expensive contract under the pretext that the date of circulation of"&amp;" the vehicle is prior to My date of purchase of this one whatever I received from their part in December my green card for an incredible year")</f>
        <v>In December a salesperson makes me a proposal that I sign and in January another which does not understand anything on my date of aquisition of the vehicle wants to offer me another more expensive contract under the pretext that the date of circulation of the vehicle is prior to My date of purchase of this one whatever I received from their part in December my green card for an incredible year</v>
      </c>
    </row>
    <row r="770" ht="15.75" customHeight="1">
      <c r="A770" s="2">
        <v>5.0</v>
      </c>
      <c r="B770" s="2" t="s">
        <v>2149</v>
      </c>
      <c r="C770" s="2" t="s">
        <v>2150</v>
      </c>
      <c r="D770" s="2" t="s">
        <v>20</v>
      </c>
      <c r="E770" s="2" t="s">
        <v>21</v>
      </c>
      <c r="F770" s="2" t="s">
        <v>15</v>
      </c>
      <c r="G770" s="2" t="s">
        <v>1412</v>
      </c>
      <c r="H770" s="2" t="s">
        <v>139</v>
      </c>
      <c r="I770" s="2" t="str">
        <f>IFERROR(__xludf.DUMMYFUNCTION("GOOGLETRANSLATE(C770,""fr"",""en"")"),"Very well guaranteed, the quality of customer service is very satisfactory, the prices are very good, I recommend this insurance to everyone. I am happy to be insured here.")</f>
        <v>Very well guaranteed, the quality of customer service is very satisfactory, the prices are very good, I recommend this insurance to everyone. I am happy to be insured here.</v>
      </c>
    </row>
    <row r="771" ht="15.75" customHeight="1">
      <c r="A771" s="2">
        <v>1.0</v>
      </c>
      <c r="B771" s="2" t="s">
        <v>2151</v>
      </c>
      <c r="C771" s="2" t="s">
        <v>2152</v>
      </c>
      <c r="D771" s="2" t="s">
        <v>277</v>
      </c>
      <c r="E771" s="2" t="s">
        <v>21</v>
      </c>
      <c r="F771" s="2" t="s">
        <v>15</v>
      </c>
      <c r="G771" s="2" t="s">
        <v>2153</v>
      </c>
      <c r="H771" s="2" t="s">
        <v>290</v>
      </c>
      <c r="I771" s="2" t="str">
        <f>IFERROR(__xludf.DUMMYFUNCTION("GOOGLETRANSLATE(C771,""fr"",""en"")"),"self -damaged parking without third parties ensures the maximum bonus risks")</f>
        <v>self -damaged parking without third parties ensures the maximum bonus risks</v>
      </c>
    </row>
    <row r="772" ht="15.75" customHeight="1">
      <c r="A772" s="2">
        <v>3.0</v>
      </c>
      <c r="B772" s="2" t="s">
        <v>2154</v>
      </c>
      <c r="C772" s="2" t="s">
        <v>2155</v>
      </c>
      <c r="D772" s="2" t="s">
        <v>20</v>
      </c>
      <c r="E772" s="2" t="s">
        <v>21</v>
      </c>
      <c r="F772" s="2" t="s">
        <v>15</v>
      </c>
      <c r="G772" s="2" t="s">
        <v>765</v>
      </c>
      <c r="H772" s="2" t="s">
        <v>23</v>
      </c>
      <c r="I772" s="2" t="str">
        <f>IFERROR(__xludf.DUMMYFUNCTION("GOOGLETRANSLATE(C772,""fr"",""en"")"),"The prices are up to the service rendered. A cheap subscription for very very minimalist coverage. If necessary, care does not allow you to be satisfied.")</f>
        <v>The prices are up to the service rendered. A cheap subscription for very very minimalist coverage. If necessary, care does not allow you to be satisfied.</v>
      </c>
    </row>
    <row r="773" ht="15.75" customHeight="1">
      <c r="A773" s="2">
        <v>1.0</v>
      </c>
      <c r="B773" s="2" t="s">
        <v>2156</v>
      </c>
      <c r="C773" s="2" t="s">
        <v>2157</v>
      </c>
      <c r="D773" s="2" t="s">
        <v>20</v>
      </c>
      <c r="E773" s="2" t="s">
        <v>207</v>
      </c>
      <c r="F773" s="2" t="s">
        <v>15</v>
      </c>
      <c r="G773" s="2" t="s">
        <v>2158</v>
      </c>
      <c r="H773" s="2" t="s">
        <v>58</v>
      </c>
      <c r="I773" s="2" t="str">
        <f>IFERROR(__xludf.DUMMYFUNCTION("GOOGLETRANSLATE(C773,""fr"",""en"")"),"A beautiful skewer of incapable, and incompetent! TO FLEE !!!
Unable to coordinate to inform the customer, to terminate insurance with them must get up early in the morning! Because you have some for ages! A blow must be made an termination email, a blow"&amp;" must send a handwritten paper by email in attachment, a blow must be sent by registered mail! Great insurance when you don't need it! For the rest they are zero !!!")</f>
        <v>A beautiful skewer of incapable, and incompetent! TO FLEE !!!
Unable to coordinate to inform the customer, to terminate insurance with them must get up early in the morning! Because you have some for ages! A blow must be made an termination email, a blow must send a handwritten paper by email in attachment, a blow must be sent by registered mail! Great insurance when you don't need it! For the rest they are zero !!!</v>
      </c>
    </row>
    <row r="774" ht="15.75" customHeight="1">
      <c r="A774" s="2">
        <v>1.0</v>
      </c>
      <c r="B774" s="2" t="s">
        <v>2159</v>
      </c>
      <c r="C774" s="2" t="s">
        <v>2160</v>
      </c>
      <c r="D774" s="2" t="s">
        <v>142</v>
      </c>
      <c r="E774" s="2" t="s">
        <v>207</v>
      </c>
      <c r="F774" s="2" t="s">
        <v>15</v>
      </c>
      <c r="G774" s="2" t="s">
        <v>602</v>
      </c>
      <c r="H774" s="2" t="s">
        <v>32</v>
      </c>
      <c r="I774" s="2" t="str">
        <f>IFERROR(__xludf.DUMMYFUNCTION("GOOGLETRANSLATE(C774,""fr"",""en"")"),"very bad customer service")</f>
        <v>very bad customer service</v>
      </c>
    </row>
    <row r="775" ht="15.75" customHeight="1">
      <c r="A775" s="2">
        <v>3.0</v>
      </c>
      <c r="B775" s="2" t="s">
        <v>2161</v>
      </c>
      <c r="C775" s="2" t="s">
        <v>2162</v>
      </c>
      <c r="D775" s="2" t="s">
        <v>20</v>
      </c>
      <c r="E775" s="2" t="s">
        <v>21</v>
      </c>
      <c r="F775" s="2" t="s">
        <v>15</v>
      </c>
      <c r="G775" s="2" t="s">
        <v>733</v>
      </c>
      <c r="H775" s="2" t="s">
        <v>139</v>
      </c>
      <c r="I775" s="2" t="str">
        <f>IFERROR(__xludf.DUMMYFUNCTION("GOOGLETRANSLATE(C775,""fr"",""en"")"),"Hello I validated an auto80 promo code in that it is because I do not see any discount on the contributions.een waiting for an answer I cannot give you a notice of satisfaction")</f>
        <v>Hello I validated an auto80 promo code in that it is because I do not see any discount on the contributions.een waiting for an answer I cannot give you a notice of satisfaction</v>
      </c>
    </row>
    <row r="776" ht="15.75" customHeight="1">
      <c r="A776" s="2">
        <v>5.0</v>
      </c>
      <c r="B776" s="2" t="s">
        <v>2163</v>
      </c>
      <c r="C776" s="2" t="s">
        <v>2164</v>
      </c>
      <c r="D776" s="2" t="s">
        <v>20</v>
      </c>
      <c r="E776" s="2" t="s">
        <v>21</v>
      </c>
      <c r="F776" s="2" t="s">
        <v>15</v>
      </c>
      <c r="G776" s="2" t="s">
        <v>139</v>
      </c>
      <c r="H776" s="2" t="s">
        <v>139</v>
      </c>
      <c r="I776" s="2" t="str">
        <f>IFERROR(__xludf.DUMMYFUNCTION("GOOGLETRANSLATE(C776,""fr"",""en"")"),"Very satisfied with the service and the prices, very good contact with the advisor.
I would share with those around me.
Thank you again for all the information.
Have a good day")</f>
        <v>Very satisfied with the service and the prices, very good contact with the advisor.
I would share with those around me.
Thank you again for all the information.
Have a good day</v>
      </c>
    </row>
    <row r="777" ht="15.75" customHeight="1">
      <c r="A777" s="2">
        <v>2.0</v>
      </c>
      <c r="B777" s="2" t="s">
        <v>2165</v>
      </c>
      <c r="C777" s="2" t="s">
        <v>2166</v>
      </c>
      <c r="D777" s="2" t="s">
        <v>20</v>
      </c>
      <c r="E777" s="2" t="s">
        <v>21</v>
      </c>
      <c r="F777" s="2" t="s">
        <v>15</v>
      </c>
      <c r="G777" s="2" t="s">
        <v>2167</v>
      </c>
      <c r="H777" s="2" t="s">
        <v>45</v>
      </c>
      <c r="I777" s="2" t="str">
        <f>IFERROR(__xludf.DUMMYFUNCTION("GOOGLETRANSLATE(C777,""fr"",""en"")"),"I am assured at all risks plus Eye Serenity for more than 4 years and the day I broke down in a zero place by with my family I called my insurance he said to me we can not take care of you because you are on a national road and the breakdown it is assimil"&amp;"ated
I am very disappointed")</f>
        <v>I am assured at all risks plus Eye Serenity for more than 4 years and the day I broke down in a zero place by with my family I called my insurance he said to me we can not take care of you because you are on a national road and the breakdown it is assimilated
I am very disappointed</v>
      </c>
    </row>
    <row r="778" ht="15.75" customHeight="1">
      <c r="A778" s="2">
        <v>2.0</v>
      </c>
      <c r="B778" s="2" t="s">
        <v>2168</v>
      </c>
      <c r="C778" s="2" t="s">
        <v>2169</v>
      </c>
      <c r="D778" s="2" t="s">
        <v>20</v>
      </c>
      <c r="E778" s="2" t="s">
        <v>21</v>
      </c>
      <c r="F778" s="2" t="s">
        <v>15</v>
      </c>
      <c r="G778" s="2" t="s">
        <v>2170</v>
      </c>
      <c r="H778" s="2" t="s">
        <v>489</v>
      </c>
      <c r="I778" s="2" t="str">
        <f>IFERROR(__xludf.DUMMYFUNCTION("GOOGLETRANSLATE(C778,""fr"",""en"")"),"Good insurance as long as you don't need your services ... The prices are low, it is true, but each intervention on their part is accompanied by exorbitant franchises. What good is it to pay slightly cheaper to subscription, if it is to pay + dear to use?"&amp;"!")</f>
        <v>Good insurance as long as you don't need your services ... The prices are low, it is true, but each intervention on their part is accompanied by exorbitant franchises. What good is it to pay slightly cheaper to subscription, if it is to pay + dear to use?!</v>
      </c>
    </row>
    <row r="779" ht="15.75" customHeight="1">
      <c r="A779" s="2">
        <v>5.0</v>
      </c>
      <c r="B779" s="2" t="s">
        <v>2171</v>
      </c>
      <c r="C779" s="2" t="s">
        <v>2172</v>
      </c>
      <c r="D779" s="2" t="s">
        <v>20</v>
      </c>
      <c r="E779" s="2" t="s">
        <v>21</v>
      </c>
      <c r="F779" s="2" t="s">
        <v>15</v>
      </c>
      <c r="G779" s="2" t="s">
        <v>2173</v>
      </c>
      <c r="H779" s="2" t="s">
        <v>321</v>
      </c>
      <c r="I779" s="2" t="str">
        <f>IFERROR(__xludf.DUMMYFUNCTION("GOOGLETRANSLATE(C779,""fr"",""en"")"),"A little long, all the same as a questionnaire with a lot of personal information requested for an uncertain purpose. The final rates are however very competitive")</f>
        <v>A little long, all the same as a questionnaire with a lot of personal information requested for an uncertain purpose. The final rates are however very competitive</v>
      </c>
    </row>
    <row r="780" ht="15.75" customHeight="1">
      <c r="A780" s="2">
        <v>4.0</v>
      </c>
      <c r="B780" s="2" t="s">
        <v>2174</v>
      </c>
      <c r="C780" s="2" t="s">
        <v>2175</v>
      </c>
      <c r="D780" s="2" t="s">
        <v>64</v>
      </c>
      <c r="E780" s="2" t="s">
        <v>21</v>
      </c>
      <c r="F780" s="2" t="s">
        <v>15</v>
      </c>
      <c r="G780" s="2" t="s">
        <v>149</v>
      </c>
      <c r="H780" s="2" t="s">
        <v>139</v>
      </c>
      <c r="I780" s="2" t="str">
        <f>IFERROR(__xludf.DUMMYFUNCTION("GOOGLETRANSLATE(C780,""fr"",""en"")"),"I am Satissefoit of the services of the Olivier Insurance and I Recomande Rai the olive insurance to my loved ones, advised very respectful explanation")</f>
        <v>I am Satissefoit of the services of the Olivier Insurance and I Recomande Rai the olive insurance to my loved ones, advised very respectful explanation</v>
      </c>
    </row>
    <row r="781" ht="15.75" customHeight="1">
      <c r="A781" s="2">
        <v>5.0</v>
      </c>
      <c r="B781" s="2" t="s">
        <v>2176</v>
      </c>
      <c r="C781" s="2" t="s">
        <v>2177</v>
      </c>
      <c r="D781" s="2" t="s">
        <v>40</v>
      </c>
      <c r="E781" s="2" t="s">
        <v>14</v>
      </c>
      <c r="F781" s="2" t="s">
        <v>15</v>
      </c>
      <c r="G781" s="2" t="s">
        <v>1406</v>
      </c>
      <c r="H781" s="2" t="s">
        <v>37</v>
      </c>
      <c r="I781" s="2" t="str">
        <f>IFERROR(__xludf.DUMMYFUNCTION("GOOGLETRANSLATE(C781,""fr"",""en"")"),"I am satisfied with the health mutual of the MGP. Telephonic advisers are kind and answer very quickly on demand. Nothing to say about the MGP")</f>
        <v>I am satisfied with the health mutual of the MGP. Telephonic advisers are kind and answer very quickly on demand. Nothing to say about the MGP</v>
      </c>
    </row>
    <row r="782" ht="15.75" customHeight="1">
      <c r="A782" s="2">
        <v>5.0</v>
      </c>
      <c r="B782" s="2" t="s">
        <v>2178</v>
      </c>
      <c r="C782" s="2" t="s">
        <v>2179</v>
      </c>
      <c r="D782" s="2" t="s">
        <v>64</v>
      </c>
      <c r="E782" s="2" t="s">
        <v>21</v>
      </c>
      <c r="F782" s="2" t="s">
        <v>15</v>
      </c>
      <c r="G782" s="2" t="s">
        <v>2180</v>
      </c>
      <c r="H782" s="2" t="s">
        <v>70</v>
      </c>
      <c r="I782" s="2" t="str">
        <f>IFERROR(__xludf.DUMMYFUNCTION("GOOGLETRANSLATE(C782,""fr"",""en"")"),"I am very very satisfied with prices and telephone reception I save by grouping my contracts over 50 percent of my budget")</f>
        <v>I am very very satisfied with prices and telephone reception I save by grouping my contracts over 50 percent of my budget</v>
      </c>
    </row>
    <row r="783" ht="15.75" customHeight="1">
      <c r="A783" s="2">
        <v>1.0</v>
      </c>
      <c r="B783" s="2" t="s">
        <v>2181</v>
      </c>
      <c r="C783" s="2" t="s">
        <v>2182</v>
      </c>
      <c r="D783" s="2" t="s">
        <v>20</v>
      </c>
      <c r="E783" s="2" t="s">
        <v>21</v>
      </c>
      <c r="F783" s="2" t="s">
        <v>15</v>
      </c>
      <c r="G783" s="2" t="s">
        <v>121</v>
      </c>
      <c r="H783" s="2" t="s">
        <v>121</v>
      </c>
      <c r="I783" s="2" t="str">
        <f>IFERROR(__xludf.DUMMYFUNCTION("GOOGLETRANSLATE(C783,""fr"",""en"")"),"TO FLEE !!!! After the sale of the vehicle the amount of insurance has never been rambourse. With a non -responsible disaster after repair has been 4 months and I still do not regulate the invoice ... I say ""I have to wait""")</f>
        <v>TO FLEE !!!! After the sale of the vehicle the amount of insurance has never been rambourse. With a non -responsible disaster after repair has been 4 months and I still do not regulate the invoice ... I say "I have to wait"</v>
      </c>
    </row>
    <row r="784" ht="15.75" customHeight="1">
      <c r="A784" s="2">
        <v>3.0</v>
      </c>
      <c r="B784" s="2" t="s">
        <v>2183</v>
      </c>
      <c r="C784" s="2" t="s">
        <v>2184</v>
      </c>
      <c r="D784" s="2" t="s">
        <v>523</v>
      </c>
      <c r="E784" s="2" t="s">
        <v>450</v>
      </c>
      <c r="F784" s="2" t="s">
        <v>15</v>
      </c>
      <c r="G784" s="2" t="s">
        <v>181</v>
      </c>
      <c r="H784" s="2" t="s">
        <v>182</v>
      </c>
      <c r="I784" s="2" t="str">
        <f>IFERROR(__xludf.DUMMYFUNCTION("GOOGLETRANSLATE(C784,""fr"",""en"")"),"Hello, in my opinion we switch too quickly in category 2, a depletion of at work, is in no way a similar risk to the policeman who works in sensitive zone. The questionnaire is too long and tedious. And there are still cases not taken into account by the "&amp;"site (which is all the more strange Sue Zen 'up only works online) is that only web banking organizations are not listed, during the Signature questionnaires ...")</f>
        <v>Hello, in my opinion we switch too quickly in category 2, a depletion of at work, is in no way a similar risk to the policeman who works in sensitive zone. The questionnaire is too long and tedious. And there are still cases not taken into account by the site (which is all the more strange Sue Zen 'up only works online) is that only web banking organizations are not listed, during the Signature questionnaires ...</v>
      </c>
    </row>
    <row r="785" ht="15.75" customHeight="1">
      <c r="A785" s="2">
        <v>1.0</v>
      </c>
      <c r="B785" s="2" t="s">
        <v>2185</v>
      </c>
      <c r="C785" s="2" t="s">
        <v>2186</v>
      </c>
      <c r="D785" s="2" t="s">
        <v>142</v>
      </c>
      <c r="E785" s="2" t="s">
        <v>261</v>
      </c>
      <c r="F785" s="2" t="s">
        <v>15</v>
      </c>
      <c r="G785" s="2" t="s">
        <v>2187</v>
      </c>
      <c r="H785" s="2" t="s">
        <v>394</v>
      </c>
      <c r="I785" s="2" t="str">
        <f>IFERROR(__xludf.DUMMYFUNCTION("GOOGLETRANSLATE(C785,""fr"",""en"")"),"The Macif did not want to take care of my 89 -year -old mother's glasses.
When you are 75 years old, no damage can be taken care of by the Macif. ASHAMED !!!! And yet she pays her insurance without decrease")</f>
        <v>The Macif did not want to take care of my 89 -year -old mother's glasses.
When you are 75 years old, no damage can be taken care of by the Macif. ASHAMED !!!! And yet she pays her insurance without decrease</v>
      </c>
    </row>
    <row r="786" ht="15.75" customHeight="1">
      <c r="A786" s="2">
        <v>1.0</v>
      </c>
      <c r="B786" s="2" t="s">
        <v>2188</v>
      </c>
      <c r="C786" s="2" t="s">
        <v>2189</v>
      </c>
      <c r="D786" s="2" t="s">
        <v>142</v>
      </c>
      <c r="E786" s="2" t="s">
        <v>74</v>
      </c>
      <c r="F786" s="2" t="s">
        <v>15</v>
      </c>
      <c r="G786" s="2" t="s">
        <v>2190</v>
      </c>
      <c r="H786" s="2" t="s">
        <v>128</v>
      </c>
      <c r="I786" s="2" t="str">
        <f>IFERROR(__xludf.DUMMYFUNCTION("GOOGLETRANSLATE(C786,""fr"",""en"")"),"Incredible !!! ... Impossible to have the slightest reliable information on the follow -up of my loss file that has lost for several months without the Macif informing me of anything !!!
Mutual spirit nonexistent, only pipo marketing !!!!
Especially do "&amp;"not adhere to the Macif because they are really not or more competent at all !!! They do not give a damn about their members whom they abandon without shame !!!!!
If I had been able to note with zero star, I would have done it !!!! .. a star, it's alread"&amp;"y too much !!!")</f>
        <v>Incredible !!! ... Impossible to have the slightest reliable information on the follow -up of my loss file that has lost for several months without the Macif informing me of anything !!!
Mutual spirit nonexistent, only pipo marketing !!!!
Especially do not adhere to the Macif because they are really not or more competent at all !!! They do not give a damn about their members whom they abandon without shame !!!!!
If I had been able to note with zero star, I would have done it !!!! .. a star, it's already too much !!!</v>
      </c>
    </row>
    <row r="787" ht="15.75" customHeight="1">
      <c r="A787" s="2">
        <v>1.0</v>
      </c>
      <c r="B787" s="2" t="s">
        <v>2191</v>
      </c>
      <c r="C787" s="2" t="s">
        <v>2192</v>
      </c>
      <c r="D787" s="2" t="s">
        <v>20</v>
      </c>
      <c r="E787" s="2" t="s">
        <v>21</v>
      </c>
      <c r="F787" s="2" t="s">
        <v>15</v>
      </c>
      <c r="G787" s="2" t="s">
        <v>2193</v>
      </c>
      <c r="H787" s="2" t="s">
        <v>321</v>
      </c>
      <c r="I787" s="2" t="str">
        <f>IFERROR(__xludf.DUMMYFUNCTION("GOOGLETRANSLATE(C787,""fr"",""en"")"),"Increase in annual contributions without any claim. Almost € 10/month more an increase of € 100 per year without having had no problem.")</f>
        <v>Increase in annual contributions without any claim. Almost € 10/month more an increase of € 100 per year without having had no problem.</v>
      </c>
    </row>
    <row r="788" ht="15.75" customHeight="1">
      <c r="A788" s="2">
        <v>5.0</v>
      </c>
      <c r="B788" s="2" t="s">
        <v>2194</v>
      </c>
      <c r="C788" s="2" t="s">
        <v>2195</v>
      </c>
      <c r="D788" s="2" t="s">
        <v>20</v>
      </c>
      <c r="E788" s="2" t="s">
        <v>21</v>
      </c>
      <c r="F788" s="2" t="s">
        <v>15</v>
      </c>
      <c r="G788" s="2" t="s">
        <v>2196</v>
      </c>
      <c r="H788" s="2" t="s">
        <v>89</v>
      </c>
      <c r="I788" s="2" t="str">
        <f>IFERROR(__xludf.DUMMYFUNCTION("GOOGLETRANSLATE(C788,""fr"",""en"")"),"Fast, simple, efficient, the very intuitive site!
The most correct price that I was able to find compared to other insurances ...
So, here, price and coverage at very good price!
I recommend !
")</f>
        <v>Fast, simple, efficient, the very intuitive site!
The most correct price that I was able to find compared to other insurances ...
So, here, price and coverage at very good price!
I recommend !
</v>
      </c>
    </row>
    <row r="789" ht="15.75" customHeight="1">
      <c r="A789" s="2">
        <v>2.0</v>
      </c>
      <c r="B789" s="2" t="s">
        <v>2197</v>
      </c>
      <c r="C789" s="2" t="s">
        <v>2198</v>
      </c>
      <c r="D789" s="2" t="s">
        <v>200</v>
      </c>
      <c r="E789" s="2" t="s">
        <v>21</v>
      </c>
      <c r="F789" s="2" t="s">
        <v>15</v>
      </c>
      <c r="G789" s="2" t="s">
        <v>2199</v>
      </c>
      <c r="H789" s="2" t="s">
        <v>468</v>
      </c>
      <c r="I789" s="2" t="str">
        <f>IFERROR(__xludf.DUMMYFUNCTION("GOOGLETRANSLATE(C789,""fr"",""en"")"),"Hello,
Insurance fast enough for subscription.
The guarantees are good on the other hand customer service is often unreachable by email or by phone.
Indeed for a week that I ask for an information statement concerning me.
Unfortunately no response"&amp;" from them.
My customer number is as follows 230393.
It grieves me because I had a good opinion of this insurance until today, I was even ready to recommend it to those around me but ....")</f>
        <v>Hello,
Insurance fast enough for subscription.
The guarantees are good on the other hand customer service is often unreachable by email or by phone.
Indeed for a week that I ask for an information statement concerning me.
Unfortunately no response from them.
My customer number is as follows 230393.
It grieves me because I had a good opinion of this insurance until today, I was even ready to recommend it to those around me but ....</v>
      </c>
    </row>
    <row r="790" ht="15.75" customHeight="1">
      <c r="A790" s="2">
        <v>4.0</v>
      </c>
      <c r="B790" s="2" t="s">
        <v>2200</v>
      </c>
      <c r="C790" s="2" t="s">
        <v>2201</v>
      </c>
      <c r="D790" s="2" t="s">
        <v>64</v>
      </c>
      <c r="E790" s="2" t="s">
        <v>21</v>
      </c>
      <c r="F790" s="2" t="s">
        <v>15</v>
      </c>
      <c r="G790" s="2" t="s">
        <v>2202</v>
      </c>
      <c r="H790" s="2" t="s">
        <v>58</v>
      </c>
      <c r="I790" s="2" t="str">
        <f>IFERROR(__xludf.DUMMYFUNCTION("GOOGLETRANSLATE(C790,""fr"",""en"")"),"I am satisfied with the service.
Easy registration and affordable budget compared to other so -called ""classic"" and ""historical"" insurers.
I recommend in particular for young drivers and first insurances.")</f>
        <v>I am satisfied with the service.
Easy registration and affordable budget compared to other so -called "classic" and "historical" insurers.
I recommend in particular for young drivers and first insurances.</v>
      </c>
    </row>
    <row r="791" ht="15.75" customHeight="1">
      <c r="A791" s="2">
        <v>1.0</v>
      </c>
      <c r="B791" s="2" t="s">
        <v>2203</v>
      </c>
      <c r="C791" s="2" t="s">
        <v>2204</v>
      </c>
      <c r="D791" s="2" t="s">
        <v>585</v>
      </c>
      <c r="E791" s="2" t="s">
        <v>261</v>
      </c>
      <c r="F791" s="2" t="s">
        <v>15</v>
      </c>
      <c r="G791" s="2" t="s">
        <v>589</v>
      </c>
      <c r="H791" s="2" t="s">
        <v>274</v>
      </c>
      <c r="I791" s="2" t="str">
        <f>IFERROR(__xludf.DUMMYFUNCTION("GOOGLETRANSLATE(C791,""fr"",""en"")"),"Company in very bad faith. Following a very difficult death for the right to obtain payment of capital. They ask for documents a whole bunch of unnecessary documents to drag things
")</f>
        <v>Company in very bad faith. Following a very difficult death for the right to obtain payment of capital. They ask for documents a whole bunch of unnecessary documents to drag things
</v>
      </c>
    </row>
    <row r="792" ht="15.75" customHeight="1">
      <c r="A792" s="2">
        <v>1.0</v>
      </c>
      <c r="B792" s="2" t="s">
        <v>2205</v>
      </c>
      <c r="C792" s="2" t="s">
        <v>2206</v>
      </c>
      <c r="D792" s="2" t="s">
        <v>206</v>
      </c>
      <c r="E792" s="2" t="s">
        <v>207</v>
      </c>
      <c r="F792" s="2" t="s">
        <v>15</v>
      </c>
      <c r="G792" s="2" t="s">
        <v>1580</v>
      </c>
      <c r="H792" s="2" t="s">
        <v>128</v>
      </c>
      <c r="I792" s="2" t="str">
        <f>IFERROR(__xludf.DUMMYFUNCTION("GOOGLETRANSLATE(C792,""fr"",""en"")"),"Water damage 1 month from my wife's delivery: the ceiling drops in the living room after cracking for 2 weeks. We immediately called the MAIF but that does not advance and without valid reason ... They have mandated a company (without leaving us the choic"&amp;"e) to come and diagnose the leak for more than 2 weeks. The plumber of this company came quickly enough but since everything is blocked because the MAIF says he has not received the report. So I understand that they do not communicate with each other and "&amp;"especially that the maif is not at all pro-active vis-à-vis this society that they themselves have (the maif) chosen! And this despite our almost daily reminders by repeating each time we have water flowing from the ceiling and we will have a newborn born"&amp;" with us in 4 weeks ...
Aberrant for a company that claims to be the best customer service in France!")</f>
        <v>Water damage 1 month from my wife's delivery: the ceiling drops in the living room after cracking for 2 weeks. We immediately called the MAIF but that does not advance and without valid reason ... They have mandated a company (without leaving us the choice) to come and diagnose the leak for more than 2 weeks. The plumber of this company came quickly enough but since everything is blocked because the MAIF says he has not received the report. So I understand that they do not communicate with each other and especially that the maif is not at all pro-active vis-à-vis this society that they themselves have (the maif) chosen! And this despite our almost daily reminders by repeating each time we have water flowing from the ceiling and we will have a newborn born with us in 4 weeks ...
Aberrant for a company that claims to be the best customer service in France!</v>
      </c>
    </row>
    <row r="793" ht="15.75" customHeight="1">
      <c r="A793" s="2">
        <v>5.0</v>
      </c>
      <c r="B793" s="2" t="s">
        <v>2207</v>
      </c>
      <c r="C793" s="2" t="s">
        <v>2208</v>
      </c>
      <c r="D793" s="2" t="s">
        <v>20</v>
      </c>
      <c r="E793" s="2" t="s">
        <v>21</v>
      </c>
      <c r="F793" s="2" t="s">
        <v>15</v>
      </c>
      <c r="G793" s="2" t="s">
        <v>2209</v>
      </c>
      <c r="H793" s="2" t="s">
        <v>58</v>
      </c>
      <c r="I793" s="2" t="str">
        <f>IFERROR(__xludf.DUMMYFUNCTION("GOOGLETRANSLATE(C793,""fr"",""en"")"),"Glad that my loyalty gives me prices advantages, I was waiting for it! I salute these methods in a climate where insurance is more like to obtain new customers instead of trying to keep them. Cheer !")</f>
        <v>Glad that my loyalty gives me prices advantages, I was waiting for it! I salute these methods in a climate where insurance is more like to obtain new customers instead of trying to keep them. Cheer !</v>
      </c>
    </row>
    <row r="794" ht="15.75" customHeight="1">
      <c r="A794" s="2">
        <v>3.0</v>
      </c>
      <c r="B794" s="2" t="s">
        <v>2210</v>
      </c>
      <c r="C794" s="2" t="s">
        <v>2211</v>
      </c>
      <c r="D794" s="2" t="s">
        <v>20</v>
      </c>
      <c r="E794" s="2" t="s">
        <v>21</v>
      </c>
      <c r="F794" s="2" t="s">
        <v>15</v>
      </c>
      <c r="G794" s="2" t="s">
        <v>1189</v>
      </c>
      <c r="H794" s="2" t="s">
        <v>89</v>
      </c>
      <c r="I794" s="2" t="str">
        <f>IFERROR(__xludf.DUMMYFUNCTION("GOOGLETRANSLATE(C794,""fr"",""en"")"),"I am satisfied, because it is fast, cheaper, and everything is fine. When my wife has her license, she will assure her car at home.
Cordially")</f>
        <v>I am satisfied, because it is fast, cheaper, and everything is fine. When my wife has her license, she will assure her car at home.
Cordially</v>
      </c>
    </row>
    <row r="795" ht="15.75" customHeight="1">
      <c r="A795" s="2">
        <v>5.0</v>
      </c>
      <c r="B795" s="2" t="s">
        <v>2212</v>
      </c>
      <c r="C795" s="2" t="s">
        <v>2213</v>
      </c>
      <c r="D795" s="2" t="s">
        <v>35</v>
      </c>
      <c r="E795" s="2" t="s">
        <v>21</v>
      </c>
      <c r="F795" s="2" t="s">
        <v>15</v>
      </c>
      <c r="G795" s="2" t="s">
        <v>2196</v>
      </c>
      <c r="H795" s="2" t="s">
        <v>89</v>
      </c>
      <c r="I795" s="2" t="str">
        <f>IFERROR(__xludf.DUMMYFUNCTION("GOOGLETRANSLATE(C795,""fr"",""en"")"),"I am satisfied with the service, available on the phone quickly, fast management. No need to move to set up a contract, facilities of payments.")</f>
        <v>I am satisfied with the service, available on the phone quickly, fast management. No need to move to set up a contract, facilities of payments.</v>
      </c>
    </row>
    <row r="796" ht="15.75" customHeight="1">
      <c r="A796" s="2">
        <v>2.0</v>
      </c>
      <c r="B796" s="2" t="s">
        <v>2214</v>
      </c>
      <c r="C796" s="2" t="s">
        <v>2215</v>
      </c>
      <c r="D796" s="2" t="s">
        <v>20</v>
      </c>
      <c r="E796" s="2" t="s">
        <v>21</v>
      </c>
      <c r="F796" s="2" t="s">
        <v>15</v>
      </c>
      <c r="G796" s="2" t="s">
        <v>1078</v>
      </c>
      <c r="H796" s="2" t="s">
        <v>139</v>
      </c>
      <c r="I796" s="2" t="str">
        <f>IFERROR(__xludf.DUMMYFUNCTION("GOOGLETRANSLATE(C796,""fr"",""en"")"),"I am not satisfied with prices: my contract has increased by € 200 since its subscription 4 years ago when I have 50% bonus and 0 sinister before today.")</f>
        <v>I am not satisfied with prices: my contract has increased by € 200 since its subscription 4 years ago when I have 50% bonus and 0 sinister before today.</v>
      </c>
    </row>
    <row r="797" ht="15.75" customHeight="1">
      <c r="A797" s="2">
        <v>4.0</v>
      </c>
      <c r="B797" s="2" t="s">
        <v>2216</v>
      </c>
      <c r="C797" s="2" t="s">
        <v>2217</v>
      </c>
      <c r="D797" s="2" t="s">
        <v>13</v>
      </c>
      <c r="E797" s="2" t="s">
        <v>14</v>
      </c>
      <c r="F797" s="2" t="s">
        <v>15</v>
      </c>
      <c r="G797" s="2" t="s">
        <v>813</v>
      </c>
      <c r="H797" s="2" t="s">
        <v>23</v>
      </c>
      <c r="I797" s="2" t="str">
        <f>IFERROR(__xludf.DUMMYFUNCTION("GOOGLETRANSLATE(C797,""fr"",""en"")"),"Courtoise, fast and efficient thank you to Angelique for solving my problem with professionalism.
Less than 5 minutes between the management of my call and the resolution of my problem.
Top .")</f>
        <v>Courtoise, fast and efficient thank you to Angelique for solving my problem with professionalism.
Less than 5 minutes between the management of my call and the resolution of my problem.
Top .</v>
      </c>
    </row>
    <row r="798" ht="15.75" customHeight="1">
      <c r="A798" s="2">
        <v>3.0</v>
      </c>
      <c r="B798" s="2" t="s">
        <v>2218</v>
      </c>
      <c r="C798" s="2" t="s">
        <v>2219</v>
      </c>
      <c r="D798" s="2" t="s">
        <v>256</v>
      </c>
      <c r="E798" s="2" t="s">
        <v>207</v>
      </c>
      <c r="F798" s="2" t="s">
        <v>15</v>
      </c>
      <c r="G798" s="2" t="s">
        <v>1562</v>
      </c>
      <c r="H798" s="2" t="s">
        <v>182</v>
      </c>
      <c r="I798" s="2" t="str">
        <f>IFERROR(__xludf.DUMMYFUNCTION("GOOGLETRANSLATE(C798,""fr"",""en"")"),"I am satisfied with the responsiveness and quality of service of Pacifica. Admittedly, the prices at home are high, but the results are very satisfactory. The declaration of is fast and easy (on their site), the treatment is very fast (within 72 hours for"&amp;" water damage linked to roof infiltration) and the reception of the sinister service is pleasant, unlike certain insurers. Through the treatment of claims that we judge the efficiency and quality of service of a broker/insurer.
 ")</f>
        <v>I am satisfied with the responsiveness and quality of service of Pacifica. Admittedly, the prices at home are high, but the results are very satisfactory. The declaration of is fast and easy (on their site), the treatment is very fast (within 72 hours for water damage linked to roof infiltration) and the reception of the sinister service is pleasant, unlike certain insurers. Through the treatment of claims that we judge the efficiency and quality of service of a broker/insurer.
 </v>
      </c>
    </row>
    <row r="799" ht="15.75" customHeight="1">
      <c r="A799" s="2">
        <v>2.0</v>
      </c>
      <c r="B799" s="2" t="s">
        <v>2220</v>
      </c>
      <c r="C799" s="2" t="s">
        <v>2221</v>
      </c>
      <c r="D799" s="2" t="s">
        <v>1644</v>
      </c>
      <c r="E799" s="2" t="s">
        <v>74</v>
      </c>
      <c r="F799" s="2" t="s">
        <v>15</v>
      </c>
      <c r="G799" s="2" t="s">
        <v>2222</v>
      </c>
      <c r="H799" s="2" t="s">
        <v>70</v>
      </c>
      <c r="I799" s="2" t="str">
        <f>IFERROR(__xludf.DUMMYFUNCTION("GOOGLETRANSLATE(C799,""fr"",""en"")"),"The prices are attractive certainly. But when paying they are not so much. And I can testify. They are still late. When you miss a paper they send you a letter instead of an email which is even more late. On the other hand they are never late to collect t"&amp;"heir monthly payments or for recovery following payment. I absolutely do not recommend this mutual. My daughter and I will change as soon as we can")</f>
        <v>The prices are attractive certainly. But when paying they are not so much. And I can testify. They are still late. When you miss a paper they send you a letter instead of an email which is even more late. On the other hand they are never late to collect their monthly payments or for recovery following payment. I absolutely do not recommend this mutual. My daughter and I will change as soon as we can</v>
      </c>
    </row>
    <row r="800" ht="15.75" customHeight="1">
      <c r="A800" s="2">
        <v>5.0</v>
      </c>
      <c r="B800" s="2" t="s">
        <v>2223</v>
      </c>
      <c r="C800" s="2" t="s">
        <v>2224</v>
      </c>
      <c r="D800" s="2" t="s">
        <v>78</v>
      </c>
      <c r="E800" s="2" t="s">
        <v>79</v>
      </c>
      <c r="F800" s="2" t="s">
        <v>15</v>
      </c>
      <c r="G800" s="2" t="s">
        <v>682</v>
      </c>
      <c r="H800" s="2" t="s">
        <v>139</v>
      </c>
      <c r="I800" s="2" t="str">
        <f>IFERROR(__xludf.DUMMYFUNCTION("GOOGLETRANSLATE(C800,""fr"",""en"")"),"I am satisfied with the service and the prices suit me perfectly. If necessary, I hope I can then modify my contract with additional options. Simple and efficient service")</f>
        <v>I am satisfied with the service and the prices suit me perfectly. If necessary, I hope I can then modify my contract with additional options. Simple and efficient service</v>
      </c>
    </row>
    <row r="801" ht="15.75" customHeight="1">
      <c r="A801" s="2">
        <v>3.0</v>
      </c>
      <c r="B801" s="2" t="s">
        <v>2225</v>
      </c>
      <c r="C801" s="2" t="s">
        <v>2226</v>
      </c>
      <c r="D801" s="2" t="s">
        <v>20</v>
      </c>
      <c r="E801" s="2" t="s">
        <v>21</v>
      </c>
      <c r="F801" s="2" t="s">
        <v>15</v>
      </c>
      <c r="G801" s="2" t="s">
        <v>2196</v>
      </c>
      <c r="H801" s="2" t="s">
        <v>89</v>
      </c>
      <c r="I801" s="2" t="str">
        <f>IFERROR(__xludf.DUMMYFUNCTION("GOOGLETRANSLATE(C801,""fr"",""en"")"),"A little expensive given my license seniority and the fact that I never had an accident.
Too bad I do not take this into account.
Still well the terminal system")</f>
        <v>A little expensive given my license seniority and the fact that I never had an accident.
Too bad I do not take this into account.
Still well the terminal system</v>
      </c>
    </row>
    <row r="802" ht="15.75" customHeight="1">
      <c r="A802" s="2">
        <v>5.0</v>
      </c>
      <c r="B802" s="2" t="s">
        <v>2227</v>
      </c>
      <c r="C802" s="2" t="s">
        <v>2228</v>
      </c>
      <c r="D802" s="2" t="s">
        <v>64</v>
      </c>
      <c r="E802" s="2" t="s">
        <v>21</v>
      </c>
      <c r="F802" s="2" t="s">
        <v>15</v>
      </c>
      <c r="G802" s="2" t="s">
        <v>17</v>
      </c>
      <c r="H802" s="2" t="s">
        <v>17</v>
      </c>
      <c r="I802" s="2" t="str">
        <f>IFERROR(__xludf.DUMMYFUNCTION("GOOGLETRANSLATE(C802,""fr"",""en"")"),"I am satisfied with the services offered ... I am ready to speak about it around me with my friends of your services The services are very fast and well explained")</f>
        <v>I am satisfied with the services offered ... I am ready to speak about it around me with my friends of your services The services are very fast and well explained</v>
      </c>
    </row>
    <row r="803" ht="15.75" customHeight="1">
      <c r="A803" s="2">
        <v>2.0</v>
      </c>
      <c r="B803" s="2" t="s">
        <v>2229</v>
      </c>
      <c r="C803" s="2" t="s">
        <v>2230</v>
      </c>
      <c r="D803" s="2" t="s">
        <v>142</v>
      </c>
      <c r="E803" s="2" t="s">
        <v>21</v>
      </c>
      <c r="F803" s="2" t="s">
        <v>15</v>
      </c>
      <c r="G803" s="2" t="s">
        <v>2231</v>
      </c>
      <c r="H803" s="2" t="s">
        <v>576</v>
      </c>
      <c r="I803" s="2" t="str">
        <f>IFERROR(__xludf.DUMMYFUNCTION("GOOGLETRANSLATE(C803,""fr"",""en"")"),"Client for decades, I have had misadventures
Accident: young madman who gritles a fire with a headline, obviously no amicable observation, complaints in police station, result 50% liability
Another accident, non-responsible accident, vrade under assesse"&amp;"d, I had to be of my pocket for an identical vehicle, model, year, km
And for 3 days ditto, alas another non -responsible accident, I am afraid of the vrade, the pressure on the expert defined by the calculations of the Macif and others to pay as little "&amp;"as possible, which will still make me the alms of a price without hope of buying a vehicle identical to the real market price of a very reliable but rare vehicle
If this is still the case: bye the Macif and my 2 vehicles with bonuses 50% good driver")</f>
        <v>Client for decades, I have had misadventures
Accident: young madman who gritles a fire with a headline, obviously no amicable observation, complaints in police station, result 50% liability
Another accident, non-responsible accident, vrade under assessed, I had to be of my pocket for an identical vehicle, model, year, km
And for 3 days ditto, alas another non -responsible accident, I am afraid of the vrade, the pressure on the expert defined by the calculations of the Macif and others to pay as little as possible, which will still make me the alms of a price without hope of buying a vehicle identical to the real market price of a very reliable but rare vehicle
If this is still the case: bye the Macif and my 2 vehicles with bonuses 50% good driver</v>
      </c>
    </row>
    <row r="804" ht="15.75" customHeight="1">
      <c r="A804" s="2">
        <v>1.0</v>
      </c>
      <c r="B804" s="2" t="s">
        <v>2232</v>
      </c>
      <c r="C804" s="2" t="s">
        <v>2233</v>
      </c>
      <c r="D804" s="2" t="s">
        <v>119</v>
      </c>
      <c r="E804" s="2" t="s">
        <v>21</v>
      </c>
      <c r="F804" s="2" t="s">
        <v>15</v>
      </c>
      <c r="G804" s="2" t="s">
        <v>2234</v>
      </c>
      <c r="H804" s="2" t="s">
        <v>28</v>
      </c>
      <c r="I804" s="2" t="str">
        <f>IFERROR(__xludf.DUMMYFUNCTION("GOOGLETRANSLATE(C804,""fr"",""en"")"),"A loan vehicle after 7 days. insistence when I am entitled to it. The vehicle is not in the place indicated and causes half a day to be more than 2 hours of work to my wife ... No apology from Axa. In the end, this vehicle is billed to me by Hertz 142 eur"&amp;"os which indicates a communication error with AXA and, by the way, uses my CB. AXA indicates that the CB is used for the deposit and remains silent on the reimbursement ...
We are only there to pay.")</f>
        <v>A loan vehicle after 7 days. insistence when I am entitled to it. The vehicle is not in the place indicated and causes half a day to be more than 2 hours of work to my wife ... No apology from Axa. In the end, this vehicle is billed to me by Hertz 142 euros which indicates a communication error with AXA and, by the way, uses my CB. AXA indicates that the CB is used for the deposit and remains silent on the reimbursement ...
We are only there to pay.</v>
      </c>
    </row>
    <row r="805" ht="15.75" customHeight="1">
      <c r="A805" s="2">
        <v>1.0</v>
      </c>
      <c r="B805" s="2" t="s">
        <v>2235</v>
      </c>
      <c r="C805" s="2" t="s">
        <v>2236</v>
      </c>
      <c r="D805" s="2" t="s">
        <v>64</v>
      </c>
      <c r="E805" s="2" t="s">
        <v>21</v>
      </c>
      <c r="F805" s="2" t="s">
        <v>15</v>
      </c>
      <c r="G805" s="2" t="s">
        <v>2237</v>
      </c>
      <c r="H805" s="2" t="s">
        <v>742</v>
      </c>
      <c r="I805" s="2" t="str">
        <f>IFERROR(__xludf.DUMMYFUNCTION("GOOGLETRANSLATE(C805,""fr"",""en"")"),"Insurance to avoid if you have to assist one day ...
Vehicle insured all risks, we broke down yesterday in Corsica and come painfully to a garage.
Today call for assistance to be supported because on the car more than 7000 euros in repairs that we will "&amp;"not do because it exceeds the value of the vehicle.
And since we do not make any repair no care, we are dumped 600km from our home with 3 children at 2 days of Christmas without solution !!!
So be aware that with Olivier Insurance if your vehicle breaks"&amp;" down and you do not start repairs right away or that it costs too much and you do not do them you will have no assistance and stay on the tile , unheard of since I was insured, it's a shame ...")</f>
        <v>Insurance to avoid if you have to assist one day ...
Vehicle insured all risks, we broke down yesterday in Corsica and come painfully to a garage.
Today call for assistance to be supported because on the car more than 7000 euros in repairs that we will not do because it exceeds the value of the vehicle.
And since we do not make any repair no care, we are dumped 600km from our home with 3 children at 2 days of Christmas without solution !!!
So be aware that with Olivier Insurance if your vehicle breaks down and you do not start repairs right away or that it costs too much and you do not do them you will have no assistance and stay on the tile , unheard of since I was insured, it's a shame ...</v>
      </c>
    </row>
    <row r="806" ht="15.75" customHeight="1">
      <c r="A806" s="2">
        <v>4.0</v>
      </c>
      <c r="B806" s="2" t="s">
        <v>2238</v>
      </c>
      <c r="C806" s="2" t="s">
        <v>2239</v>
      </c>
      <c r="D806" s="2" t="s">
        <v>20</v>
      </c>
      <c r="E806" s="2" t="s">
        <v>21</v>
      </c>
      <c r="F806" s="2" t="s">
        <v>15</v>
      </c>
      <c r="G806" s="2" t="s">
        <v>1006</v>
      </c>
      <c r="H806" s="2" t="s">
        <v>45</v>
      </c>
      <c r="I806" s="2" t="str">
        <f>IFERROR(__xludf.DUMMYFUNCTION("GOOGLETRANSLATE(C806,""fr"",""en"")"),"I am satisfied: practical, simple accessible to all allows me to make an immediate and reassuring comparison, moreover; Thank you for all of this")</f>
        <v>I am satisfied: practical, simple accessible to all allows me to make an immediate and reassuring comparison, moreover; Thank you for all of this</v>
      </c>
    </row>
    <row r="807" ht="15.75" customHeight="1">
      <c r="A807" s="2">
        <v>1.0</v>
      </c>
      <c r="B807" s="2" t="s">
        <v>2240</v>
      </c>
      <c r="C807" s="2" t="s">
        <v>2241</v>
      </c>
      <c r="D807" s="2" t="s">
        <v>109</v>
      </c>
      <c r="E807" s="2" t="s">
        <v>110</v>
      </c>
      <c r="F807" s="2" t="s">
        <v>15</v>
      </c>
      <c r="G807" s="2" t="s">
        <v>2242</v>
      </c>
      <c r="H807" s="2" t="s">
        <v>926</v>
      </c>
      <c r="I807" s="2" t="str">
        <f>IFERROR(__xludf.DUMMYFUNCTION("GOOGLETRANSLATE(C807,""fr"",""en"")"),"Hello I have subscribed to premium insurance for my French bulgogue 4 months ago to be serene today my dog ​​makes epilepsy I get out of 1500 euros in costs and no care by ECA be vigilant during Your registration because many diseases or operations known "&amp;"in animals are not charged tomorrow I must have my bulldog of the palace veil as well as the nostrosis stenosis operate but all the costs here too will be my responsibility know that if you want An termination your insurance before the birthday date in th"&amp;"e first year of subscription you can simply sell your pet to your spouse or a person from your family")</f>
        <v>Hello I have subscribed to premium insurance for my French bulgogue 4 months ago to be serene today my dog ​​makes epilepsy I get out of 1500 euros in costs and no care by ECA be vigilant during Your registration because many diseases or operations known in animals are not charged tomorrow I must have my bulldog of the palace veil as well as the nostrosis stenosis operate but all the costs here too will be my responsibility know that if you want An termination your insurance before the birthday date in the first year of subscription you can simply sell your pet to your spouse or a person from your family</v>
      </c>
    </row>
    <row r="808" ht="15.75" customHeight="1">
      <c r="A808" s="2">
        <v>4.0</v>
      </c>
      <c r="B808" s="2" t="s">
        <v>2243</v>
      </c>
      <c r="C808" s="2" t="s">
        <v>2244</v>
      </c>
      <c r="D808" s="2" t="s">
        <v>40</v>
      </c>
      <c r="E808" s="2" t="s">
        <v>14</v>
      </c>
      <c r="F808" s="2" t="s">
        <v>15</v>
      </c>
      <c r="G808" s="2" t="s">
        <v>2140</v>
      </c>
      <c r="H808" s="2" t="s">
        <v>380</v>
      </c>
      <c r="I808" s="2" t="str">
        <f>IFERROR(__xludf.DUMMYFUNCTION("GOOGLETRANSLATE(C808,""fr"",""en"")"),"Always a good listening, available advisers who take the time to answer questions. I am quite satisfied with the MGP mutual insurance company for 30 years !!!")</f>
        <v>Always a good listening, available advisers who take the time to answer questions. I am quite satisfied with the MGP mutual insurance company for 30 years !!!</v>
      </c>
    </row>
    <row r="809" ht="15.75" customHeight="1">
      <c r="A809" s="2">
        <v>4.0</v>
      </c>
      <c r="B809" s="2" t="s">
        <v>2245</v>
      </c>
      <c r="C809" s="2" t="s">
        <v>2246</v>
      </c>
      <c r="D809" s="2" t="s">
        <v>35</v>
      </c>
      <c r="E809" s="2" t="s">
        <v>21</v>
      </c>
      <c r="F809" s="2" t="s">
        <v>15</v>
      </c>
      <c r="G809" s="2" t="s">
        <v>139</v>
      </c>
      <c r="H809" s="2" t="s">
        <v>139</v>
      </c>
      <c r="I809" s="2" t="str">
        <f>IFERROR(__xludf.DUMMYFUNCTION("GOOGLETRANSLATE(C809,""fr"",""en"")"),"Good value for money.
Pleasant, available, very professional staff, both in agency and on the phone and on the site.
Reactivity and speed of processing of files, whether in terms of subscription than in matters of disaster.
Thank you")</f>
        <v>Good value for money.
Pleasant, available, very professional staff, both in agency and on the phone and on the site.
Reactivity and speed of processing of files, whether in terms of subscription than in matters of disaster.
Thank you</v>
      </c>
    </row>
    <row r="810" ht="15.75" customHeight="1">
      <c r="A810" s="2">
        <v>1.0</v>
      </c>
      <c r="B810" s="2" t="s">
        <v>2247</v>
      </c>
      <c r="C810" s="2" t="s">
        <v>2248</v>
      </c>
      <c r="D810" s="2" t="s">
        <v>471</v>
      </c>
      <c r="E810" s="2" t="s">
        <v>74</v>
      </c>
      <c r="F810" s="2" t="s">
        <v>15</v>
      </c>
      <c r="G810" s="2" t="s">
        <v>2249</v>
      </c>
      <c r="H810" s="2" t="s">
        <v>489</v>
      </c>
      <c r="I810" s="2" t="str">
        <f>IFERROR(__xludf.DUMMYFUNCTION("GOOGLETRANSLATE(C810,""fr"",""en"")"),"Since March 1, I have always been my quarterly annuity. I come up against a wall. 10 phone calls to the service concerned, always the same answer: Computer problem from the withholding tax. SEAU: Same answer. My registered mail with AR without follow -up."&amp;"
CNP not serious and arrogant. Do you encounter the same problem for Retirees du Crédit Populaire?")</f>
        <v>Since March 1, I have always been my quarterly annuity. I come up against a wall. 10 phone calls to the service concerned, always the same answer: Computer problem from the withholding tax. SEAU: Same answer. My registered mail with AR without follow -up.
CNP not serious and arrogant. Do you encounter the same problem for Retirees du Crédit Populaire?</v>
      </c>
    </row>
    <row r="811" ht="15.75" customHeight="1">
      <c r="A811" s="2">
        <v>1.0</v>
      </c>
      <c r="B811" s="2" t="s">
        <v>2250</v>
      </c>
      <c r="C811" s="2" t="s">
        <v>2251</v>
      </c>
      <c r="D811" s="2" t="s">
        <v>757</v>
      </c>
      <c r="E811" s="2" t="s">
        <v>14</v>
      </c>
      <c r="F811" s="2" t="s">
        <v>15</v>
      </c>
      <c r="G811" s="2" t="s">
        <v>700</v>
      </c>
      <c r="H811" s="2" t="s">
        <v>17</v>
      </c>
      <c r="I811" s="2" t="str">
        <f>IFERROR(__xludf.DUMMYFUNCTION("GOOGLETRANSLATE(C811,""fr"",""en"")"),"Harmonie Mutuelle will voluntarily try to reimburse you by saying that you will not see.
My dentist confirmed their practice to me. They hide behind the error but this is not one. It is voluntary.
They made me the blow twice. The first was caught up, bu"&amp;"t currently they owe me about € 200. I'm waiting for their answer.")</f>
        <v>Harmonie Mutuelle will voluntarily try to reimburse you by saying that you will not see.
My dentist confirmed their practice to me. They hide behind the error but this is not one. It is voluntary.
They made me the blow twice. The first was caught up, but currently they owe me about € 200. I'm waiting for their answer.</v>
      </c>
    </row>
    <row r="812" ht="15.75" customHeight="1">
      <c r="A812" s="2">
        <v>3.0</v>
      </c>
      <c r="B812" s="2" t="s">
        <v>2252</v>
      </c>
      <c r="C812" s="2" t="s">
        <v>2253</v>
      </c>
      <c r="D812" s="2" t="s">
        <v>35</v>
      </c>
      <c r="E812" s="2" t="s">
        <v>207</v>
      </c>
      <c r="F812" s="2" t="s">
        <v>15</v>
      </c>
      <c r="G812" s="2" t="s">
        <v>2254</v>
      </c>
      <c r="H812" s="2" t="s">
        <v>353</v>
      </c>
      <c r="I812" s="2" t="str">
        <f>IFERROR(__xludf.DUMMYFUNCTION("GOOGLETRANSLATE(C812,""fr"",""en"")"),"Following a thunderstorm and the electrical damage caused, we were well taken care of to replace our damaged devices, from the point of view of the speed of reimbursements")</f>
        <v>Following a thunderstorm and the electrical damage caused, we were well taken care of to replace our damaged devices, from the point of view of the speed of reimbursements</v>
      </c>
    </row>
    <row r="813" ht="15.75" customHeight="1">
      <c r="A813" s="2">
        <v>2.0</v>
      </c>
      <c r="B813" s="2" t="s">
        <v>2255</v>
      </c>
      <c r="C813" s="2" t="s">
        <v>2256</v>
      </c>
      <c r="D813" s="2" t="s">
        <v>206</v>
      </c>
      <c r="E813" s="2" t="s">
        <v>207</v>
      </c>
      <c r="F813" s="2" t="s">
        <v>15</v>
      </c>
      <c r="G813" s="2" t="s">
        <v>2257</v>
      </c>
      <c r="H813" s="2" t="s">
        <v>237</v>
      </c>
      <c r="I813" s="2" t="str">
        <f>IFERROR(__xludf.DUMMYFUNCTION("GOOGLETRANSLATE(C813,""fr"",""en"")"),"PITURABLE GRAYER GESTION SERVICE FOR A REFULD OF 55 euros after an accident I am asked for supporting documents when I sent the invoices of the rest to be paid (the costs advanced by me) it is now necessary to pay the security in case 'would have liked th"&amp;"e maif I would specify that all the other costs were covered by another mutual insurance only the care output of 55 euros which correspond to the rest of the patient after the payment of our significant part of a part care
Now it is absolutely necessary "&amp;"to fill a table also I find it difficult to understand this excess for 3 invoices it is enough to postpone the 3 amounts in the table but it must be moiiii which does it here is the maif militant houaaa in other words do and the vast majority will be disc"&amp;"ouraged by managers")</f>
        <v>PITURABLE GRAYER GESTION SERVICE FOR A REFULD OF 55 euros after an accident I am asked for supporting documents when I sent the invoices of the rest to be paid (the costs advanced by me) it is now necessary to pay the security in case 'would have liked the maif I would specify that all the other costs were covered by another mutual insurance only the care output of 55 euros which correspond to the rest of the patient after the payment of our significant part of a part care
Now it is absolutely necessary to fill a table also I find it difficult to understand this excess for 3 invoices it is enough to postpone the 3 amounts in the table but it must be moiiii which does it here is the maif militant houaaa in other words do and the vast majority will be discouraged by managers</v>
      </c>
    </row>
    <row r="814" ht="15.75" customHeight="1">
      <c r="A814" s="2">
        <v>1.0</v>
      </c>
      <c r="B814" s="2" t="s">
        <v>2258</v>
      </c>
      <c r="C814" s="2" t="s">
        <v>2259</v>
      </c>
      <c r="D814" s="2" t="s">
        <v>64</v>
      </c>
      <c r="E814" s="2" t="s">
        <v>21</v>
      </c>
      <c r="F814" s="2" t="s">
        <v>15</v>
      </c>
      <c r="G814" s="2" t="s">
        <v>560</v>
      </c>
      <c r="H814" s="2" t="s">
        <v>178</v>
      </c>
      <c r="I814" s="2" t="str">
        <f>IFERROR(__xludf.DUMMYFUNCTION("GOOGLETRANSLATE(C814,""fr"",""en"")"),"As soon as the contract is subscribed, I realize that the sponsorship code has not been taken into account following a computer error. Despite my calls for standards, nothing has been set up to overcome this problem on your part. Suddenly, 20 minutes afte"&amp;"r signing, first galley and first disappointment. It will have been quick ...")</f>
        <v>As soon as the contract is subscribed, I realize that the sponsorship code has not been taken into account following a computer error. Despite my calls for standards, nothing has been set up to overcome this problem on your part. Suddenly, 20 minutes after signing, first galley and first disappointment. It will have been quick ...</v>
      </c>
    </row>
    <row r="815" ht="15.75" customHeight="1">
      <c r="A815" s="2">
        <v>1.0</v>
      </c>
      <c r="B815" s="2" t="s">
        <v>2260</v>
      </c>
      <c r="C815" s="2" t="s">
        <v>2261</v>
      </c>
      <c r="D815" s="2" t="s">
        <v>68</v>
      </c>
      <c r="E815" s="2" t="s">
        <v>14</v>
      </c>
      <c r="F815" s="2" t="s">
        <v>15</v>
      </c>
      <c r="G815" s="2" t="s">
        <v>2262</v>
      </c>
      <c r="H815" s="2" t="s">
        <v>97</v>
      </c>
      <c r="I815" s="2" t="str">
        <f>IFERROR(__xludf.DUMMYFUNCTION("GOOGLETRANSLATE(C815,""fr"",""en"")"),"To flee! Relaunch letter after termination. Everything is faced to confuse and recover money: recovery letters, happy threat, when you call: you shouldn't take it into account, it's well terminated")</f>
        <v>To flee! Relaunch letter after termination. Everything is faced to confuse and recover money: recovery letters, happy threat, when you call: you shouldn't take it into account, it's well terminated</v>
      </c>
    </row>
    <row r="816" ht="15.75" customHeight="1">
      <c r="A816" s="2">
        <v>4.0</v>
      </c>
      <c r="B816" s="2" t="s">
        <v>2263</v>
      </c>
      <c r="C816" s="2" t="s">
        <v>2264</v>
      </c>
      <c r="D816" s="2" t="s">
        <v>64</v>
      </c>
      <c r="E816" s="2" t="s">
        <v>21</v>
      </c>
      <c r="F816" s="2" t="s">
        <v>15</v>
      </c>
      <c r="G816" s="2" t="s">
        <v>1205</v>
      </c>
      <c r="H816" s="2" t="s">
        <v>70</v>
      </c>
      <c r="I816" s="2" t="str">
        <f>IFERROR(__xludf.DUMMYFUNCTION("GOOGLETRANSLATE(C816,""fr"",""en"")"),"Good prices at the beginning, I have just registered for the moment so I'm waiting to see if this insurance agency is really well. To see later!")</f>
        <v>Good prices at the beginning, I have just registered for the moment so I'm waiting to see if this insurance agency is really well. To see later!</v>
      </c>
    </row>
    <row r="817" ht="15.75" customHeight="1">
      <c r="A817" s="2">
        <v>5.0</v>
      </c>
      <c r="B817" s="2" t="s">
        <v>2265</v>
      </c>
      <c r="C817" s="2" t="s">
        <v>2266</v>
      </c>
      <c r="D817" s="2" t="s">
        <v>87</v>
      </c>
      <c r="E817" s="2" t="s">
        <v>79</v>
      </c>
      <c r="F817" s="2" t="s">
        <v>15</v>
      </c>
      <c r="G817" s="2" t="s">
        <v>1992</v>
      </c>
      <c r="H817" s="2" t="s">
        <v>394</v>
      </c>
      <c r="I817" s="2" t="str">
        <f>IFERROR(__xludf.DUMMYFUNCTION("GOOGLETRANSLATE(C817,""fr"",""en"")"),"For more than 20 years at AMV, always professional and human ...
Good information good prices. Responsiveness when the contract readings.
All good
Thank you")</f>
        <v>For more than 20 years at AMV, always professional and human ...
Good information good prices. Responsiveness when the contract readings.
All good
Thank you</v>
      </c>
    </row>
    <row r="818" ht="15.75" customHeight="1">
      <c r="A818" s="2">
        <v>2.0</v>
      </c>
      <c r="B818" s="2" t="s">
        <v>2267</v>
      </c>
      <c r="C818" s="2" t="s">
        <v>2268</v>
      </c>
      <c r="D818" s="2" t="s">
        <v>281</v>
      </c>
      <c r="E818" s="2" t="s">
        <v>207</v>
      </c>
      <c r="F818" s="2" t="s">
        <v>15</v>
      </c>
      <c r="G818" s="2" t="s">
        <v>1435</v>
      </c>
      <c r="H818" s="2" t="s">
        <v>101</v>
      </c>
      <c r="I818" s="2" t="str">
        <f>IFERROR(__xludf.DUMMYFUNCTION("GOOGLETRANSLATE(C818,""fr"",""en"")"),"Credit Mutuel et Cic We voted for aid to companies which we loss of operating and you ???? always nothing! I change insurers!
Crédit Mutuel did much more than Allianz, they also contributed to solidarity, and in addition they help their members by giving"&amp;" them a loss of exploitation, I will terminate from Allianz to go to Crédit Mutuel who are much more united for their members.")</f>
        <v>Credit Mutuel et Cic We voted for aid to companies which we loss of operating and you ???? always nothing! I change insurers!
Crédit Mutuel did much more than Allianz, they also contributed to solidarity, and in addition they help their members by giving them a loss of exploitation, I will terminate from Allianz to go to Crédit Mutuel who are much more united for their members.</v>
      </c>
    </row>
    <row r="819" ht="15.75" customHeight="1">
      <c r="A819" s="2">
        <v>2.0</v>
      </c>
      <c r="B819" s="2" t="s">
        <v>2269</v>
      </c>
      <c r="C819" s="2" t="s">
        <v>2270</v>
      </c>
      <c r="D819" s="2" t="s">
        <v>155</v>
      </c>
      <c r="E819" s="2" t="s">
        <v>21</v>
      </c>
      <c r="F819" s="2" t="s">
        <v>15</v>
      </c>
      <c r="G819" s="2" t="s">
        <v>762</v>
      </c>
      <c r="H819" s="2" t="s">
        <v>667</v>
      </c>
      <c r="I819" s="2" t="str">
        <f>IFERROR(__xludf.DUMMYFUNCTION("GOOGLETRANSLATE(C819,""fr"",""en"")"),"Following a sinister flight, the vehicle is found and there begins an endless war with experts and Eurofil, for the replacement of barrels, no communication, feeling of suspicion of crook on our part and so on, more than one Galley months to arrive at an "&amp;"abandonment on my part because the franchise was almost higher than the repairs ... disappointing, we are well assured until we arrive a tile !!!")</f>
        <v>Following a sinister flight, the vehicle is found and there begins an endless war with experts and Eurofil, for the replacement of barrels, no communication, feeling of suspicion of crook on our part and so on, more than one Galley months to arrive at an abandonment on my part because the franchise was almost higher than the repairs ... disappointing, we are well assured until we arrive a tile !!!</v>
      </c>
    </row>
    <row r="820" ht="15.75" customHeight="1">
      <c r="A820" s="2">
        <v>4.0</v>
      </c>
      <c r="B820" s="2" t="s">
        <v>2271</v>
      </c>
      <c r="C820" s="2" t="s">
        <v>2272</v>
      </c>
      <c r="D820" s="2" t="s">
        <v>78</v>
      </c>
      <c r="E820" s="2" t="s">
        <v>79</v>
      </c>
      <c r="F820" s="2" t="s">
        <v>15</v>
      </c>
      <c r="G820" s="2" t="s">
        <v>2273</v>
      </c>
      <c r="H820" s="2" t="s">
        <v>58</v>
      </c>
      <c r="I820" s="2" t="str">
        <f>IFERROR(__xludf.DUMMYFUNCTION("GOOGLETRANSLATE(C820,""fr"",""en"")"),"I am delighted with a service it's simple and inexpensive and it's easy to make sure.
I highly recommend this insurance ...
And in addition it is one of the cheapest for the motorcycle")</f>
        <v>I am delighted with a service it's simple and inexpensive and it's easy to make sure.
I highly recommend this insurance ...
And in addition it is one of the cheapest for the motorcycle</v>
      </c>
    </row>
    <row r="821" ht="15.75" customHeight="1">
      <c r="A821" s="2">
        <v>3.0</v>
      </c>
      <c r="B821" s="2" t="s">
        <v>2274</v>
      </c>
      <c r="C821" s="2" t="s">
        <v>2275</v>
      </c>
      <c r="D821" s="2" t="s">
        <v>87</v>
      </c>
      <c r="E821" s="2" t="s">
        <v>79</v>
      </c>
      <c r="F821" s="2" t="s">
        <v>15</v>
      </c>
      <c r="G821" s="2" t="s">
        <v>1914</v>
      </c>
      <c r="H821" s="2" t="s">
        <v>317</v>
      </c>
      <c r="I821" s="2" t="str">
        <f>IFERROR(__xludf.DUMMYFUNCTION("GOOGLETRANSLATE(C821,""fr"",""en"")"),"Service that lacks human relations, you need advertising for car insurance, but no recovery from them.
Price of satisfactory services.
No accident, no dispute, so I cannot know, their return to this subject.
Erick")</f>
        <v>Service that lacks human relations, you need advertising for car insurance, but no recovery from them.
Price of satisfactory services.
No accident, no dispute, so I cannot know, their return to this subject.
Erick</v>
      </c>
    </row>
    <row r="822" ht="15.75" customHeight="1">
      <c r="A822" s="2">
        <v>1.0</v>
      </c>
      <c r="B822" s="2" t="s">
        <v>2276</v>
      </c>
      <c r="C822" s="2" t="s">
        <v>2277</v>
      </c>
      <c r="D822" s="2" t="s">
        <v>371</v>
      </c>
      <c r="E822" s="2" t="s">
        <v>14</v>
      </c>
      <c r="F822" s="2" t="s">
        <v>15</v>
      </c>
      <c r="G822" s="2" t="s">
        <v>2148</v>
      </c>
      <c r="H822" s="2" t="s">
        <v>667</v>
      </c>
      <c r="I822" s="2" t="str">
        <f>IFERROR(__xludf.DUMMYFUNCTION("GOOGLETRANSLATE(C822,""fr"",""en"")"),"Very none mutual insurance only reimburses
Several months that I relaunch to add my baby to the mutual and the worst impossible to terminate before the birthday.
I have to save myself from this mutual")</f>
        <v>Very none mutual insurance only reimburses
Several months that I relaunch to add my baby to the mutual and the worst impossible to terminate before the birthday.
I have to save myself from this mutual</v>
      </c>
    </row>
    <row r="823" ht="15.75" customHeight="1">
      <c r="A823" s="2">
        <v>4.0</v>
      </c>
      <c r="B823" s="2" t="s">
        <v>2278</v>
      </c>
      <c r="C823" s="2" t="s">
        <v>2279</v>
      </c>
      <c r="D823" s="2" t="s">
        <v>20</v>
      </c>
      <c r="E823" s="2" t="s">
        <v>21</v>
      </c>
      <c r="F823" s="2" t="s">
        <v>15</v>
      </c>
      <c r="G823" s="2" t="s">
        <v>335</v>
      </c>
      <c r="H823" s="2" t="s">
        <v>23</v>
      </c>
      <c r="I823" s="2" t="str">
        <f>IFERROR(__xludf.DUMMYFUNCTION("GOOGLETRANSLATE(C823,""fr"",""en"")"),"For now, everything is okay. As an old client we have never had a problem. The receptionist is very welcoming. and very patient.
")</f>
        <v>For now, everything is okay. As an old client we have never had a problem. The receptionist is very welcoming. and very patient.
</v>
      </c>
    </row>
    <row r="824" ht="15.75" customHeight="1">
      <c r="A824" s="2">
        <v>1.0</v>
      </c>
      <c r="B824" s="2" t="s">
        <v>2280</v>
      </c>
      <c r="C824" s="2" t="s">
        <v>2281</v>
      </c>
      <c r="D824" s="2" t="s">
        <v>119</v>
      </c>
      <c r="E824" s="2" t="s">
        <v>261</v>
      </c>
      <c r="F824" s="2" t="s">
        <v>15</v>
      </c>
      <c r="G824" s="2" t="s">
        <v>2282</v>
      </c>
      <c r="H824" s="2" t="s">
        <v>37</v>
      </c>
      <c r="I824" s="2" t="str">
        <f>IFERROR(__xludf.DUMMYFUNCTION("GOOGLETRANSLATE(C824,""fr"",""en"")"),"Hello, early 1990 an AXA advisor offered me life insurance that I subscribed certifying me of good yield. In 2002 I had the visit of a new advisor who offered to modify my contract because he m 'said that my former advisor had not done his work and that I"&amp;" had not made any profits, when he was really competent and that with him I really went to make money. It was enough for me to modify my contract which cost me € 650 in costs. By leaving he promised me that we will see again at least once a year to take s"&amp;"tock but of course, beautiful promises not held because I have never seen it. In July 2017 my contract had come to an end. I wanted to collect my money, more than € 20,000. So I made an appointment with the adviser of the time. He moved to my home and spe"&amp;"nd 1 hour convincing me that I will make a huge mistake to resume my money when he could offer me a 3% placement at no cost and available at any time. I never had a euro in profit. I had told him, however, that I would quickly need money because I had jus"&amp;"t lost my job, divorce, to move and that I had 3 children to feed. He did not take into account my situation and my request by making me subscribe on tablet an excellium contract with 4.85% of costs and blocked money. I noticed this a few days later by re"&amp;"ceiving my contract by mail. Then I received a family contract and a dependent contract he had offered me and to which I had opposed to our appointment. I complained to Axa who sent me two inspector at my home. They had found the last two contracts and we"&amp;" were able to check together that it was not my writing and even less my signature. Conclusion, it was my advisor who had subscribed to his 2 contracts behind my back. The 2 inspectors are canceled his two contracts and my reimburse the contributions, but"&amp;" they refused to cancel the Excelium contract which did not correspond to me and which I had subscribed on the basis of the lie and the incompetence of this advisor to believe That Axa is really in need and that there is no humanity in this company. Axa h"&amp;"ad my money and I had nothing to say, I had to undergo and that's it. I was lied but whatever. In case I will find it difficult to feed my children there are the restaurants of the heart. Thank you Coluche ... of course, there was no possible dialogue wit"&amp;"h this company. Absolutely all the people I was able to contact we defended their advisor, it was me the fault, at fault to have trusted Axa. Then Axa enjoyed sending me emails telling me that I had chosen a risk investment, when everything had just advis"&amp;"ed them. But at Axa he doesn't want to assume. FYI I do not know their product and I do not know anything about the stock market, so why I would have chosen such a placement if I had not had to do to one of their advisor? Then a new advisor presented hims"&amp;"elf at home to take stock. She also supported his colleague. It's good to work at Axa, there is a good team spirit, especially when they enjoy your money and it puts you in the Wettern. The new advisor wanted me to take the money from my children that I '"&amp;"had managed to place them with a lot of trouble on accounts at the Savings Fund, to replace them at AXA. I just had to start paying the fees for each account that I would have opened (around 150 € per account, i.e. 450 € in total). They never have enough "&amp;"at Axa because everything understood I have already lost more than 2000 € with this company and frankly I would have preferred to have them on my account rather than this being axa who take them to me, because today c 'is very complicated to pay the studi"&amp;"es of my children, but it is not the problem of AXA which does not care. They do their job, sell contracts. Like what even with beautiful advertising on TV, beautiful signs on the wall of their agency, confidence and customer satisfaction does not its pri"&amp;"orities at Axa. We advise us to trust the agencies that weld on the street To be sure not to take any risks, but it is not always won. I have always been a customer at the same bank and I have never had the slightest concern with it. I should have placed "&amp;"my money at my bank. Trusting Axa I did not expect so many problems. I thought I had to do to serious, more professional and more competent people, with a heart. I now hope that Axa will never get my children to annoy when they are older and they will wor"&amp;"k, because I think Oxa has fun with me and that he makes me lose enough money, Let them choose other targets. Stop stirring the knife in the wound by sending me placement proposals, you caused me enough concern. I haven't sleep for you for 3 years")</f>
        <v>Hello, early 1990 an AXA advisor offered me life insurance that I subscribed certifying me of good yield. In 2002 I had the visit of a new advisor who offered to modify my contract because he m 'said that my former advisor had not done his work and that I had not made any profits, when he was really competent and that with him I really went to make money. It was enough for me to modify my contract which cost me € 650 in costs. By leaving he promised me that we will see again at least once a year to take stock but of course, beautiful promises not held because I have never seen it. In July 2017 my contract had come to an end. I wanted to collect my money, more than € 20,000. So I made an appointment with the adviser of the time. He moved to my home and spend 1 hour convincing me that I will make a huge mistake to resume my money when he could offer me a 3% placement at no cost and available at any time. I never had a euro in profit. I had told him, however, that I would quickly need money because I had just lost my job, divorce, to move and that I had 3 children to feed. He did not take into account my situation and my request by making me subscribe on tablet an excellium contract with 4.85% of costs and blocked money. I noticed this a few days later by receiving my contract by mail. Then I received a family contract and a dependent contract he had offered me and to which I had opposed to our appointment. I complained to Axa who sent me two inspector at my home. They had found the last two contracts and we were able to check together that it was not my writing and even less my signature. Conclusion, it was my advisor who had subscribed to his 2 contracts behind my back. The 2 inspectors are canceled his two contracts and my reimburse the contributions, but they refused to cancel the Excelium contract which did not correspond to me and which I had subscribed on the basis of the lie and the incompetence of this advisor to believe That Axa is really in need and that there is no humanity in this company. Axa had my money and I had nothing to say, I had to undergo and that's it. I was lied but whatever. In case I will find it difficult to feed my children there are the restaurants of the heart. Thank you Coluche ... of course, there was no possible dialogue with this company. Absolutely all the people I was able to contact we defended their advisor, it was me the fault, at fault to have trusted Axa. Then Axa enjoyed sending me emails telling me that I had chosen a risk investment, when everything had just advised them. But at Axa he doesn't want to assume. FYI I do not know their product and I do not know anything about the stock market, so why I would have chosen such a placement if I had not had to do to one of their advisor? Then a new advisor presented himself at home to take stock. She also supported his colleague. It's good to work at Axa, there is a good team spirit, especially when they enjoy your money and it puts you in the Wettern. The new advisor wanted me to take the money from my children that I 'had managed to place them with a lot of trouble on accounts at the Savings Fund, to replace them at AXA. I just had to start paying the fees for each account that I would have opened (around 150 € per account, i.e. 450 € in total). They never have enough at Axa because everything understood I have already lost more than 2000 € with this company and frankly I would have preferred to have them on my account rather than this being axa who take them to me, because today c 'is very complicated to pay the studies of my children, but it is not the problem of AXA which does not care. They do their job, sell contracts. Like what even with beautiful advertising on TV, beautiful signs on the wall of their agency, confidence and customer satisfaction does not its priorities at Axa. We advise us to trust the agencies that weld on the street To be sure not to take any risks, but it is not always won. I have always been a customer at the same bank and I have never had the slightest concern with it. I should have placed my money at my bank. Trusting Axa I did not expect so many problems. I thought I had to do to serious, more professional and more competent people, with a heart. I now hope that Axa will never get my children to annoy when they are older and they will work, because I think Oxa has fun with me and that he makes me lose enough money, Let them choose other targets. Stop stirring the knife in the wound by sending me placement proposals, you caused me enough concern. I haven't sleep for you for 3 years</v>
      </c>
    </row>
    <row r="825" ht="15.75" customHeight="1">
      <c r="A825" s="2">
        <v>2.0</v>
      </c>
      <c r="B825" s="2" t="s">
        <v>2283</v>
      </c>
      <c r="C825" s="2" t="s">
        <v>2284</v>
      </c>
      <c r="D825" s="2" t="s">
        <v>206</v>
      </c>
      <c r="E825" s="2" t="s">
        <v>207</v>
      </c>
      <c r="F825" s="2" t="s">
        <v>15</v>
      </c>
      <c r="G825" s="2" t="s">
        <v>782</v>
      </c>
      <c r="H825" s="2" t="s">
        <v>139</v>
      </c>
      <c r="I825" s="2" t="str">
        <f>IFERROR(__xludf.DUMMYFUNCTION("GOOGLETRANSLATE(C825,""fr"",""en"")"),"For over 35 years, I have been in Maif for over 35 years, I have encountered serious problems in managing a water damage that lasted more than five years, two of them due to a manifest error in the Maif. In addition, I had been promised compensation that "&amp;"I always expect ... all this is very disappointing!")</f>
        <v>For over 35 years, I have been in Maif for over 35 years, I have encountered serious problems in managing a water damage that lasted more than five years, two of them due to a manifest error in the Maif. In addition, I had been promised compensation that I always expect ... all this is very disappointing!</v>
      </c>
    </row>
    <row r="826" ht="15.75" customHeight="1">
      <c r="A826" s="2">
        <v>5.0</v>
      </c>
      <c r="B826" s="2" t="s">
        <v>2285</v>
      </c>
      <c r="C826" s="2" t="s">
        <v>2286</v>
      </c>
      <c r="D826" s="2" t="s">
        <v>64</v>
      </c>
      <c r="E826" s="2" t="s">
        <v>21</v>
      </c>
      <c r="F826" s="2" t="s">
        <v>15</v>
      </c>
      <c r="G826" s="2" t="s">
        <v>2287</v>
      </c>
      <c r="H826" s="2" t="s">
        <v>237</v>
      </c>
      <c r="I826" s="2" t="str">
        <f>IFERROR(__xludf.DUMMYFUNCTION("GOOGLETRANSLATE(C826,""fr"",""en"")"),"I have subscribed very quickly, the website is really very easy to use.")</f>
        <v>I have subscribed very quickly, the website is really very easy to use.</v>
      </c>
    </row>
    <row r="827" ht="15.75" customHeight="1">
      <c r="A827" s="2">
        <v>4.0</v>
      </c>
      <c r="B827" s="2" t="s">
        <v>2288</v>
      </c>
      <c r="C827" s="2" t="s">
        <v>2289</v>
      </c>
      <c r="D827" s="2" t="s">
        <v>20</v>
      </c>
      <c r="E827" s="2" t="s">
        <v>21</v>
      </c>
      <c r="F827" s="2" t="s">
        <v>15</v>
      </c>
      <c r="G827" s="2" t="s">
        <v>643</v>
      </c>
      <c r="H827" s="2" t="s">
        <v>23</v>
      </c>
      <c r="I827" s="2" t="str">
        <f>IFERROR(__xludf.DUMMYFUNCTION("GOOGLETRANSLATE(C827,""fr"",""en"")"),"I would have liked to change my contract to have a rating per kilometer, what one of your competitors done for cheaper but the advisor did not send me the quote and I must validate my insurance within two days")</f>
        <v>I would have liked to change my contract to have a rating per kilometer, what one of your competitors done for cheaper but the advisor did not send me the quote and I must validate my insurance within two days</v>
      </c>
    </row>
    <row r="828" ht="15.75" customHeight="1">
      <c r="A828" s="2">
        <v>1.0</v>
      </c>
      <c r="B828" s="2" t="s">
        <v>2290</v>
      </c>
      <c r="C828" s="2" t="s">
        <v>2291</v>
      </c>
      <c r="D828" s="2" t="s">
        <v>206</v>
      </c>
      <c r="E828" s="2" t="s">
        <v>207</v>
      </c>
      <c r="F828" s="2" t="s">
        <v>15</v>
      </c>
      <c r="G828" s="2" t="s">
        <v>2292</v>
      </c>
      <c r="H828" s="2" t="s">
        <v>58</v>
      </c>
      <c r="I828" s="2" t="str">
        <f>IFERROR(__xludf.DUMMYFUNCTION("GOOGLETRANSLATE(C828,""fr"",""en"")"),"
MAIF member for over 30 years for contracts, housing, vehicles, domestic accidents, without ever a responsible disaster. Impact by a disaster I am very disappointed with their way, their lack of listening, responses, consideration and constructive solut"&amp;"ions. The expertise conclusions are unsuitable with a proposed compensation that does not make it possible to redo the work. They demonstrate the minimalism of care in ignorance of the photographic factual elements without questioning, probably forcing us"&amp;" to seize justice. The amount of the claim is not up to the damage noted and I do not understand why the maif persists in not recognizing erroneous remarks of experts without mastery of the maif contracts that we must explain to them, of the oversights , "&amp;"abberations, and errors of appreciation which strengthen the spirit of questioning and feeling of the will to harm the interests of their members. They are convinced that they are listening, but they are not derogated from a destructive approach, thus mak"&amp;"ing fun of their members, their customers. We are far from their mutual claims but we are in real low -level trade.")</f>
        <v>
MAIF member for over 30 years for contracts, housing, vehicles, domestic accidents, without ever a responsible disaster. Impact by a disaster I am very disappointed with their way, their lack of listening, responses, consideration and constructive solutions. The expertise conclusions are unsuitable with a proposed compensation that does not make it possible to redo the work. They demonstrate the minimalism of care in ignorance of the photographic factual elements without questioning, probably forcing us to seize justice. The amount of the claim is not up to the damage noted and I do not understand why the maif persists in not recognizing erroneous remarks of experts without mastery of the maif contracts that we must explain to them, of the oversights , abberations, and errors of appreciation which strengthen the spirit of questioning and feeling of the will to harm the interests of their members. They are convinced that they are listening, but they are not derogated from a destructive approach, thus making fun of their members, their customers. We are far from their mutual claims but we are in real low -level trade.</v>
      </c>
    </row>
    <row r="829" ht="15.75" customHeight="1">
      <c r="A829" s="2">
        <v>4.0</v>
      </c>
      <c r="B829" s="2" t="s">
        <v>2293</v>
      </c>
      <c r="C829" s="2" t="s">
        <v>2294</v>
      </c>
      <c r="D829" s="2" t="s">
        <v>68</v>
      </c>
      <c r="E829" s="2" t="s">
        <v>14</v>
      </c>
      <c r="F829" s="2" t="s">
        <v>15</v>
      </c>
      <c r="G829" s="2" t="s">
        <v>472</v>
      </c>
      <c r="H829" s="2" t="s">
        <v>473</v>
      </c>
      <c r="I829" s="2" t="str">
        <f>IFERROR(__xludf.DUMMYFUNCTION("GOOGLETRANSLATE(C829,""fr"",""en"")"),"Good follow -up.
Listening.
Available to give more explanations ........................................... .................................................. ...................................
")</f>
        <v>Good follow -up.
Listening.
Available to give more explanations ........................................... .................................................. ...................................
</v>
      </c>
    </row>
    <row r="830" ht="15.75" customHeight="1">
      <c r="A830" s="2">
        <v>1.0</v>
      </c>
      <c r="B830" s="2" t="s">
        <v>2295</v>
      </c>
      <c r="C830" s="2" t="s">
        <v>2296</v>
      </c>
      <c r="D830" s="2" t="s">
        <v>757</v>
      </c>
      <c r="E830" s="2" t="s">
        <v>14</v>
      </c>
      <c r="F830" s="2" t="s">
        <v>15</v>
      </c>
      <c r="G830" s="2" t="s">
        <v>2297</v>
      </c>
      <c r="H830" s="2" t="s">
        <v>209</v>
      </c>
      <c r="I830" s="2" t="str">
        <f>IFERROR(__xludf.DUMMYFUNCTION("GOOGLETRANSLATE(C830,""fr"",""en"")"),"To avoid absolutely! By far the worst mutual !!!!! They quibble for reimbursement and try everything so as not to reimburse !!! I have several contracts that I will terminate on the field and I leave this step !!! Osteopaths at 60 euros per non -reimburse"&amp;"d consultations and so on. But on the other hand for the samples strangely they do not take hold !!! With them it's over and I will pass the message to inform potential members! NEVER AGAIN")</f>
        <v>To avoid absolutely! By far the worst mutual !!!!! They quibble for reimbursement and try everything so as not to reimburse !!! I have several contracts that I will terminate on the field and I leave this step !!! Osteopaths at 60 euros per non -reimbursed consultations and so on. But on the other hand for the samples strangely they do not take hold !!! With them it's over and I will pass the message to inform potential members! NEVER AGAIN</v>
      </c>
    </row>
    <row r="831" ht="15.75" customHeight="1">
      <c r="A831" s="2">
        <v>1.0</v>
      </c>
      <c r="B831" s="2" t="s">
        <v>2298</v>
      </c>
      <c r="C831" s="2" t="s">
        <v>2299</v>
      </c>
      <c r="D831" s="2" t="s">
        <v>277</v>
      </c>
      <c r="E831" s="2" t="s">
        <v>207</v>
      </c>
      <c r="F831" s="2" t="s">
        <v>15</v>
      </c>
      <c r="G831" s="2" t="s">
        <v>2300</v>
      </c>
      <c r="H831" s="2" t="s">
        <v>1570</v>
      </c>
      <c r="I831" s="2" t="str">
        <f>IFERROR(__xludf.DUMMYFUNCTION("GOOGLETRANSLATE(C831,""fr"",""en"")"),"Customer for more than 20 years (home, motorcycle, car, child, ...) we have undergone a storm that did damage to our roof and dependence. An expert has passed after a month and despite sending Several quotes no news .c has been radio silence for 2 months "&amp;"now despite my repeated reminders. We are very unhappy. Flee !!!!!")</f>
        <v>Customer for more than 20 years (home, motorcycle, car, child, ...) we have undergone a storm that did damage to our roof and dependence. An expert has passed after a month and despite sending Several quotes no news .c has been radio silence for 2 months now despite my repeated reminders. We are very unhappy. Flee !!!!!</v>
      </c>
    </row>
    <row r="832" ht="15.75" customHeight="1">
      <c r="A832" s="2">
        <v>3.0</v>
      </c>
      <c r="B832" s="2" t="s">
        <v>2301</v>
      </c>
      <c r="C832" s="2" t="s">
        <v>2302</v>
      </c>
      <c r="D832" s="2" t="s">
        <v>78</v>
      </c>
      <c r="E832" s="2" t="s">
        <v>79</v>
      </c>
      <c r="F832" s="2" t="s">
        <v>15</v>
      </c>
      <c r="G832" s="2" t="s">
        <v>70</v>
      </c>
      <c r="H832" s="2" t="s">
        <v>70</v>
      </c>
      <c r="I832" s="2" t="str">
        <f>IFERROR(__xludf.DUMMYFUNCTION("GOOGLETRANSLATE(C832,""fr"",""en"")"),"would have deserved a commercial gesture that I had asked for a first subscription c is a shame .... the advisers who respond to entrenched behind no I have no led to make a gesture and, even stronger, last week you would have had 40 euros discount but no"&amp;"t this week, we will have to wait for the next promotion, ... It is original enough to attract the barge ....")</f>
        <v>would have deserved a commercial gesture that I had asked for a first subscription c is a shame .... the advisers who respond to entrenched behind no I have no led to make a gesture and, even stronger, last week you would have had 40 euros discount but not this week, we will have to wait for the next promotion, ... It is original enough to attract the barge ....</v>
      </c>
    </row>
    <row r="833" ht="15.75" customHeight="1">
      <c r="A833" s="2">
        <v>5.0</v>
      </c>
      <c r="B833" s="2" t="s">
        <v>2303</v>
      </c>
      <c r="C833" s="2" t="s">
        <v>2304</v>
      </c>
      <c r="D833" s="2" t="s">
        <v>95</v>
      </c>
      <c r="E833" s="2" t="s">
        <v>21</v>
      </c>
      <c r="F833" s="2" t="s">
        <v>15</v>
      </c>
      <c r="G833" s="2" t="s">
        <v>2305</v>
      </c>
      <c r="H833" s="2" t="s">
        <v>1570</v>
      </c>
      <c r="I833" s="2" t="str">
        <f>IFERROR(__xludf.DUMMYFUNCTION("GOOGLETRANSLATE(C833,""fr"",""en"")"),"Customer for over 10 years agency Matmut AV.Maginot Tours Nord.")</f>
        <v>Customer for over 10 years agency Matmut AV.Maginot Tours Nord.</v>
      </c>
    </row>
    <row r="834" ht="15.75" customHeight="1">
      <c r="A834" s="2">
        <v>1.0</v>
      </c>
      <c r="B834" s="2" t="s">
        <v>2306</v>
      </c>
      <c r="C834" s="2" t="s">
        <v>2307</v>
      </c>
      <c r="D834" s="2" t="s">
        <v>281</v>
      </c>
      <c r="E834" s="2" t="s">
        <v>261</v>
      </c>
      <c r="F834" s="2" t="s">
        <v>15</v>
      </c>
      <c r="G834" s="2" t="s">
        <v>2308</v>
      </c>
      <c r="H834" s="2" t="s">
        <v>263</v>
      </c>
      <c r="I834" s="2" t="str">
        <f>IFERROR(__xludf.DUMMYFUNCTION("GOOGLETRANSLATE(C834,""fr"",""en"")"),"Having subscribed to life insurance in the army 4 years ago and having left the army, I send my Courier de termination in August and I am told that one cannot terminate before November 30 ????? !!!!!! Super another 4 months to pay 50 € per month by receiv"&amp;"ing a minimum wage !!!")</f>
        <v>Having subscribed to life insurance in the army 4 years ago and having left the army, I send my Courier de termination in August and I am told that one cannot terminate before November 30 ????? !!!!!! Super another 4 months to pay 50 € per month by receiving a minimum wage !!!</v>
      </c>
    </row>
    <row r="835" ht="15.75" customHeight="1">
      <c r="A835" s="2">
        <v>4.0</v>
      </c>
      <c r="B835" s="2" t="s">
        <v>2309</v>
      </c>
      <c r="C835" s="2" t="s">
        <v>2310</v>
      </c>
      <c r="D835" s="2" t="s">
        <v>35</v>
      </c>
      <c r="E835" s="2" t="s">
        <v>21</v>
      </c>
      <c r="F835" s="2" t="s">
        <v>15</v>
      </c>
      <c r="G835" s="2" t="s">
        <v>2109</v>
      </c>
      <c r="H835" s="2" t="s">
        <v>89</v>
      </c>
      <c r="I835" s="2" t="str">
        <f>IFERROR(__xludf.DUMMYFUNCTION("GOOGLETRANSLATE(C835,""fr"",""en"")"),"I am satisfied with the price service and the ease of processing in the process
I have not yet needed insurance refund, fortunately
")</f>
        <v>I am satisfied with the price service and the ease of processing in the process
I have not yet needed insurance refund, fortunately
</v>
      </c>
    </row>
    <row r="836" ht="15.75" customHeight="1">
      <c r="A836" s="2">
        <v>4.0</v>
      </c>
      <c r="B836" s="2" t="s">
        <v>2311</v>
      </c>
      <c r="C836" s="2" t="s">
        <v>2312</v>
      </c>
      <c r="D836" s="2" t="s">
        <v>20</v>
      </c>
      <c r="E836" s="2" t="s">
        <v>21</v>
      </c>
      <c r="F836" s="2" t="s">
        <v>15</v>
      </c>
      <c r="G836" s="2" t="s">
        <v>178</v>
      </c>
      <c r="H836" s="2" t="s">
        <v>178</v>
      </c>
      <c r="I836" s="2" t="str">
        <f>IFERROR(__xludf.DUMMYFUNCTION("GOOGLETRANSLATE(C836,""fr"",""en"")"),"satisfied,
 Simple subscription procedure.
Fast disaster declaration and care
Services to recommend
…………………………………………………………… ...
")</f>
        <v>satisfied,
 Simple subscription procedure.
Fast disaster declaration and care
Services to recommend
…………………………………………………………… ...
</v>
      </c>
    </row>
    <row r="837" ht="15.75" customHeight="1">
      <c r="A837" s="2">
        <v>3.0</v>
      </c>
      <c r="B837" s="2" t="s">
        <v>2313</v>
      </c>
      <c r="C837" s="2" t="s">
        <v>2314</v>
      </c>
      <c r="D837" s="2" t="s">
        <v>20</v>
      </c>
      <c r="E837" s="2" t="s">
        <v>21</v>
      </c>
      <c r="F837" s="2" t="s">
        <v>15</v>
      </c>
      <c r="G837" s="2" t="s">
        <v>404</v>
      </c>
      <c r="H837" s="2" t="s">
        <v>178</v>
      </c>
      <c r="I837" s="2" t="str">
        <f>IFERROR(__xludf.DUMMYFUNCTION("GOOGLETRANSLATE(C837,""fr"",""en"")"),"Exorbitant price because you have refused to take into account the fact that I have been driving on service cars for over 20 years. It's a shame because my bonus has been completely deleted: so I pay 2 times more expensive my insurance. I have stayed beca"&amp;"use I have been at Direct Bank that has become Axabanque for 25 years.")</f>
        <v>Exorbitant price because you have refused to take into account the fact that I have been driving on service cars for over 20 years. It's a shame because my bonus has been completely deleted: so I pay 2 times more expensive my insurance. I have stayed because I have been at Direct Bank that has become Axabanque for 25 years.</v>
      </c>
    </row>
    <row r="838" ht="15.75" customHeight="1">
      <c r="A838" s="2">
        <v>1.0</v>
      </c>
      <c r="B838" s="2" t="s">
        <v>2315</v>
      </c>
      <c r="C838" s="2" t="s">
        <v>2316</v>
      </c>
      <c r="D838" s="2" t="s">
        <v>109</v>
      </c>
      <c r="E838" s="2" t="s">
        <v>110</v>
      </c>
      <c r="F838" s="2" t="s">
        <v>15</v>
      </c>
      <c r="G838" s="2" t="s">
        <v>2317</v>
      </c>
      <c r="H838" s="2" t="s">
        <v>182</v>
      </c>
      <c r="I838" s="2" t="str">
        <f>IFERROR(__xludf.DUMMYFUNCTION("GOOGLETRANSLATE(C838,""fr"",""en"")"),"Zero zero !!!! To flee !!!
Impossible to terminate it's been a year that I fight to terminate this contract but nothing helps!
Claiming very easy money, when it comes to repaying my veterinary expenses that slab !!!!
To really flee")</f>
        <v>Zero zero !!!! To flee !!!
Impossible to terminate it's been a year that I fight to terminate this contract but nothing helps!
Claiming very easy money, when it comes to repaying my veterinary expenses that slab !!!!
To really flee</v>
      </c>
    </row>
    <row r="839" ht="15.75" customHeight="1">
      <c r="A839" s="2">
        <v>1.0</v>
      </c>
      <c r="B839" s="2" t="s">
        <v>2318</v>
      </c>
      <c r="C839" s="2" t="s">
        <v>2319</v>
      </c>
      <c r="D839" s="2" t="s">
        <v>281</v>
      </c>
      <c r="E839" s="2" t="s">
        <v>261</v>
      </c>
      <c r="F839" s="2" t="s">
        <v>15</v>
      </c>
      <c r="G839" s="2" t="s">
        <v>2320</v>
      </c>
      <c r="H839" s="2" t="s">
        <v>112</v>
      </c>
      <c r="I839" s="2" t="str">
        <f>IFERROR(__xludf.DUMMYFUNCTION("GOOGLETRANSLATE(C839,""fr"",""en"")"),"To subscribe contracts, salespeople are very available. On the other hand as soon as the contracts are signed, and I frozen my Versemenrts, I no longer have commercial contact. Each time I have to phone Nantes customer service.
When I claim my statements"&amp;", I receive in return an email containing the total amount, without any explanation, without detail, and in addition, it does not correspond to what I had to touch.")</f>
        <v>To subscribe contracts, salespeople are very available. On the other hand as soon as the contracts are signed, and I frozen my Versemenrts, I no longer have commercial contact. Each time I have to phone Nantes customer service.
When I claim my statements, I receive in return an email containing the total amount, without any explanation, without detail, and in addition, it does not correspond to what I had to touch.</v>
      </c>
    </row>
    <row r="840" ht="15.75" customHeight="1">
      <c r="A840" s="2">
        <v>1.0</v>
      </c>
      <c r="B840" s="2" t="s">
        <v>2321</v>
      </c>
      <c r="C840" s="2" t="s">
        <v>2322</v>
      </c>
      <c r="D840" s="2" t="s">
        <v>715</v>
      </c>
      <c r="E840" s="2" t="s">
        <v>14</v>
      </c>
      <c r="F840" s="2" t="s">
        <v>15</v>
      </c>
      <c r="G840" s="2" t="s">
        <v>2323</v>
      </c>
      <c r="H840" s="2" t="s">
        <v>182</v>
      </c>
      <c r="I840" s="2" t="str">
        <f>IFERROR(__xludf.DUMMYFUNCTION("GOOGLETRANSLATE(C840,""fr"",""en"")"),"Mercer is no service, no follow -up, no response to the insured as well as to health professionals.
Mercer net is no follow -up, no response to requests ... It is to return the insured without any results.")</f>
        <v>Mercer is no service, no follow -up, no response to the insured as well as to health professionals.
Mercer net is no follow -up, no response to requests ... It is to return the insured without any results.</v>
      </c>
    </row>
    <row r="841" ht="15.75" customHeight="1">
      <c r="A841" s="2">
        <v>4.0</v>
      </c>
      <c r="B841" s="2" t="s">
        <v>2324</v>
      </c>
      <c r="C841" s="2" t="s">
        <v>2325</v>
      </c>
      <c r="D841" s="2" t="s">
        <v>20</v>
      </c>
      <c r="E841" s="2" t="s">
        <v>21</v>
      </c>
      <c r="F841" s="2" t="s">
        <v>15</v>
      </c>
      <c r="G841" s="2" t="s">
        <v>940</v>
      </c>
      <c r="H841" s="2" t="s">
        <v>45</v>
      </c>
      <c r="I841" s="2" t="str">
        <f>IFERROR(__xludf.DUMMYFUNCTION("GOOGLETRANSLATE(C841,""fr"",""en"")"),"I am satisfied with the prices, the service is simple, practical, efficient. I was able to find the right insurance at the most advantageous price. The service is personalized according to everyone's needs, and this allows everyone to find the insurance t"&amp;"hey need.")</f>
        <v>I am satisfied with the prices, the service is simple, practical, efficient. I was able to find the right insurance at the most advantageous price. The service is personalized according to everyone's needs, and this allows everyone to find the insurance they need.</v>
      </c>
    </row>
    <row r="842" ht="15.75" customHeight="1">
      <c r="A842" s="2">
        <v>4.0</v>
      </c>
      <c r="B842" s="2" t="s">
        <v>2326</v>
      </c>
      <c r="C842" s="2" t="s">
        <v>2327</v>
      </c>
      <c r="D842" s="2" t="s">
        <v>78</v>
      </c>
      <c r="E842" s="2" t="s">
        <v>79</v>
      </c>
      <c r="F842" s="2" t="s">
        <v>15</v>
      </c>
      <c r="G842" s="2" t="s">
        <v>643</v>
      </c>
      <c r="H842" s="2" t="s">
        <v>23</v>
      </c>
      <c r="I842" s="2" t="str">
        <f>IFERROR(__xludf.DUMMYFUNCTION("GOOGLETRANSLATE(C842,""fr"",""en"")"),"Very well positioned and fast process
I liked the fairly insistent customer service calls less in order to make me conclude the contract by phone")</f>
        <v>Very well positioned and fast process
I liked the fairly insistent customer service calls less in order to make me conclude the contract by phone</v>
      </c>
    </row>
    <row r="843" ht="15.75" customHeight="1">
      <c r="A843" s="2">
        <v>1.0</v>
      </c>
      <c r="B843" s="2" t="s">
        <v>2328</v>
      </c>
      <c r="C843" s="2" t="s">
        <v>2329</v>
      </c>
      <c r="D843" s="2" t="s">
        <v>281</v>
      </c>
      <c r="E843" s="2" t="s">
        <v>21</v>
      </c>
      <c r="F843" s="2" t="s">
        <v>15</v>
      </c>
      <c r="G843" s="2" t="s">
        <v>2330</v>
      </c>
      <c r="H843" s="2" t="s">
        <v>394</v>
      </c>
      <c r="I843" s="2" t="str">
        <f>IFERROR(__xludf.DUMMYFUNCTION("GOOGLETRANSLATE(C843,""fr"",""en"")"),"To flee, total incompetence. This refer the ball between the different services without acting. Never the same interlocutor who also contradicts each other with evidence of poor training of interlocutors, poor internal communication, do not fill the follo"&amp;"w -up file. Call so -called record.
Departure for me, I was attracted to the price but did not.")</f>
        <v>To flee, total incompetence. This refer the ball between the different services without acting. Never the same interlocutor who also contradicts each other with evidence of poor training of interlocutors, poor internal communication, do not fill the follow -up file. Call so -called record.
Departure for me, I was attracted to the price but did not.</v>
      </c>
    </row>
    <row r="844" ht="15.75" customHeight="1">
      <c r="A844" s="2">
        <v>5.0</v>
      </c>
      <c r="B844" s="2" t="s">
        <v>2331</v>
      </c>
      <c r="C844" s="2" t="s">
        <v>2332</v>
      </c>
      <c r="D844" s="2" t="s">
        <v>64</v>
      </c>
      <c r="E844" s="2" t="s">
        <v>21</v>
      </c>
      <c r="F844" s="2" t="s">
        <v>15</v>
      </c>
      <c r="G844" s="2" t="s">
        <v>138</v>
      </c>
      <c r="H844" s="2" t="s">
        <v>139</v>
      </c>
      <c r="I844" s="2" t="str">
        <f>IFERROR(__xludf.DUMMYFUNCTION("GOOGLETRANSLATE(C844,""fr"",""en"")"),"I am very satisfied with your services, your prices correspond to my budget. Thank you
Very cordially my sincere greetings.
I am happy with your quality of service and the service of your teleoperators who inform and inform well.")</f>
        <v>I am very satisfied with your services, your prices correspond to my budget. Thank you
Very cordially my sincere greetings.
I am happy with your quality of service and the service of your teleoperators who inform and inform well.</v>
      </c>
    </row>
    <row r="845" ht="15.75" customHeight="1">
      <c r="A845" s="2">
        <v>1.0</v>
      </c>
      <c r="B845" s="2" t="s">
        <v>2333</v>
      </c>
      <c r="C845" s="2" t="s">
        <v>2334</v>
      </c>
      <c r="D845" s="2" t="s">
        <v>20</v>
      </c>
      <c r="E845" s="2" t="s">
        <v>21</v>
      </c>
      <c r="F845" s="2" t="s">
        <v>15</v>
      </c>
      <c r="G845" s="2" t="s">
        <v>2137</v>
      </c>
      <c r="H845" s="2" t="s">
        <v>209</v>
      </c>
      <c r="I845" s="2" t="str">
        <f>IFERROR(__xludf.DUMMYFUNCTION("GOOGLETRANSLATE(C845,""fr"",""en"")"),"Prices at Direct Insurance increases sharply in the 2nd year, more than 30 % despite more bonuses, a direct insurance response, this is a welcome offer, so in this case why don't they specify when subscribing?
And increase in regional taxes, but yes of 3"&amp;"0 %.
to avoid")</f>
        <v>Prices at Direct Insurance increases sharply in the 2nd year, more than 30 % despite more bonuses, a direct insurance response, this is a welcome offer, so in this case why don't they specify when subscribing?
And increase in regional taxes, but yes of 30 %.
to avoid</v>
      </c>
    </row>
    <row r="846" ht="15.75" customHeight="1">
      <c r="A846" s="2">
        <v>1.0</v>
      </c>
      <c r="B846" s="2" t="s">
        <v>2335</v>
      </c>
      <c r="C846" s="2" t="s">
        <v>2336</v>
      </c>
      <c r="D846" s="2" t="s">
        <v>256</v>
      </c>
      <c r="E846" s="2" t="s">
        <v>21</v>
      </c>
      <c r="F846" s="2" t="s">
        <v>15</v>
      </c>
      <c r="G846" s="2" t="s">
        <v>2337</v>
      </c>
      <c r="H846" s="2" t="s">
        <v>1297</v>
      </c>
      <c r="I846" s="2" t="str">
        <f>IFERROR(__xludf.DUMMYFUNCTION("GOOGLETRANSLATE(C846,""fr"",""en"")"),"This insurance is only done by phone you find yourself insured on 1 car without even asking to be !! After several recommended no way you call on legal pacifica and another 1st for 10 months always paying this car insurance for the car of your spouse alre"&amp;"ady insured elsewhere")</f>
        <v>This insurance is only done by phone you find yourself insured on 1 car without even asking to be !! After several recommended no way you call on legal pacifica and another 1st for 10 months always paying this car insurance for the car of your spouse already insured elsewhere</v>
      </c>
    </row>
    <row r="847" ht="15.75" customHeight="1">
      <c r="A847" s="2">
        <v>5.0</v>
      </c>
      <c r="B847" s="2" t="s">
        <v>2338</v>
      </c>
      <c r="C847" s="2" t="s">
        <v>2339</v>
      </c>
      <c r="D847" s="2" t="s">
        <v>78</v>
      </c>
      <c r="E847" s="2" t="s">
        <v>79</v>
      </c>
      <c r="F847" s="2" t="s">
        <v>15</v>
      </c>
      <c r="G847" s="2" t="s">
        <v>1823</v>
      </c>
      <c r="H847" s="2" t="s">
        <v>139</v>
      </c>
      <c r="I847" s="2" t="str">
        <f>IFERROR(__xludf.DUMMYFUNCTION("GOOGLETRANSLATE(C847,""fr"",""en"")"),"I am delighted to be part of your fast and simple customers I do not have an advisor on the phone but vote price quality of the warranty + 1 opts that I took suit me perfectly")</f>
        <v>I am delighted to be part of your fast and simple customers I do not have an advisor on the phone but vote price quality of the warranty + 1 opts that I took suit me perfectly</v>
      </c>
    </row>
    <row r="848" ht="15.75" customHeight="1">
      <c r="A848" s="2">
        <v>2.0</v>
      </c>
      <c r="B848" s="2" t="s">
        <v>2340</v>
      </c>
      <c r="C848" s="2" t="s">
        <v>2341</v>
      </c>
      <c r="D848" s="2" t="s">
        <v>119</v>
      </c>
      <c r="E848" s="2" t="s">
        <v>21</v>
      </c>
      <c r="F848" s="2" t="s">
        <v>15</v>
      </c>
      <c r="G848" s="2" t="s">
        <v>989</v>
      </c>
      <c r="H848" s="2" t="s">
        <v>990</v>
      </c>
      <c r="I848" s="2" t="str">
        <f>IFERROR(__xludf.DUMMYFUNCTION("GOOGLETRANSLATE(C848,""fr"",""en"")"),"The local agent who had access to all our data advised us to seek another insurer when we wanted to balance the price of the current insurer and his quote. He was the best and there was nothing to discuss.
What will use an insurer so poorly changed to me"&amp;".")</f>
        <v>The local agent who had access to all our data advised us to seek another insurer when we wanted to balance the price of the current insurer and his quote. He was the best and there was nothing to discuss.
What will use an insurer so poorly changed to me.</v>
      </c>
    </row>
    <row r="849" ht="15.75" customHeight="1">
      <c r="A849" s="2">
        <v>4.0</v>
      </c>
      <c r="B849" s="2" t="s">
        <v>2342</v>
      </c>
      <c r="C849" s="2" t="s">
        <v>2343</v>
      </c>
      <c r="D849" s="2" t="s">
        <v>64</v>
      </c>
      <c r="E849" s="2" t="s">
        <v>21</v>
      </c>
      <c r="F849" s="2" t="s">
        <v>15</v>
      </c>
      <c r="G849" s="2" t="s">
        <v>335</v>
      </c>
      <c r="H849" s="2" t="s">
        <v>23</v>
      </c>
      <c r="I849" s="2" t="str">
        <f>IFERROR(__xludf.DUMMYFUNCTION("GOOGLETRANSLATE(C849,""fr"",""en"")"),"Very well services I apple services answer second car name of my company its ousi brought back with the olive assurance next I thank you
 ")</f>
        <v>Very well services I apple services answer second car name of my company its ousi brought back with the olive assurance next I thank you
 </v>
      </c>
    </row>
    <row r="850" ht="15.75" customHeight="1">
      <c r="A850" s="2">
        <v>1.0</v>
      </c>
      <c r="B850" s="2" t="s">
        <v>2344</v>
      </c>
      <c r="C850" s="2" t="s">
        <v>2345</v>
      </c>
      <c r="D850" s="2" t="s">
        <v>64</v>
      </c>
      <c r="E850" s="2" t="s">
        <v>21</v>
      </c>
      <c r="F850" s="2" t="s">
        <v>15</v>
      </c>
      <c r="G850" s="2" t="s">
        <v>1157</v>
      </c>
      <c r="H850" s="2" t="s">
        <v>178</v>
      </c>
      <c r="I850" s="2" t="str">
        <f>IFERROR(__xludf.DUMMYFUNCTION("GOOGLETRANSLATE(C850,""fr"",""en"")"),"Not clear information when continuing the procedures, repetitive customer service emails without any intention to explain what is happening, no explanation received separately thanks to a customer service lady by telephone, abusive pricing")</f>
        <v>Not clear information when continuing the procedures, repetitive customer service emails without any intention to explain what is happening, no explanation received separately thanks to a customer service lady by telephone, abusive pricing</v>
      </c>
    </row>
    <row r="851" ht="15.75" customHeight="1">
      <c r="A851" s="2">
        <v>2.0</v>
      </c>
      <c r="B851" s="2" t="s">
        <v>2346</v>
      </c>
      <c r="C851" s="2" t="s">
        <v>2347</v>
      </c>
      <c r="D851" s="2" t="s">
        <v>142</v>
      </c>
      <c r="E851" s="2" t="s">
        <v>207</v>
      </c>
      <c r="F851" s="2" t="s">
        <v>15</v>
      </c>
      <c r="G851" s="2" t="s">
        <v>2348</v>
      </c>
      <c r="H851" s="2" t="s">
        <v>317</v>
      </c>
      <c r="I851" s="2" t="str">
        <f>IFERROR(__xludf.DUMMYFUNCTION("GOOGLETRANSLATE(C851,""fr"",""en"")"),"The loss management is deplorable. Following a water damage due to a neighbor (disaster from February 2018), the file was poorly managed from the start. By dint of complaints, I have changed a manager several times for, saying that my file is better manag"&amp;"ed. Finally, the manager I have been very relevant for 18 months, moreover, is never there, unparalleled and my file is still pending.
I have been in the Macif for over 30 years, very happy so far. Today, the processing of files is dramatic. Flee this in"&amp;"surer absolutely!")</f>
        <v>The loss management is deplorable. Following a water damage due to a neighbor (disaster from February 2018), the file was poorly managed from the start. By dint of complaints, I have changed a manager several times for, saying that my file is better managed. Finally, the manager I have been very relevant for 18 months, moreover, is never there, unparalleled and my file is still pending.
I have been in the Macif for over 30 years, very happy so far. Today, the processing of files is dramatic. Flee this insurer absolutely!</v>
      </c>
    </row>
    <row r="852" ht="15.75" customHeight="1">
      <c r="A852" s="2">
        <v>1.0</v>
      </c>
      <c r="B852" s="2" t="s">
        <v>2349</v>
      </c>
      <c r="C852" s="2" t="s">
        <v>2350</v>
      </c>
      <c r="D852" s="2" t="s">
        <v>64</v>
      </c>
      <c r="E852" s="2" t="s">
        <v>21</v>
      </c>
      <c r="F852" s="2" t="s">
        <v>15</v>
      </c>
      <c r="G852" s="2" t="s">
        <v>2351</v>
      </c>
      <c r="H852" s="2" t="s">
        <v>408</v>
      </c>
      <c r="I852" s="2" t="str">
        <f>IFERROR(__xludf.DUMMYFUNCTION("GOOGLETRANSLATE(C852,""fr"",""en"")"),"Insurance that attracts you with an attractive price at the start, then it is the cat.
- The price requested following the purchase of the vehicle is systematically higher by a few tens of euros to that of the quote (whimsical argument),
- any change of"&amp;" personal information on the contract leads to a paying endorsement,
- Significant increase in the price from the second year, however without claim on my part (around 20 %, and I am not the only one!) That they justify by a bogus argument (loss in your "&amp;"town ..., the current situation of France (terrorism)).
Following this I asked for a drop in my subscription and obviously the many correspondents I had can decide anything, and no one else a priori.
The second year I unfortunately had a break in ice an"&amp;"d when I exploded, my price exploded (two hundred and forty euros more than forty five percent). What should it be if I have a responsible disaster ....
In short, and in view of the other testimonies, we must flee this insurer.
I pity the employees who "&amp;"answer on the phone and who must most of the time take them for their rank.")</f>
        <v>Insurance that attracts you with an attractive price at the start, then it is the cat.
- The price requested following the purchase of the vehicle is systematically higher by a few tens of euros to that of the quote (whimsical argument),
- any change of personal information on the contract leads to a paying endorsement,
- Significant increase in the price from the second year, however without claim on my part (around 20 %, and I am not the only one!) That they justify by a bogus argument (loss in your town ..., the current situation of France (terrorism)).
Following this I asked for a drop in my subscription and obviously the many correspondents I had can decide anything, and no one else a priori.
The second year I unfortunately had a break in ice and when I exploded, my price exploded (two hundred and forty euros more than forty five percent). What should it be if I have a responsible disaster ....
In short, and in view of the other testimonies, we must flee this insurer.
I pity the employees who answer on the phone and who must most of the time take them for their rank.</v>
      </c>
    </row>
    <row r="853" ht="15.75" customHeight="1">
      <c r="A853" s="2">
        <v>2.0</v>
      </c>
      <c r="B853" s="2" t="s">
        <v>2352</v>
      </c>
      <c r="C853" s="2" t="s">
        <v>2353</v>
      </c>
      <c r="D853" s="2" t="s">
        <v>256</v>
      </c>
      <c r="E853" s="2" t="s">
        <v>21</v>
      </c>
      <c r="F853" s="2" t="s">
        <v>15</v>
      </c>
      <c r="G853" s="2" t="s">
        <v>2354</v>
      </c>
      <c r="H853" s="2" t="s">
        <v>576</v>
      </c>
      <c r="I853" s="2" t="str">
        <f>IFERROR(__xludf.DUMMYFUNCTION("GOOGLETRANSLATE(C853,""fr"",""en"")"),"Client for only 1 and a half months and I have already had to go 2 times to Crédit Agricole agency and I call 2 times Pacifica just for information corrections on my contract while all the information was provided during The subscription with my advisor.
"&amp;"
In the end with the corrections I ended up paying more than what was written on the quote.
The question then arises of the good management of a possible disaster and its guarantees. What a mistake on my part to be part of my old insurance!
 ")</f>
        <v>Client for only 1 and a half months and I have already had to go 2 times to Crédit Agricole agency and I call 2 times Pacifica just for information corrections on my contract while all the information was provided during The subscription with my advisor.
In the end with the corrections I ended up paying more than what was written on the quote.
The question then arises of the good management of a possible disaster and its guarantees. What a mistake on my part to be part of my old insurance!
 </v>
      </c>
    </row>
    <row r="854" ht="15.75" customHeight="1">
      <c r="A854" s="2">
        <v>2.0</v>
      </c>
      <c r="B854" s="2" t="s">
        <v>2355</v>
      </c>
      <c r="C854" s="2" t="s">
        <v>2356</v>
      </c>
      <c r="D854" s="2" t="s">
        <v>87</v>
      </c>
      <c r="E854" s="2" t="s">
        <v>79</v>
      </c>
      <c r="F854" s="2" t="s">
        <v>15</v>
      </c>
      <c r="G854" s="2" t="s">
        <v>2357</v>
      </c>
      <c r="H854" s="2" t="s">
        <v>398</v>
      </c>
      <c r="I854" s="2" t="str">
        <f>IFERROR(__xludf.DUMMYFUNCTION("GOOGLETRANSLATE(C854,""fr"",""en"")"),"Hello,
I try to call AMV to have explanations for insurance and unfortunately there are no agency to find out !! My first observations is that the line is chargeable and we are not given an indication of the waiting time so each time the invoice lies dow"&amp;"n in addition to the insurance premium that we will have to pay. Prime which is not really competitive since certain competing insurances do better at the rate level for the same services and coverage.
The worst part is that I still haven't had advisers "&amp;"on the phone and this despite a telephone counter.")</f>
        <v>Hello,
I try to call AMV to have explanations for insurance and unfortunately there are no agency to find out !! My first observations is that the line is chargeable and we are not given an indication of the waiting time so each time the invoice lies down in addition to the insurance premium that we will have to pay. Prime which is not really competitive since certain competing insurances do better at the rate level for the same services and coverage.
The worst part is that I still haven't had advisers on the phone and this despite a telephone counter.</v>
      </c>
    </row>
    <row r="855" ht="15.75" customHeight="1">
      <c r="A855" s="2">
        <v>4.0</v>
      </c>
      <c r="B855" s="2" t="s">
        <v>2358</v>
      </c>
      <c r="C855" s="2" t="s">
        <v>2359</v>
      </c>
      <c r="D855" s="2" t="s">
        <v>64</v>
      </c>
      <c r="E855" s="2" t="s">
        <v>21</v>
      </c>
      <c r="F855" s="2" t="s">
        <v>15</v>
      </c>
      <c r="G855" s="2" t="s">
        <v>2360</v>
      </c>
      <c r="H855" s="2" t="s">
        <v>139</v>
      </c>
      <c r="I855" s="2" t="str">
        <f>IFERROR(__xludf.DUMMYFUNCTION("GOOGLETRANSLATE(C855,""fr"",""en"")"),"I am satisfied with the offer made to me.
Proposals and exchanges are of good quality.
The advisor I had on the phone is listening to the questions you can ask and the answers are clear.")</f>
        <v>I am satisfied with the offer made to me.
Proposals and exchanges are of good quality.
The advisor I had on the phone is listening to the questions you can ask and the answers are clear.</v>
      </c>
    </row>
    <row r="856" ht="15.75" customHeight="1">
      <c r="A856" s="2">
        <v>1.0</v>
      </c>
      <c r="B856" s="2" t="s">
        <v>2361</v>
      </c>
      <c r="C856" s="2" t="s">
        <v>2362</v>
      </c>
      <c r="D856" s="2" t="s">
        <v>1597</v>
      </c>
      <c r="E856" s="2" t="s">
        <v>79</v>
      </c>
      <c r="F856" s="2" t="s">
        <v>15</v>
      </c>
      <c r="G856" s="2" t="s">
        <v>2363</v>
      </c>
      <c r="H856" s="2" t="s">
        <v>926</v>
      </c>
      <c r="I856" s="2" t="str">
        <f>IFERROR(__xludf.DUMMYFUNCTION("GOOGLETRANSLATE(C856,""fr"",""en"")"),"It had been 2 years since I had a motorcycle insurance contract with them.
Already being insured in has been a ordeal by because I am a bad driver. But because they are not aware of the A2 license and the laws surrounding it. Suffice to say that with m"&amp;"y 34kW CB500F but in MTT2, a real galley.
The other point I have to blame them is their rigor. Although he received my gray card in their hands, they could not find the right model (and he blames me after 2 years).
And finally, the price. I thought "&amp;"that with their lowcost poster, I will still find an excellent value for money in this company. Suffice to say, that I inquired with classic insurance, they today offer better services for lower prices")</f>
        <v>It had been 2 years since I had a motorcycle insurance contract with them.
Already being insured in has been a ordeal by because I am a bad driver. But because they are not aware of the A2 license and the laws surrounding it. Suffice to say that with my 34kW CB500F but in MTT2, a real galley.
The other point I have to blame them is their rigor. Although he received my gray card in their hands, they could not find the right model (and he blames me after 2 years).
And finally, the price. I thought that with their lowcost poster, I will still find an excellent value for money in this company. Suffice to say, that I inquired with classic insurance, they today offer better services for lower prices</v>
      </c>
    </row>
    <row r="857" ht="15.75" customHeight="1">
      <c r="A857" s="2">
        <v>1.0</v>
      </c>
      <c r="B857" s="2" t="s">
        <v>2364</v>
      </c>
      <c r="C857" s="2" t="s">
        <v>2365</v>
      </c>
      <c r="D857" s="2" t="s">
        <v>891</v>
      </c>
      <c r="E857" s="2" t="s">
        <v>79</v>
      </c>
      <c r="F857" s="2" t="s">
        <v>15</v>
      </c>
      <c r="G857" s="2" t="s">
        <v>843</v>
      </c>
      <c r="H857" s="2" t="s">
        <v>23</v>
      </c>
      <c r="I857" s="2" t="str">
        <f>IFERROR(__xludf.DUMMYFUNCTION("GOOGLETRANSLATE(C857,""fr"",""en"")"),"Surprise by receiving my new schedule, increase of € 6 per month for 50% bonuses no claim and of course 6 months in 2020 during which the motorcycle did not move from the garage.
Thank you and aptly the mutual of bikers !!!")</f>
        <v>Surprise by receiving my new schedule, increase of € 6 per month for 50% bonuses no claim and of course 6 months in 2020 during which the motorcycle did not move from the garage.
Thank you and aptly the mutual of bikers !!!</v>
      </c>
    </row>
    <row r="858" ht="15.75" customHeight="1">
      <c r="A858" s="2">
        <v>2.0</v>
      </c>
      <c r="B858" s="2" t="s">
        <v>2366</v>
      </c>
      <c r="C858" s="2" t="s">
        <v>2367</v>
      </c>
      <c r="D858" s="2" t="s">
        <v>142</v>
      </c>
      <c r="E858" s="2" t="s">
        <v>207</v>
      </c>
      <c r="F858" s="2" t="s">
        <v>15</v>
      </c>
      <c r="G858" s="2" t="s">
        <v>2368</v>
      </c>
      <c r="H858" s="2" t="s">
        <v>317</v>
      </c>
      <c r="I858" s="2" t="str">
        <f>IFERROR(__xludf.DUMMYFUNCTION("GOOGLETRANSLATE(C858,""fr"",""en"")"),"Insurance to flee, customer advisers are desperate in this service, according to the advisor you have on the end the answer will be different from one advisor to another and what to say agencies .... incompetence must be there A hiring criterion. The Maci"&amp;"f is much more quick to send you formal notice than to reimburse you the amounts due.")</f>
        <v>Insurance to flee, customer advisers are desperate in this service, according to the advisor you have on the end the answer will be different from one advisor to another and what to say agencies .... incompetence must be there A hiring criterion. The Macif is much more quick to send you formal notice than to reimburse you the amounts due.</v>
      </c>
    </row>
    <row r="859" ht="15.75" customHeight="1">
      <c r="A859" s="2">
        <v>2.0</v>
      </c>
      <c r="B859" s="2" t="s">
        <v>2369</v>
      </c>
      <c r="C859" s="2" t="s">
        <v>2370</v>
      </c>
      <c r="D859" s="2" t="s">
        <v>68</v>
      </c>
      <c r="E859" s="2" t="s">
        <v>14</v>
      </c>
      <c r="F859" s="2" t="s">
        <v>15</v>
      </c>
      <c r="G859" s="2" t="s">
        <v>22</v>
      </c>
      <c r="H859" s="2" t="s">
        <v>23</v>
      </c>
      <c r="I859" s="2" t="str">
        <f>IFERROR(__xludf.DUMMYFUNCTION("GOOGLETRANSLATE(C859,""fr"",""en"")"),"On the other hand the girl Iman who replied to my call today on 03/11/2021 was competent, kind and understandable, on the other hand the people who had to answer me Mr Jeremy and Mr Frederic did not even lift the little one must answer me .")</f>
        <v>On the other hand the girl Iman who replied to my call today on 03/11/2021 was competent, kind and understandable, on the other hand the people who had to answer me Mr Jeremy and Mr Frederic did not even lift the little one must answer me .</v>
      </c>
    </row>
    <row r="860" ht="15.75" customHeight="1">
      <c r="A860" s="2">
        <v>5.0</v>
      </c>
      <c r="B860" s="2" t="s">
        <v>2371</v>
      </c>
      <c r="C860" s="2" t="s">
        <v>2372</v>
      </c>
      <c r="D860" s="2" t="s">
        <v>277</v>
      </c>
      <c r="E860" s="2" t="s">
        <v>21</v>
      </c>
      <c r="F860" s="2" t="s">
        <v>15</v>
      </c>
      <c r="G860" s="2" t="s">
        <v>2373</v>
      </c>
      <c r="H860" s="2" t="s">
        <v>186</v>
      </c>
      <c r="I860" s="2" t="str">
        <f>IFERROR(__xludf.DUMMYFUNCTION("GOOGLETRANSLATE(C860,""fr"",""en"")"),"Hello everyone I am like Babet surprised with all these negative comments for my part made several years that I am at the maaf for all of my goods and frankly to be very very satisfied I had a sinister accident etc the quality of the quality of customer s"&amp;"ervice is perfect I have never had to complain about the maaf
But believe me I also know how to say when it is not going and the for my part is not the case especially that my daughter will soon pass her license and in turn will be part of the maaf voila"&amp;" everything is said")</f>
        <v>Hello everyone I am like Babet surprised with all these negative comments for my part made several years that I am at the maaf for all of my goods and frankly to be very very satisfied I had a sinister accident etc the quality of the quality of customer service is perfect I have never had to complain about the maaf
But believe me I also know how to say when it is not going and the for my part is not the case especially that my daughter will soon pass her license and in turn will be part of the maaf voila everything is said</v>
      </c>
    </row>
    <row r="861" ht="15.75" customHeight="1">
      <c r="A861" s="2">
        <v>3.0</v>
      </c>
      <c r="B861" s="2" t="s">
        <v>2374</v>
      </c>
      <c r="C861" s="2" t="s">
        <v>2375</v>
      </c>
      <c r="D861" s="2" t="s">
        <v>68</v>
      </c>
      <c r="E861" s="2" t="s">
        <v>14</v>
      </c>
      <c r="F861" s="2" t="s">
        <v>15</v>
      </c>
      <c r="G861" s="2" t="s">
        <v>2376</v>
      </c>
      <c r="H861" s="2" t="s">
        <v>290</v>
      </c>
      <c r="I861" s="2" t="str">
        <f>IFERROR(__xludf.DUMMYFUNCTION("GOOGLETRANSLATE(C861,""fr"",""en"")"),"Better guaranteed/price ratio, best guaranteed/price ratio ...")</f>
        <v>Better guaranteed/price ratio, best guaranteed/price ratio ...</v>
      </c>
    </row>
    <row r="862" ht="15.75" customHeight="1">
      <c r="A862" s="2">
        <v>2.0</v>
      </c>
      <c r="B862" s="2" t="s">
        <v>2377</v>
      </c>
      <c r="C862" s="2" t="s">
        <v>2378</v>
      </c>
      <c r="D862" s="2" t="s">
        <v>78</v>
      </c>
      <c r="E862" s="2" t="s">
        <v>79</v>
      </c>
      <c r="F862" s="2" t="s">
        <v>15</v>
      </c>
      <c r="G862" s="2" t="s">
        <v>706</v>
      </c>
      <c r="H862" s="2" t="s">
        <v>139</v>
      </c>
      <c r="I862" s="2" t="str">
        <f>IFERROR(__xludf.DUMMYFUNCTION("GOOGLETRANSLATE(C862,""fr"",""en"")"),"Perfect responsiveness. Slightly high price for a 50cc
First time with this insurance
Business
                                                                            ")</f>
        <v>Perfect responsiveness. Slightly high price for a 50cc
First time with this insurance
Business
                                                                            </v>
      </c>
    </row>
    <row r="863" ht="15.75" customHeight="1">
      <c r="A863" s="2">
        <v>4.0</v>
      </c>
      <c r="B863" s="2" t="s">
        <v>2379</v>
      </c>
      <c r="C863" s="2" t="s">
        <v>2380</v>
      </c>
      <c r="D863" s="2" t="s">
        <v>87</v>
      </c>
      <c r="E863" s="2" t="s">
        <v>79</v>
      </c>
      <c r="F863" s="2" t="s">
        <v>15</v>
      </c>
      <c r="G863" s="2" t="s">
        <v>89</v>
      </c>
      <c r="H863" s="2" t="s">
        <v>89</v>
      </c>
      <c r="I863" s="2" t="str">
        <f>IFERROR(__xludf.DUMMYFUNCTION("GOOGLETRANSLATE(C863,""fr"",""en"")"),"Very fast to make the quote and super simple
at the rate level the customer is still looking for cheaper but overall it goes
Good luck to the whole team
")</f>
        <v>Very fast to make the quote and super simple
at the rate level the customer is still looking for cheaper but overall it goes
Good luck to the whole team
</v>
      </c>
    </row>
    <row r="864" ht="15.75" customHeight="1">
      <c r="A864" s="2">
        <v>3.0</v>
      </c>
      <c r="B864" s="2" t="s">
        <v>2381</v>
      </c>
      <c r="C864" s="2" t="s">
        <v>2382</v>
      </c>
      <c r="D864" s="2" t="s">
        <v>40</v>
      </c>
      <c r="E864" s="2" t="s">
        <v>14</v>
      </c>
      <c r="F864" s="2" t="s">
        <v>15</v>
      </c>
      <c r="G864" s="2" t="s">
        <v>253</v>
      </c>
      <c r="H864" s="2" t="s">
        <v>178</v>
      </c>
      <c r="I864" s="2" t="str">
        <f>IFERROR(__xludf.DUMMYFUNCTION("GOOGLETRANSLATE(C864,""fr"",""en"")"),"I am satisfied even if I have encountered some problems with the MGP during it is 21 years.
Good listening in general
Regarding the slightly high price but not too much choice with government guidelines")</f>
        <v>I am satisfied even if I have encountered some problems with the MGP during it is 21 years.
Good listening in general
Regarding the slightly high price but not too much choice with government guidelines</v>
      </c>
    </row>
    <row r="865" ht="15.75" customHeight="1">
      <c r="A865" s="2">
        <v>4.0</v>
      </c>
      <c r="B865" s="2" t="s">
        <v>2383</v>
      </c>
      <c r="C865" s="2" t="s">
        <v>2384</v>
      </c>
      <c r="D865" s="2" t="s">
        <v>20</v>
      </c>
      <c r="E865" s="2" t="s">
        <v>21</v>
      </c>
      <c r="F865" s="2" t="s">
        <v>15</v>
      </c>
      <c r="G865" s="2" t="s">
        <v>497</v>
      </c>
      <c r="H865" s="2" t="s">
        <v>89</v>
      </c>
      <c r="I865" s="2" t="str">
        <f>IFERROR(__xludf.DUMMYFUNCTION("GOOGLETRANSLATE(C865,""fr"",""en"")"),"Same guarantees to save + 200 euros compared to my current insurance.
Contract subscribed by internet in 15 min!
Fast and effective  ..
")</f>
        <v>Same guarantees to save + 200 euros compared to my current insurance.
Contract subscribed by internet in 15 min!
Fast and effective  ..
</v>
      </c>
    </row>
    <row r="866" ht="15.75" customHeight="1">
      <c r="A866" s="2">
        <v>5.0</v>
      </c>
      <c r="B866" s="2" t="s">
        <v>2385</v>
      </c>
      <c r="C866" s="2" t="s">
        <v>2386</v>
      </c>
      <c r="D866" s="2" t="s">
        <v>13</v>
      </c>
      <c r="E866" s="2" t="s">
        <v>14</v>
      </c>
      <c r="F866" s="2" t="s">
        <v>15</v>
      </c>
      <c r="G866" s="2" t="s">
        <v>2387</v>
      </c>
      <c r="H866" s="2" t="s">
        <v>576</v>
      </c>
      <c r="I866" s="2" t="str">
        <f>IFERROR(__xludf.DUMMYFUNCTION("GOOGLETRANSLATE(C866,""fr"",""en"")"),"real professionals. For 6 years I have been doing my contracts with them every year I redo the point with them and each time a complete assistance thank you")</f>
        <v>real professionals. For 6 years I have been doing my contracts with them every year I redo the point with them and each time a complete assistance thank you</v>
      </c>
    </row>
    <row r="867" ht="15.75" customHeight="1">
      <c r="A867" s="2">
        <v>4.0</v>
      </c>
      <c r="B867" s="2" t="s">
        <v>2388</v>
      </c>
      <c r="C867" s="2" t="s">
        <v>2389</v>
      </c>
      <c r="D867" s="2" t="s">
        <v>64</v>
      </c>
      <c r="E867" s="2" t="s">
        <v>21</v>
      </c>
      <c r="F867" s="2" t="s">
        <v>15</v>
      </c>
      <c r="G867" s="2" t="s">
        <v>307</v>
      </c>
      <c r="H867" s="2" t="s">
        <v>23</v>
      </c>
      <c r="I867" s="2" t="str">
        <f>IFERROR(__xludf.DUMMYFUNCTION("GOOGLETRANSLATE(C867,""fr"",""en"")"),"For the moment I am satisfied. Reasonable price, insurers are attentive to our requests. I hope to continue to be positively surprised by this insurance!")</f>
        <v>For the moment I am satisfied. Reasonable price, insurers are attentive to our requests. I hope to continue to be positively surprised by this insurance!</v>
      </c>
    </row>
    <row r="868" ht="15.75" customHeight="1">
      <c r="A868" s="2">
        <v>5.0</v>
      </c>
      <c r="B868" s="2" t="s">
        <v>2390</v>
      </c>
      <c r="C868" s="2" t="s">
        <v>2391</v>
      </c>
      <c r="D868" s="2" t="s">
        <v>20</v>
      </c>
      <c r="E868" s="2" t="s">
        <v>21</v>
      </c>
      <c r="F868" s="2" t="s">
        <v>15</v>
      </c>
      <c r="G868" s="2" t="s">
        <v>376</v>
      </c>
      <c r="H868" s="2" t="s">
        <v>23</v>
      </c>
      <c r="I868" s="2" t="str">
        <f>IFERROR(__xludf.DUMMYFUNCTION("GOOGLETRANSLATE(C868,""fr"",""en"")"),"Easy to use for a confirmed.
No commission; nor file fees:
Honest insurance: Covering price Insurance: Corrects
I recommend: Direct insurance.")</f>
        <v>Easy to use for a confirmed.
No commission; nor file fees:
Honest insurance: Covering price Insurance: Corrects
I recommend: Direct insurance.</v>
      </c>
    </row>
    <row r="869" ht="15.75" customHeight="1">
      <c r="A869" s="2">
        <v>2.0</v>
      </c>
      <c r="B869" s="2" t="s">
        <v>2392</v>
      </c>
      <c r="C869" s="2" t="s">
        <v>2393</v>
      </c>
      <c r="D869" s="2" t="s">
        <v>523</v>
      </c>
      <c r="E869" s="2" t="s">
        <v>450</v>
      </c>
      <c r="F869" s="2" t="s">
        <v>15</v>
      </c>
      <c r="G869" s="2" t="s">
        <v>978</v>
      </c>
      <c r="H869" s="2" t="s">
        <v>139</v>
      </c>
      <c r="I869" s="2" t="str">
        <f>IFERROR(__xludf.DUMMYFUNCTION("GOOGLETRANSLATE(C869,""fr"",""en"")"),"Once the contract is signed useless to assert your rights ... I have been waiting for my gift vouchers for their sponsorship for 7 months. They have been talking about internal problems for 7 months, computer bug, need to resume contracts by hand, hiring "&amp;"an engineer to solve the technical problem, in short to validate your contract no computer concern but when it comes to switching to Care there is no one left ... go your way")</f>
        <v>Once the contract is signed useless to assert your rights ... I have been waiting for my gift vouchers for their sponsorship for 7 months. They have been talking about internal problems for 7 months, computer bug, need to resume contracts by hand, hiring an engineer to solve the technical problem, in short to validate your contract no computer concern but when it comes to switching to Care there is no one left ... go your way</v>
      </c>
    </row>
    <row r="870" ht="15.75" customHeight="1">
      <c r="A870" s="2">
        <v>1.0</v>
      </c>
      <c r="B870" s="2" t="s">
        <v>2394</v>
      </c>
      <c r="C870" s="2" t="s">
        <v>2395</v>
      </c>
      <c r="D870" s="2" t="s">
        <v>20</v>
      </c>
      <c r="E870" s="2" t="s">
        <v>21</v>
      </c>
      <c r="F870" s="2" t="s">
        <v>15</v>
      </c>
      <c r="G870" s="2" t="s">
        <v>849</v>
      </c>
      <c r="H870" s="2" t="s">
        <v>70</v>
      </c>
      <c r="I870" s="2" t="str">
        <f>IFERROR(__xludf.DUMMYFUNCTION("GOOGLETRANSLATE(C870,""fr"",""en"")"),"well at the start and then Direct Assurance increases its prices
Example for my vehicle: 8 euros / month
Calculate: by 12 months = 100 euros
Housing: 2 euros / month")</f>
        <v>well at the start and then Direct Assurance increases its prices
Example for my vehicle: 8 euros / month
Calculate: by 12 months = 100 euros
Housing: 2 euros / month</v>
      </c>
    </row>
    <row r="871" ht="15.75" customHeight="1">
      <c r="A871" s="2">
        <v>1.0</v>
      </c>
      <c r="B871" s="2" t="s">
        <v>2396</v>
      </c>
      <c r="C871" s="2" t="s">
        <v>2397</v>
      </c>
      <c r="D871" s="2" t="s">
        <v>206</v>
      </c>
      <c r="E871" s="2" t="s">
        <v>21</v>
      </c>
      <c r="F871" s="2" t="s">
        <v>15</v>
      </c>
      <c r="G871" s="2" t="s">
        <v>2398</v>
      </c>
      <c r="H871" s="2" t="s">
        <v>290</v>
      </c>
      <c r="I871" s="2" t="str">
        <f>IFERROR(__xludf.DUMMYFUNCTION("GOOGLETRANSLATE(C871,""fr"",""en"")"),"I have just received a maif letter which terminates all my contracts on the grounds of ""bad customer relations"" in fact I had three claims, two of which for which I was for nothing.
I am in a situation of Dennet and I would never have believed that ""a"&amp;"ctivist"" insurance could throw members at the slightest claim.
")</f>
        <v>I have just received a maif letter which terminates all my contracts on the grounds of "bad customer relations" in fact I had three claims, two of which for which I was for nothing.
I am in a situation of Dennet and I would never have believed that "activist" insurance could throw members at the slightest claim.
</v>
      </c>
    </row>
    <row r="872" ht="15.75" customHeight="1">
      <c r="A872" s="2">
        <v>2.0</v>
      </c>
      <c r="B872" s="2" t="s">
        <v>2399</v>
      </c>
      <c r="C872" s="2" t="s">
        <v>2400</v>
      </c>
      <c r="D872" s="2" t="s">
        <v>709</v>
      </c>
      <c r="E872" s="2" t="s">
        <v>14</v>
      </c>
      <c r="F872" s="2" t="s">
        <v>15</v>
      </c>
      <c r="G872" s="2" t="s">
        <v>2401</v>
      </c>
      <c r="H872" s="2" t="s">
        <v>888</v>
      </c>
      <c r="I872" s="2" t="str">
        <f>IFERROR(__xludf.DUMMYFUNCTION("GOOGLETRANSLATE(C872,""fr"",""en"")"),"Run away! Each question in customer service requires several revival and reformulation to have, sometimes, a answer after several weeks, even months! Many successive errors on my file.")</f>
        <v>Run away! Each question in customer service requires several revival and reformulation to have, sometimes, a answer after several weeks, even months! Many successive errors on my file.</v>
      </c>
    </row>
    <row r="873" ht="15.75" customHeight="1">
      <c r="A873" s="2">
        <v>3.0</v>
      </c>
      <c r="B873" s="2" t="s">
        <v>2402</v>
      </c>
      <c r="C873" s="2" t="s">
        <v>2403</v>
      </c>
      <c r="D873" s="2" t="s">
        <v>20</v>
      </c>
      <c r="E873" s="2" t="s">
        <v>21</v>
      </c>
      <c r="F873" s="2" t="s">
        <v>15</v>
      </c>
      <c r="G873" s="2" t="s">
        <v>765</v>
      </c>
      <c r="H873" s="2" t="s">
        <v>23</v>
      </c>
      <c r="I873" s="2" t="str">
        <f>IFERROR(__xludf.DUMMYFUNCTION("GOOGLETRANSLATE(C873,""fr"",""en"")"),"I am satisfied with services and responsiveness but I find that I pay dear more the years spend more I feel like paying dear, I will just make quotes elsewhere to compare")</f>
        <v>I am satisfied with services and responsiveness but I find that I pay dear more the years spend more I feel like paying dear, I will just make quotes elsewhere to compare</v>
      </c>
    </row>
    <row r="874" ht="15.75" customHeight="1">
      <c r="A874" s="2">
        <v>4.0</v>
      </c>
      <c r="B874" s="2" t="s">
        <v>2404</v>
      </c>
      <c r="C874" s="2" t="s">
        <v>2405</v>
      </c>
      <c r="D874" s="2" t="s">
        <v>13</v>
      </c>
      <c r="E874" s="2" t="s">
        <v>14</v>
      </c>
      <c r="F874" s="2" t="s">
        <v>15</v>
      </c>
      <c r="G874" s="2" t="s">
        <v>2406</v>
      </c>
      <c r="H874" s="2" t="s">
        <v>1570</v>
      </c>
      <c r="I874" s="2" t="str">
        <f>IFERROR(__xludf.DUMMYFUNCTION("GOOGLETRANSLATE(C874,""fr"",""en"")"),"Waiting time satisfactory reception very pleasant Alicia is very kind very professional very competent her answers are clear and complete 10/10 for Alicia")</f>
        <v>Waiting time satisfactory reception very pleasant Alicia is very kind very professional very competent her answers are clear and complete 10/10 for Alicia</v>
      </c>
    </row>
    <row r="875" ht="15.75" customHeight="1">
      <c r="A875" s="2">
        <v>2.0</v>
      </c>
      <c r="B875" s="2" t="s">
        <v>2407</v>
      </c>
      <c r="C875" s="2" t="s">
        <v>2408</v>
      </c>
      <c r="D875" s="2" t="s">
        <v>563</v>
      </c>
      <c r="E875" s="2" t="s">
        <v>207</v>
      </c>
      <c r="F875" s="2" t="s">
        <v>15</v>
      </c>
      <c r="G875" s="2" t="s">
        <v>2409</v>
      </c>
      <c r="H875" s="2" t="s">
        <v>116</v>
      </c>
      <c r="I875" s="2" t="str">
        <f>IFERROR(__xludf.DUMMYFUNCTION("GOOGLETRANSLATE(C875,""fr"",""en"")"),"Expert came from an EDF overvoltage it was useless he cannot quantify the damage, it's me to manage to make quotes is not normal")</f>
        <v>Expert came from an EDF overvoltage it was useless he cannot quantify the damage, it's me to manage to make quotes is not normal</v>
      </c>
    </row>
    <row r="876" ht="15.75" customHeight="1">
      <c r="A876" s="2">
        <v>5.0</v>
      </c>
      <c r="B876" s="2" t="s">
        <v>2410</v>
      </c>
      <c r="C876" s="2" t="s">
        <v>2411</v>
      </c>
      <c r="D876" s="2" t="s">
        <v>87</v>
      </c>
      <c r="E876" s="2" t="s">
        <v>79</v>
      </c>
      <c r="F876" s="2" t="s">
        <v>15</v>
      </c>
      <c r="G876" s="2" t="s">
        <v>149</v>
      </c>
      <c r="H876" s="2" t="s">
        <v>139</v>
      </c>
      <c r="I876" s="2" t="str">
        <f>IFERROR(__xludf.DUMMYFUNCTION("GOOGLETRANSLATE(C876,""fr"",""en"")"),"very satisfied, both on the price and on customer relationships
I currently have 3 vehicles insured at AMV
I will recommend you with pleasure")</f>
        <v>very satisfied, both on the price and on customer relationships
I currently have 3 vehicles insured at AMV
I will recommend you with pleasure</v>
      </c>
    </row>
    <row r="877" ht="15.75" customHeight="1">
      <c r="A877" s="2">
        <v>3.0</v>
      </c>
      <c r="B877" s="2" t="s">
        <v>2412</v>
      </c>
      <c r="C877" s="2" t="s">
        <v>2413</v>
      </c>
      <c r="D877" s="2" t="s">
        <v>68</v>
      </c>
      <c r="E877" s="2" t="s">
        <v>14</v>
      </c>
      <c r="F877" s="2" t="s">
        <v>15</v>
      </c>
      <c r="G877" s="2" t="s">
        <v>1098</v>
      </c>
      <c r="H877" s="2" t="s">
        <v>89</v>
      </c>
      <c r="I877" s="2" t="str">
        <f>IFERROR(__xludf.DUMMYFUNCTION("GOOGLETRANSLATE(C877,""fr"",""en"")"),"Telephone exchange with very friendly and effective Maria, the small errors should go back to normal. Thank you to her for her welcome and the care and the explanations in relation to my request.")</f>
        <v>Telephone exchange with very friendly and effective Maria, the small errors should go back to normal. Thank you to her for her welcome and the care and the explanations in relation to my request.</v>
      </c>
    </row>
    <row r="878" ht="15.75" customHeight="1">
      <c r="A878" s="2">
        <v>4.0</v>
      </c>
      <c r="B878" s="2" t="s">
        <v>2414</v>
      </c>
      <c r="C878" s="2" t="s">
        <v>2415</v>
      </c>
      <c r="D878" s="2" t="s">
        <v>64</v>
      </c>
      <c r="E878" s="2" t="s">
        <v>21</v>
      </c>
      <c r="F878" s="2" t="s">
        <v>15</v>
      </c>
      <c r="G878" s="2" t="s">
        <v>2416</v>
      </c>
      <c r="H878" s="2" t="s">
        <v>70</v>
      </c>
      <c r="I878" s="2" t="str">
        <f>IFERROR(__xludf.DUMMYFUNCTION("GOOGLETRANSLATE(C878,""fr"",""en"")"),"Promptness, professionalism. I appreciated the price, the conditions offered, I hope to have a long and good collaboration. I'm going to talk to my antourage.")</f>
        <v>Promptness, professionalism. I appreciated the price, the conditions offered, I hope to have a long and good collaboration. I'm going to talk to my antourage.</v>
      </c>
    </row>
    <row r="879" ht="15.75" customHeight="1">
      <c r="A879" s="2">
        <v>1.0</v>
      </c>
      <c r="B879" s="2" t="s">
        <v>2417</v>
      </c>
      <c r="C879" s="2" t="s">
        <v>2418</v>
      </c>
      <c r="D879" s="2" t="s">
        <v>277</v>
      </c>
      <c r="E879" s="2" t="s">
        <v>21</v>
      </c>
      <c r="F879" s="2" t="s">
        <v>15</v>
      </c>
      <c r="G879" s="2" t="s">
        <v>2419</v>
      </c>
      <c r="H879" s="2" t="s">
        <v>468</v>
      </c>
      <c r="I879" s="2" t="str">
        <f>IFERROR(__xludf.DUMMYFUNCTION("GOOGLETRANSLATE(C879,""fr"",""en"")"),"I am disappointed with this insurance, the captures are expensive for lower ganranties compared to other insurance. In addition, customer service does not always answer the phone.")</f>
        <v>I am disappointed with this insurance, the captures are expensive for lower ganranties compared to other insurance. In addition, customer service does not always answer the phone.</v>
      </c>
    </row>
    <row r="880" ht="15.75" customHeight="1">
      <c r="A880" s="2">
        <v>5.0</v>
      </c>
      <c r="B880" s="2" t="s">
        <v>2420</v>
      </c>
      <c r="C880" s="2" t="s">
        <v>2421</v>
      </c>
      <c r="D880" s="2" t="s">
        <v>87</v>
      </c>
      <c r="E880" s="2" t="s">
        <v>79</v>
      </c>
      <c r="F880" s="2" t="s">
        <v>15</v>
      </c>
      <c r="G880" s="2" t="s">
        <v>852</v>
      </c>
      <c r="H880" s="2" t="s">
        <v>89</v>
      </c>
      <c r="I880" s="2" t="str">
        <f>IFERROR(__xludf.DUMMYFUNCTION("GOOGLETRANSLATE(C880,""fr"",""en"")"),"Secure site well informed and competitive price, I am delighted to be insured at home, I highly recommend this 2 -wheel insurance, join AMV without hesitation you will not regret these insured")</f>
        <v>Secure site well informed and competitive price, I am delighted to be insured at home, I highly recommend this 2 -wheel insurance, join AMV without hesitation you will not regret these insured</v>
      </c>
    </row>
    <row r="881" ht="15.75" customHeight="1">
      <c r="A881" s="2">
        <v>2.0</v>
      </c>
      <c r="B881" s="2" t="s">
        <v>2422</v>
      </c>
      <c r="C881" s="2" t="s">
        <v>2423</v>
      </c>
      <c r="D881" s="2" t="s">
        <v>206</v>
      </c>
      <c r="E881" s="2" t="s">
        <v>207</v>
      </c>
      <c r="F881" s="2" t="s">
        <v>15</v>
      </c>
      <c r="G881" s="2" t="s">
        <v>36</v>
      </c>
      <c r="H881" s="2" t="s">
        <v>37</v>
      </c>
      <c r="I881" s="2" t="str">
        <f>IFERROR(__xludf.DUMMYFUNCTION("GOOGLETRANSLATE(C881,""fr"",""en"")"),"Insured owner owner and insured MAIF for 20 years .. I will leave this insurance because refusal to compensate a deterioration caused by my tenant. Bethody in support I had to wait 2 months of telephone calls to staff incompetent .. the maif takes refuge "&amp;"behind false allegations so as not to help the insured. The file is not followed by serious staff .. it is purely a shame ... the maif is an assurance to flee or never to contract.")</f>
        <v>Insured owner owner and insured MAIF for 20 years .. I will leave this insurance because refusal to compensate a deterioration caused by my tenant. Bethody in support I had to wait 2 months of telephone calls to staff incompetent .. the maif takes refuge behind false allegations so as not to help the insured. The file is not followed by serious staff .. it is purely a shame ... the maif is an assurance to flee or never to contract.</v>
      </c>
    </row>
    <row r="882" ht="15.75" customHeight="1">
      <c r="A882" s="2">
        <v>1.0</v>
      </c>
      <c r="B882" s="2" t="s">
        <v>2424</v>
      </c>
      <c r="C882" s="2" t="s">
        <v>2425</v>
      </c>
      <c r="D882" s="2" t="s">
        <v>200</v>
      </c>
      <c r="E882" s="2" t="s">
        <v>21</v>
      </c>
      <c r="F882" s="2" t="s">
        <v>15</v>
      </c>
      <c r="G882" s="2" t="s">
        <v>1798</v>
      </c>
      <c r="H882" s="2" t="s">
        <v>439</v>
      </c>
      <c r="I882" s="2" t="str">
        <f>IFERROR(__xludf.DUMMYFUNCTION("GOOGLETRANSLATE(C882,""fr"",""en"")"),"It has been 1 month since I can't connect to my customer area even after having changed the password several times always! I of course contact customer service but 0 amazing response when I saw the speed they showed during my sole discharge. Suddenly I pu"&amp;"t a little opinion here because it is the unfortunately that I have the most chance of obtaining an answer ...")</f>
        <v>It has been 1 month since I can't connect to my customer area even after having changed the password several times always! I of course contact customer service but 0 amazing response when I saw the speed they showed during my sole discharge. Suddenly I put a little opinion here because it is the unfortunately that I have the most chance of obtaining an answer ...</v>
      </c>
    </row>
    <row r="883" ht="15.75" customHeight="1">
      <c r="A883" s="2">
        <v>1.0</v>
      </c>
      <c r="B883" s="2" t="s">
        <v>2426</v>
      </c>
      <c r="C883" s="2" t="s">
        <v>2427</v>
      </c>
      <c r="D883" s="2" t="s">
        <v>20</v>
      </c>
      <c r="E883" s="2" t="s">
        <v>21</v>
      </c>
      <c r="F883" s="2" t="s">
        <v>15</v>
      </c>
      <c r="G883" s="2" t="s">
        <v>1047</v>
      </c>
      <c r="H883" s="2" t="s">
        <v>70</v>
      </c>
      <c r="I883" s="2" t="str">
        <f>IFERROR(__xludf.DUMMYFUNCTION("GOOGLETRANSLATE(C883,""fr"",""en"")"),"Nullissimo site, give me peace with your investigations; Impossible to obtain a poor duplicate, we are lugged from one page to another without logiqaue. NO")</f>
        <v>Nullissimo site, give me peace with your investigations; Impossible to obtain a poor duplicate, we are lugged from one page to another without logiqaue. NO</v>
      </c>
    </row>
    <row r="884" ht="15.75" customHeight="1">
      <c r="A884" s="2">
        <v>1.0</v>
      </c>
      <c r="B884" s="2" t="s">
        <v>2428</v>
      </c>
      <c r="C884" s="2" t="s">
        <v>2429</v>
      </c>
      <c r="D884" s="2" t="s">
        <v>206</v>
      </c>
      <c r="E884" s="2" t="s">
        <v>21</v>
      </c>
      <c r="F884" s="2" t="s">
        <v>15</v>
      </c>
      <c r="G884" s="2" t="s">
        <v>2430</v>
      </c>
      <c r="H884" s="2" t="s">
        <v>32</v>
      </c>
      <c r="I884" s="2" t="str">
        <f>IFERROR(__xludf.DUMMYFUNCTION("GOOGLETRANSLATE(C884,""fr"",""en"")"),"Hello dear insured maif or future maif,
Following a flight from a catalytic pot, the Maif expert fixed the amount of the part at € 840 including tax. The real price observed among suppliers is around 150 to 200 €. In addition on the expert report, he off"&amp;"ers to replace it with a used piece when it is a wear part. It's up to you to do your opinion on the seriousness of this company :)
At first we had 4 vehicles, motorcycle plus house and apartment insured at home. Now there are only 2 cars left and soon n"&amp;"othing at all!
Among competitors, any risk with more guarantees is lower than a 1/3 at home, looking for the error.")</f>
        <v>Hello dear insured maif or future maif,
Following a flight from a catalytic pot, the Maif expert fixed the amount of the part at € 840 including tax. The real price observed among suppliers is around 150 to 200 €. In addition on the expert report, he offers to replace it with a used piece when it is a wear part. It's up to you to do your opinion on the seriousness of this company :)
At first we had 4 vehicles, motorcycle plus house and apartment insured at home. Now there are only 2 cars left and soon nothing at all!
Among competitors, any risk with more guarantees is lower than a 1/3 at home, looking for the error.</v>
      </c>
    </row>
    <row r="885" ht="15.75" customHeight="1">
      <c r="A885" s="2">
        <v>1.0</v>
      </c>
      <c r="B885" s="2" t="s">
        <v>2431</v>
      </c>
      <c r="C885" s="2" t="s">
        <v>2432</v>
      </c>
      <c r="D885" s="2" t="s">
        <v>78</v>
      </c>
      <c r="E885" s="2" t="s">
        <v>79</v>
      </c>
      <c r="F885" s="2" t="s">
        <v>15</v>
      </c>
      <c r="G885" s="2" t="s">
        <v>2433</v>
      </c>
      <c r="H885" s="2" t="s">
        <v>89</v>
      </c>
      <c r="I885" s="2" t="str">
        <f>IFERROR(__xludf.DUMMYFUNCTION("GOOGLETRANSLATE(C885,""fr"",""en"")"),"Prices are expensive for a person with 4 years of license anyway. At the more affordable price request. For a young student it is still a little expensive")</f>
        <v>Prices are expensive for a person with 4 years of license anyway. At the more affordable price request. For a young student it is still a little expensive</v>
      </c>
    </row>
    <row r="886" ht="15.75" customHeight="1">
      <c r="A886" s="2">
        <v>1.0</v>
      </c>
      <c r="B886" s="2" t="s">
        <v>2434</v>
      </c>
      <c r="C886" s="2" t="s">
        <v>2435</v>
      </c>
      <c r="D886" s="2" t="s">
        <v>437</v>
      </c>
      <c r="E886" s="2" t="s">
        <v>79</v>
      </c>
      <c r="F886" s="2" t="s">
        <v>15</v>
      </c>
      <c r="G886" s="2" t="s">
        <v>586</v>
      </c>
      <c r="H886" s="2" t="s">
        <v>186</v>
      </c>
      <c r="I886" s="2" t="str">
        <f>IFERROR(__xludf.DUMMYFUNCTION("GOOGLETRANSLATE(C886,""fr"",""en"")"),"This is almost a year after my disaster. Refusal on the part of the insurance to reimburse me because ""too long deadlines and too large security fees"". Deadlines which are attributed to me while insurance opened the claim 12 days after my online declara"&amp;"tion then did not send the documents to the right address.
Catrastrophic, does not recommend.")</f>
        <v>This is almost a year after my disaster. Refusal on the part of the insurance to reimburse me because "too long deadlines and too large security fees". Deadlines which are attributed to me while insurance opened the claim 12 days after my online declaration then did not send the documents to the right address.
Catrastrophic, does not recommend.</v>
      </c>
    </row>
    <row r="887" ht="15.75" customHeight="1">
      <c r="A887" s="2">
        <v>2.0</v>
      </c>
      <c r="B887" s="2" t="s">
        <v>2436</v>
      </c>
      <c r="C887" s="2" t="s">
        <v>2437</v>
      </c>
      <c r="D887" s="2" t="s">
        <v>277</v>
      </c>
      <c r="E887" s="2" t="s">
        <v>21</v>
      </c>
      <c r="F887" s="2" t="s">
        <v>15</v>
      </c>
      <c r="G887" s="2" t="s">
        <v>2438</v>
      </c>
      <c r="H887" s="2" t="s">
        <v>801</v>
      </c>
      <c r="I887" s="2" t="str">
        <f>IFERROR(__xludf.DUMMYFUNCTION("GOOGLETRANSLATE(C887,""fr"",""en"")"),"I stole my vehicle in 2016, registered in agency I am given a number then the nightmare
The key to my vehicle was deroted in my father's garage of this fact for them it is a pretext for not paying they told me that I have facilitated the flight despite t"&amp;"he police declarations.
During and after the flight, the service never called me to find out if I needed a vehicle or I was in difficulty or other.
Cata service when I think I paid for 5 years without any claim and the day that arrives a mishap there is"&amp;" no one left.
For them I am the culprit.
Thank you the maaf with your pubs .....")</f>
        <v>I stole my vehicle in 2016, registered in agency I am given a number then the nightmare
The key to my vehicle was deroted in my father's garage of this fact for them it is a pretext for not paying they told me that I have facilitated the flight despite the police declarations.
During and after the flight, the service never called me to find out if I needed a vehicle or I was in difficulty or other.
Cata service when I think I paid for 5 years without any claim and the day that arrives a mishap there is no one left.
For them I am the culprit.
Thank you the maaf with your pubs .....</v>
      </c>
    </row>
    <row r="888" ht="15.75" customHeight="1">
      <c r="A888" s="2">
        <v>4.0</v>
      </c>
      <c r="B888" s="2" t="s">
        <v>2439</v>
      </c>
      <c r="C888" s="2" t="s">
        <v>2440</v>
      </c>
      <c r="D888" s="2" t="s">
        <v>20</v>
      </c>
      <c r="E888" s="2" t="s">
        <v>21</v>
      </c>
      <c r="F888" s="2" t="s">
        <v>15</v>
      </c>
      <c r="G888" s="2" t="s">
        <v>178</v>
      </c>
      <c r="H888" s="2" t="s">
        <v>178</v>
      </c>
      <c r="I888" s="2" t="str">
        <f>IFERROR(__xludf.DUMMYFUNCTION("GOOGLETRANSLATE(C888,""fr"",""en"")"),"Good value for money. I will not hesitate to advise direct insurance to my loved ones.
Exchanges with the advisers are of good quality, which reassures")</f>
        <v>Good value for money. I will not hesitate to advise direct insurance to my loved ones.
Exchanges with the advisers are of good quality, which reassures</v>
      </c>
    </row>
    <row r="889" ht="15.75" customHeight="1">
      <c r="A889" s="2">
        <v>3.0</v>
      </c>
      <c r="B889" s="2" t="s">
        <v>2441</v>
      </c>
      <c r="C889" s="2" t="s">
        <v>2442</v>
      </c>
      <c r="D889" s="2" t="s">
        <v>277</v>
      </c>
      <c r="E889" s="2" t="s">
        <v>79</v>
      </c>
      <c r="F889" s="2" t="s">
        <v>15</v>
      </c>
      <c r="G889" s="2" t="s">
        <v>1853</v>
      </c>
      <c r="H889" s="2" t="s">
        <v>926</v>
      </c>
      <c r="I889" s="2" t="str">
        <f>IFERROR(__xludf.DUMMYFUNCTION("GOOGLETRANSLATE(C889,""fr"",""en"")"),"Water damage in October 2018. In January 2019 still no action by the MAAF. They work with an expert who is only present on Wednesday! He never recalls following the messages left. The MAAF only thinks of taking the money and causing itself royally of its "&amp;"customers.")</f>
        <v>Water damage in October 2018. In January 2019 still no action by the MAAF. They work with an expert who is only present on Wednesday! He never recalls following the messages left. The MAAF only thinks of taking the money and causing itself royally of its customers.</v>
      </c>
    </row>
    <row r="890" ht="15.75" customHeight="1">
      <c r="A890" s="2">
        <v>5.0</v>
      </c>
      <c r="B890" s="2" t="s">
        <v>2443</v>
      </c>
      <c r="C890" s="2" t="s">
        <v>2444</v>
      </c>
      <c r="D890" s="2" t="s">
        <v>64</v>
      </c>
      <c r="E890" s="2" t="s">
        <v>21</v>
      </c>
      <c r="F890" s="2" t="s">
        <v>15</v>
      </c>
      <c r="G890" s="2" t="s">
        <v>2445</v>
      </c>
      <c r="H890" s="2" t="s">
        <v>576</v>
      </c>
      <c r="I890" s="2" t="str">
        <f>IFERROR(__xludf.DUMMYFUNCTION("GOOGLETRANSLATE(C890,""fr"",""en"")"),"In the jungle of the world of automotive insurance, I fell a little by chance on the Olivier Assurances. Above all, I was seduced for the amount of contributions often much lower than in competitors. Whether it is telephone contacts, online entry and the "&amp;"transmission of the requested documents, everything happened in a very simple, fast and friendly way. I therefore recommend without reservation for the moment.")</f>
        <v>In the jungle of the world of automotive insurance, I fell a little by chance on the Olivier Assurances. Above all, I was seduced for the amount of contributions often much lower than in competitors. Whether it is telephone contacts, online entry and the transmission of the requested documents, everything happened in a very simple, fast and friendly way. I therefore recommend without reservation for the moment.</v>
      </c>
    </row>
    <row r="891" ht="15.75" customHeight="1">
      <c r="A891" s="2">
        <v>2.0</v>
      </c>
      <c r="B891" s="2" t="s">
        <v>2446</v>
      </c>
      <c r="C891" s="2" t="s">
        <v>2447</v>
      </c>
      <c r="D891" s="2" t="s">
        <v>64</v>
      </c>
      <c r="E891" s="2" t="s">
        <v>21</v>
      </c>
      <c r="F891" s="2" t="s">
        <v>15</v>
      </c>
      <c r="G891" s="2" t="s">
        <v>1003</v>
      </c>
      <c r="H891" s="2" t="s">
        <v>32</v>
      </c>
      <c r="I891" s="2" t="str">
        <f>IFERROR(__xludf.DUMMYFUNCTION("GOOGLETRANSLATE(C891,""fr"",""en"")"),"I signed an auto contract with effective in June 13. I contacted you to modify the effective date on June 10. Your advisor told me that there would be no pricing modification. After that, I note that my annual subscription was increased by € 96 and you ha"&amp;"ve therefore taken from my account € 16 without warning me. I have been contacting you for two days, I had 4 people online who had committed to contact me during the day. I never received a call. Without news from you, very quickly, I will contact the DGC"&amp;"CRF.")</f>
        <v>I signed an auto contract with effective in June 13. I contacted you to modify the effective date on June 10. Your advisor told me that there would be no pricing modification. After that, I note that my annual subscription was increased by € 96 and you have therefore taken from my account € 16 without warning me. I have been contacting you for two days, I had 4 people online who had committed to contact me during the day. I never received a call. Without news from you, very quickly, I will contact the DGCCRF.</v>
      </c>
    </row>
    <row r="892" ht="15.75" customHeight="1">
      <c r="A892" s="2">
        <v>5.0</v>
      </c>
      <c r="B892" s="2" t="s">
        <v>2448</v>
      </c>
      <c r="C892" s="2" t="s">
        <v>2449</v>
      </c>
      <c r="D892" s="2" t="s">
        <v>64</v>
      </c>
      <c r="E892" s="2" t="s">
        <v>21</v>
      </c>
      <c r="F892" s="2" t="s">
        <v>15</v>
      </c>
      <c r="G892" s="2" t="s">
        <v>338</v>
      </c>
      <c r="H892" s="2" t="s">
        <v>17</v>
      </c>
      <c r="I892" s="2" t="str">
        <f>IFERROR(__xludf.DUMMYFUNCTION("GOOGLETRANSLATE(C892,""fr"",""en"")"),"Hello,
I am satisfied with the service offered and the kindness and professionalism of the advisers I had on the phone.
Keep going !
Cordially")</f>
        <v>Hello,
I am satisfied with the service offered and the kindness and professionalism of the advisers I had on the phone.
Keep going !
Cordially</v>
      </c>
    </row>
    <row r="893" ht="15.75" customHeight="1">
      <c r="A893" s="2">
        <v>1.0</v>
      </c>
      <c r="B893" s="2" t="s">
        <v>2450</v>
      </c>
      <c r="C893" s="2" t="s">
        <v>2451</v>
      </c>
      <c r="D893" s="2" t="s">
        <v>95</v>
      </c>
      <c r="E893" s="2" t="s">
        <v>207</v>
      </c>
      <c r="F893" s="2" t="s">
        <v>15</v>
      </c>
      <c r="G893" s="2" t="s">
        <v>2452</v>
      </c>
      <c r="H893" s="2" t="s">
        <v>428</v>
      </c>
      <c r="I893" s="2" t="str">
        <f>IFERROR(__xludf.DUMMYFUNCTION("GOOGLETRANSLATE(C893,""fr"",""en"")"),"Flee Flee at high speed the matmut matmut assures nothing but ad victim of a stripping of waters with consequence Merle cost of treatment 8200 euros nothing is taken care of an incompetent expert who does not know how to make the difference between a vulg"&amp;"ar fungus and The merule of or loss of time and money especially in addition he knows the house better than me affirms false things being adherent for 45 years and my daughter 13 years without big problem we asked for a commercial and exceptional gesture "&amp;"as usual no Answer our fidelite does not pay")</f>
        <v>Flee Flee at high speed the matmut matmut assures nothing but ad victim of a stripping of waters with consequence Merle cost of treatment 8200 euros nothing is taken care of an incompetent expert who does not know how to make the difference between a vulgar fungus and The merule of or loss of time and money especially in addition he knows the house better than me affirms false things being adherent for 45 years and my daughter 13 years without big problem we asked for a commercial and exceptional gesture as usual no Answer our fidelite does not pay</v>
      </c>
    </row>
    <row r="894" ht="15.75" customHeight="1">
      <c r="A894" s="2">
        <v>5.0</v>
      </c>
      <c r="B894" s="2" t="s">
        <v>2453</v>
      </c>
      <c r="C894" s="2" t="s">
        <v>2454</v>
      </c>
      <c r="D894" s="2" t="s">
        <v>64</v>
      </c>
      <c r="E894" s="2" t="s">
        <v>21</v>
      </c>
      <c r="F894" s="2" t="s">
        <v>15</v>
      </c>
      <c r="G894" s="2" t="s">
        <v>2455</v>
      </c>
      <c r="H894" s="2" t="s">
        <v>89</v>
      </c>
      <c r="I894" s="2" t="str">
        <f>IFERROR(__xludf.DUMMYFUNCTION("GOOGLETRANSLATE(C894,""fr"",""en"")"),"I am satisfied with the service offered by olivine assurance the procedure are not long and the advisers are listening I highly recommend")</f>
        <v>I am satisfied with the service offered by olivine assurance the procedure are not long and the advisers are listening I highly recommend</v>
      </c>
    </row>
    <row r="895" ht="15.75" customHeight="1">
      <c r="A895" s="2">
        <v>4.0</v>
      </c>
      <c r="B895" s="2" t="s">
        <v>2456</v>
      </c>
      <c r="C895" s="2" t="s">
        <v>2457</v>
      </c>
      <c r="D895" s="2" t="s">
        <v>64</v>
      </c>
      <c r="E895" s="2" t="s">
        <v>21</v>
      </c>
      <c r="F895" s="2" t="s">
        <v>15</v>
      </c>
      <c r="G895" s="2" t="s">
        <v>89</v>
      </c>
      <c r="H895" s="2" t="s">
        <v>89</v>
      </c>
      <c r="I895" s="2" t="str">
        <f>IFERROR(__xludf.DUMMYFUNCTION("GOOGLETRANSLATE(C895,""fr"",""en"")"),"Well but I could not benefit from the promo code of my godfather because I went through a comparator: too bad.
I can give my opinion when I have to use insurance.")</f>
        <v>Well but I could not benefit from the promo code of my godfather because I went through a comparator: too bad.
I can give my opinion when I have to use insurance.</v>
      </c>
    </row>
    <row r="896" ht="15.75" customHeight="1">
      <c r="A896" s="2">
        <v>1.0</v>
      </c>
      <c r="B896" s="2" t="s">
        <v>2458</v>
      </c>
      <c r="C896" s="2" t="s">
        <v>2459</v>
      </c>
      <c r="D896" s="2" t="s">
        <v>95</v>
      </c>
      <c r="E896" s="2" t="s">
        <v>21</v>
      </c>
      <c r="F896" s="2" t="s">
        <v>15</v>
      </c>
      <c r="G896" s="2" t="s">
        <v>2460</v>
      </c>
      <c r="H896" s="2" t="s">
        <v>468</v>
      </c>
      <c r="I896" s="2" t="str">
        <f>IFERROR(__xludf.DUMMYFUNCTION("GOOGLETRANSLATE(C896,""fr"",""en"")"),"A quality of mediocre response: I have subscribed to the insurance contract to have a specific certificate. Before subscription I am told that it is possible within the deadlines that I ask. After subscription, it's complicated to have it and especially n"&amp;"ot on time")</f>
        <v>A quality of mediocre response: I have subscribed to the insurance contract to have a specific certificate. Before subscription I am told that it is possible within the deadlines that I ask. After subscription, it's complicated to have it and especially not on time</v>
      </c>
    </row>
    <row r="897" ht="15.75" customHeight="1">
      <c r="A897" s="2">
        <v>5.0</v>
      </c>
      <c r="B897" s="2" t="s">
        <v>2461</v>
      </c>
      <c r="C897" s="2" t="s">
        <v>2462</v>
      </c>
      <c r="D897" s="2" t="s">
        <v>68</v>
      </c>
      <c r="E897" s="2" t="s">
        <v>14</v>
      </c>
      <c r="F897" s="2" t="s">
        <v>15</v>
      </c>
      <c r="G897" s="2" t="s">
        <v>813</v>
      </c>
      <c r="H897" s="2" t="s">
        <v>23</v>
      </c>
      <c r="I897" s="2" t="str">
        <f>IFERROR(__xludf.DUMMYFUNCTION("GOOGLETRANSLATE(C897,""fr"",""en"")"),"Very good listening advisor and you keep her commitment to help me to solve my problem! 10 stars for Saliha")</f>
        <v>Very good listening advisor and you keep her commitment to help me to solve my problem! 10 stars for Saliha</v>
      </c>
    </row>
    <row r="898" ht="15.75" customHeight="1">
      <c r="A898" s="2">
        <v>4.0</v>
      </c>
      <c r="B898" s="2" t="s">
        <v>2463</v>
      </c>
      <c r="C898" s="2" t="s">
        <v>2464</v>
      </c>
      <c r="D898" s="2" t="s">
        <v>13</v>
      </c>
      <c r="E898" s="2" t="s">
        <v>14</v>
      </c>
      <c r="F898" s="2" t="s">
        <v>15</v>
      </c>
      <c r="G898" s="2" t="s">
        <v>2017</v>
      </c>
      <c r="H898" s="2" t="s">
        <v>186</v>
      </c>
      <c r="I898" s="2" t="str">
        <f>IFERROR(__xludf.DUMMYFUNCTION("GOOGLETRANSLATE(C898,""fr"",""en"")"),"Thanks to Erika for her clear answers. Not a lot of waiting before being in communication. Good support. Thanks again.")</f>
        <v>Thanks to Erika for her clear answers. Not a lot of waiting before being in communication. Good support. Thanks again.</v>
      </c>
    </row>
    <row r="899" ht="15.75" customHeight="1">
      <c r="A899" s="2">
        <v>2.0</v>
      </c>
      <c r="B899" s="2" t="s">
        <v>2465</v>
      </c>
      <c r="C899" s="2" t="s">
        <v>2466</v>
      </c>
      <c r="D899" s="2" t="s">
        <v>20</v>
      </c>
      <c r="E899" s="2" t="s">
        <v>21</v>
      </c>
      <c r="F899" s="2" t="s">
        <v>15</v>
      </c>
      <c r="G899" s="2" t="s">
        <v>822</v>
      </c>
      <c r="H899" s="2" t="s">
        <v>237</v>
      </c>
      <c r="I899" s="2" t="str">
        <f>IFERROR(__xludf.DUMMYFUNCTION("GOOGLETRANSLATE(C899,""fr"",""en"")"),"During the subscription it was confirmed to me that by being any risk in the event of a disaster without responsibility I had no advance to do in a partner garage. I had a 100%reason (parking) and I paid the franchise which will be reimbursed to me when t"&amp;"he opposing insurance will want to pay it to my insurance. What about the IRSA agreement?")</f>
        <v>During the subscription it was confirmed to me that by being any risk in the event of a disaster without responsibility I had no advance to do in a partner garage. I had a 100%reason (parking) and I paid the franchise which will be reimbursed to me when the opposing insurance will want to pay it to my insurance. What about the IRSA agreement?</v>
      </c>
    </row>
    <row r="900" ht="15.75" customHeight="1">
      <c r="A900" s="2">
        <v>1.0</v>
      </c>
      <c r="B900" s="2" t="s">
        <v>2467</v>
      </c>
      <c r="C900" s="2" t="s">
        <v>2468</v>
      </c>
      <c r="D900" s="2" t="s">
        <v>715</v>
      </c>
      <c r="E900" s="2" t="s">
        <v>14</v>
      </c>
      <c r="F900" s="2" t="s">
        <v>15</v>
      </c>
      <c r="G900" s="2" t="s">
        <v>164</v>
      </c>
      <c r="H900" s="2" t="s">
        <v>58</v>
      </c>
      <c r="I900" s="2" t="str">
        <f>IFERROR(__xludf.DUMMYFUNCTION("GOOGLETRANSLATE(C900,""fr"",""en"")"),"Shameful waiting for reimbursement since April at the beginning it was well now I am disappointed if you call it answers you that your file is in short except that it is 2 months if you can change the mutual make it we cannot mutual company so force to st"&amp;"ay")</f>
        <v>Shameful waiting for reimbursement since April at the beginning it was well now I am disappointed if you call it answers you that your file is in short except that it is 2 months if you can change the mutual make it we cannot mutual company so force to stay</v>
      </c>
    </row>
    <row r="901" ht="15.75" customHeight="1">
      <c r="A901" s="2">
        <v>3.0</v>
      </c>
      <c r="B901" s="2" t="s">
        <v>2469</v>
      </c>
      <c r="C901" s="2" t="s">
        <v>2470</v>
      </c>
      <c r="D901" s="2" t="s">
        <v>68</v>
      </c>
      <c r="E901" s="2" t="s">
        <v>14</v>
      </c>
      <c r="F901" s="2" t="s">
        <v>15</v>
      </c>
      <c r="G901" s="2" t="s">
        <v>143</v>
      </c>
      <c r="H901" s="2" t="s">
        <v>45</v>
      </c>
      <c r="I901" s="2" t="str">
        <f>IFERROR(__xludf.DUMMYFUNCTION("GOOGLETRANSLATE(C901,""fr"",""en"")"),"I strongly advise against this mutual company even by taking the most at the reimbursements for dental or eye costs they do not even reimburse you a quarter of the invoice to flee")</f>
        <v>I strongly advise against this mutual company even by taking the most at the reimbursements for dental or eye costs they do not even reimburse you a quarter of the invoice to flee</v>
      </c>
    </row>
    <row r="902" ht="15.75" customHeight="1">
      <c r="A902" s="2">
        <v>3.0</v>
      </c>
      <c r="B902" s="2" t="s">
        <v>2471</v>
      </c>
      <c r="C902" s="2" t="s">
        <v>2472</v>
      </c>
      <c r="D902" s="2" t="s">
        <v>13</v>
      </c>
      <c r="E902" s="2" t="s">
        <v>14</v>
      </c>
      <c r="F902" s="2" t="s">
        <v>15</v>
      </c>
      <c r="G902" s="2" t="s">
        <v>2473</v>
      </c>
      <c r="H902" s="2" t="s">
        <v>439</v>
      </c>
      <c r="I902" s="2" t="str">
        <f>IFERROR(__xludf.DUMMYFUNCTION("GOOGLETRANSLATE(C902,""fr"",""en"")"),"I have always been very suspicious. Santiane is my first mutual insurance company after the CMU-C It is true that to the contracts is added a death insurance for less than 5 euros per month on the insurance and guarantee side I am satisfied because the mu"&amp;"tual reimburses well I pay 45 euros per month for a coverage Honorable with reimbursement of the ostheophatie certainly 1 time a year but 40 euros is not negligible.
And I'm really quiet. In addition, their website is easy to manage and really advisers a"&amp;"nd advisers such as Erika are of authentic professionalism. You should know that Santiane is insurance brokers and really I am not disappointed I remain however honest have little encountered or disagreement but throw the stone immediately for one or more"&amp;" problems are unjust for me
 No mutual is perfect for perfection is difficult to reach and for me it does not exist today unfortunately but it is by having defects that have learned to become better.")</f>
        <v>I have always been very suspicious. Santiane is my first mutual insurance company after the CMU-C It is true that to the contracts is added a death insurance for less than 5 euros per month on the insurance and guarantee side I am satisfied because the mutual reimburses well I pay 45 euros per month for a coverage Honorable with reimbursement of the ostheophatie certainly 1 time a year but 40 euros is not negligible.
And I'm really quiet. In addition, their website is easy to manage and really advisers and advisers such as Erika are of authentic professionalism. You should know that Santiane is insurance brokers and really I am not disappointed I remain however honest have little encountered or disagreement but throw the stone immediately for one or more problems are unjust for me
 No mutual is perfect for perfection is difficult to reach and for me it does not exist today unfortunately but it is by having defects that have learned to become better.</v>
      </c>
    </row>
    <row r="903" ht="15.75" customHeight="1">
      <c r="A903" s="2">
        <v>3.0</v>
      </c>
      <c r="B903" s="2" t="s">
        <v>2474</v>
      </c>
      <c r="C903" s="2" t="s">
        <v>2475</v>
      </c>
      <c r="D903" s="2" t="s">
        <v>20</v>
      </c>
      <c r="E903" s="2" t="s">
        <v>21</v>
      </c>
      <c r="F903" s="2" t="s">
        <v>15</v>
      </c>
      <c r="G903" s="2" t="s">
        <v>1290</v>
      </c>
      <c r="H903" s="2" t="s">
        <v>58</v>
      </c>
      <c r="I903" s="2" t="str">
        <f>IFERROR(__xludf.DUMMYFUNCTION("GOOGLETRANSLATE(C903,""fr"",""en"")"),"My subscription was increased when I had a bonus. Whatever the reasons they are not valid because my different motorcycle insurance has dropped me the price of my subscription with my won bonus. I am looking for another insurance and the EU I find I termi"&amp;"nate my contract with Dours Insurance")</f>
        <v>My subscription was increased when I had a bonus. Whatever the reasons they are not valid because my different motorcycle insurance has dropped me the price of my subscription with my won bonus. I am looking for another insurance and the EU I find I terminate my contract with Dours Insurance</v>
      </c>
    </row>
    <row r="904" ht="15.75" customHeight="1">
      <c r="A904" s="2">
        <v>1.0</v>
      </c>
      <c r="B904" s="2" t="s">
        <v>2476</v>
      </c>
      <c r="C904" s="2" t="s">
        <v>2477</v>
      </c>
      <c r="D904" s="2" t="s">
        <v>371</v>
      </c>
      <c r="E904" s="2" t="s">
        <v>14</v>
      </c>
      <c r="F904" s="2" t="s">
        <v>15</v>
      </c>
      <c r="G904" s="2" t="s">
        <v>438</v>
      </c>
      <c r="H904" s="2" t="s">
        <v>439</v>
      </c>
      <c r="I904" s="2" t="str">
        <f>IFERROR(__xludf.DUMMYFUNCTION("GOOGLETRANSLATE(C904,""fr"",""en"")"),"Mutual really bad in its entirety. Waiting for 2 to 3 months for reimbursements and no remote transmission with my social security.")</f>
        <v>Mutual really bad in its entirety. Waiting for 2 to 3 months for reimbursements and no remote transmission with my social security.</v>
      </c>
    </row>
    <row r="905" ht="15.75" customHeight="1">
      <c r="A905" s="2">
        <v>4.0</v>
      </c>
      <c r="B905" s="2" t="s">
        <v>2478</v>
      </c>
      <c r="C905" s="2" t="s">
        <v>2479</v>
      </c>
      <c r="D905" s="2" t="s">
        <v>64</v>
      </c>
      <c r="E905" s="2" t="s">
        <v>21</v>
      </c>
      <c r="F905" s="2" t="s">
        <v>15</v>
      </c>
      <c r="G905" s="2" t="s">
        <v>2360</v>
      </c>
      <c r="H905" s="2" t="s">
        <v>139</v>
      </c>
      <c r="I905" s="2" t="str">
        <f>IFERROR(__xludf.DUMMYFUNCTION("GOOGLETRANSLATE(C905,""fr"",""en"")"),"Efficient ! and practical
Good value for money in comparison with other insurers
Good welcome
Possibility of modulating your prices and franchise and pack according to its budget")</f>
        <v>Efficient ! and practical
Good value for money in comparison with other insurers
Good welcome
Possibility of modulating your prices and franchise and pack according to its budget</v>
      </c>
    </row>
    <row r="906" ht="15.75" customHeight="1">
      <c r="A906" s="2">
        <v>4.0</v>
      </c>
      <c r="B906" s="2" t="s">
        <v>2480</v>
      </c>
      <c r="C906" s="2" t="s">
        <v>2481</v>
      </c>
      <c r="D906" s="2" t="s">
        <v>35</v>
      </c>
      <c r="E906" s="2" t="s">
        <v>21</v>
      </c>
      <c r="F906" s="2" t="s">
        <v>15</v>
      </c>
      <c r="G906" s="2" t="s">
        <v>286</v>
      </c>
      <c r="H906" s="2" t="s">
        <v>178</v>
      </c>
      <c r="I906" s="2" t="str">
        <f>IFERROR(__xludf.DUMMYFUNCTION("GOOGLETRANSLATE(C906,""fr"",""en"")"),"I have been insured since 1978 for vehicles and since 1980 for the home.
No problem reporting all my claims have always been treated without any problems.")</f>
        <v>I have been insured since 1978 for vehicles and since 1980 for the home.
No problem reporting all my claims have always been treated without any problems.</v>
      </c>
    </row>
    <row r="907" ht="15.75" customHeight="1">
      <c r="A907" s="2">
        <v>2.0</v>
      </c>
      <c r="B907" s="2" t="s">
        <v>2482</v>
      </c>
      <c r="C907" s="2" t="s">
        <v>2483</v>
      </c>
      <c r="D907" s="2" t="s">
        <v>68</v>
      </c>
      <c r="E907" s="2" t="s">
        <v>14</v>
      </c>
      <c r="F907" s="2" t="s">
        <v>15</v>
      </c>
      <c r="G907" s="2" t="s">
        <v>2484</v>
      </c>
      <c r="H907" s="2" t="s">
        <v>37</v>
      </c>
      <c r="I907" s="2" t="str">
        <f>IFERROR(__xludf.DUMMYFUNCTION("GOOGLETRANSLATE(C907,""fr"",""en"")"),"I have subscribed to additional health insurance at Neoliane with the Rittchaard Sante broker.
Neoliane member number: 421691. Effective date: 07/01/2019. Since February 22, 2020, I have been trying to have contact with this insurer to obtain reimburseme"&amp;"nts which I have made.
Since that date, I have sent emails to Neoliane, left a request on my adherent space of Mutua, called on the phone without success, asked for help from the broker without effect ...
I have 3 refund requests:
1-#45538801 dat"&amp;"ed 02/22/2020 for a general practitioner consultation. Relaunched on 03/26/2020, then 05/30/2020, then 06/10/2020 on the adherent Mutua space, on 07/18/2020 on the online customer service and also on 15/07 /2020, 31/08/2020 and 13/09/2020 at the broker.
"&amp;"
2-#45538805 dated 02/22/2020 for an ophthalmologist consultation. Relaunched on 03/26/2020, then 05/06/2020, then 06/10/2020 on the adherent space of MUTUA, on 07/18/2020 on the online customer service space and also 15/ 07/2020, 31/08/2020 and 13/09/20"&amp;"20 at the broker.
3-#49148650 dated 07/18/2020 for dental care. No answer either. Reported to the broker on 08/31/2020 and 13/09/2020.
I have no response either of Neoliane or Rittchaard Sante.
In front of this inexplicable silence, I no longer k"&amp;"now who to address. This is a situation that I have never known with any insurer.
")</f>
        <v>I have subscribed to additional health insurance at Neoliane with the Rittchaard Sante broker.
Neoliane member number: 421691. Effective date: 07/01/2019. Since February 22, 2020, I have been trying to have contact with this insurer to obtain reimbursements which I have made.
Since that date, I have sent emails to Neoliane, left a request on my adherent space of Mutua, called on the phone without success, asked for help from the broker without effect ...
I have 3 refund requests:
1-#45538801 dated 02/22/2020 for a general practitioner consultation. Relaunched on 03/26/2020, then 05/30/2020, then 06/10/2020 on the adherent Mutua space, on 07/18/2020 on the online customer service and also on 15/07 /2020, 31/08/2020 and 13/09/2020 at the broker.
2-#45538805 dated 02/22/2020 for an ophthalmologist consultation. Relaunched on 03/26/2020, then 05/06/2020, then 06/10/2020 on the adherent space of MUTUA, on 07/18/2020 on the online customer service space and also 15/ 07/2020, 31/08/2020 and 13/09/2020 at the broker.
3-#49148650 dated 07/18/2020 for dental care. No answer either. Reported to the broker on 08/31/2020 and 13/09/2020.
I have no response either of Neoliane or Rittchaard Sante.
In front of this inexplicable silence, I no longer know who to address. This is a situation that I have never known with any insurer.
</v>
      </c>
    </row>
    <row r="908" ht="15.75" customHeight="1">
      <c r="A908" s="2">
        <v>5.0</v>
      </c>
      <c r="B908" s="2" t="s">
        <v>2485</v>
      </c>
      <c r="C908" s="2" t="s">
        <v>2486</v>
      </c>
      <c r="D908" s="2" t="s">
        <v>155</v>
      </c>
      <c r="E908" s="2" t="s">
        <v>21</v>
      </c>
      <c r="F908" s="2" t="s">
        <v>15</v>
      </c>
      <c r="G908" s="2" t="s">
        <v>2487</v>
      </c>
      <c r="H908" s="2" t="s">
        <v>394</v>
      </c>
      <c r="I908" s="2" t="str">
        <f>IFERROR(__xludf.DUMMYFUNCTION("GOOGLETRANSLATE(C908,""fr"",""en"")"),"I am quite satisfied and I am waiting for my next deadlines for my car insurance and home to find out if I continue or not with Eurofyl. Esperant not have an increase rather a drop in prices.")</f>
        <v>I am quite satisfied and I am waiting for my next deadlines for my car insurance and home to find out if I continue or not with Eurofyl. Esperant not have an increase rather a drop in prices.</v>
      </c>
    </row>
    <row r="909" ht="15.75" customHeight="1">
      <c r="A909" s="2">
        <v>5.0</v>
      </c>
      <c r="B909" s="2" t="s">
        <v>2488</v>
      </c>
      <c r="C909" s="2" t="s">
        <v>2489</v>
      </c>
      <c r="D909" s="2" t="s">
        <v>20</v>
      </c>
      <c r="E909" s="2" t="s">
        <v>21</v>
      </c>
      <c r="F909" s="2" t="s">
        <v>15</v>
      </c>
      <c r="G909" s="2" t="s">
        <v>2131</v>
      </c>
      <c r="H909" s="2" t="s">
        <v>89</v>
      </c>
      <c r="I909" s="2" t="str">
        <f>IFERROR(__xludf.DUMMYFUNCTION("GOOGLETRANSLATE(C909,""fr"",""en"")"),"Very intuitive and fast interface interface. Pricing is very attractive for better coverage, it is still incredible
Bravo for everything")</f>
        <v>Very intuitive and fast interface interface. Pricing is very attractive for better coverage, it is still incredible
Bravo for everything</v>
      </c>
    </row>
    <row r="910" ht="15.75" customHeight="1">
      <c r="A910" s="2">
        <v>2.0</v>
      </c>
      <c r="B910" s="2" t="s">
        <v>2490</v>
      </c>
      <c r="C910" s="2" t="s">
        <v>2491</v>
      </c>
      <c r="D910" s="2" t="s">
        <v>20</v>
      </c>
      <c r="E910" s="2" t="s">
        <v>21</v>
      </c>
      <c r="F910" s="2" t="s">
        <v>15</v>
      </c>
      <c r="G910" s="2" t="s">
        <v>65</v>
      </c>
      <c r="H910" s="2" t="s">
        <v>23</v>
      </c>
      <c r="I910" s="2" t="str">
        <f>IFERROR(__xludf.DUMMYFUNCTION("GOOGLETRANSLATE(C910,""fr"",""en"")"),"I am in no way satisfied with customer service! Each advisor gives a different opinion. There is no consideration of requests, information transmitted and particularities of the files!")</f>
        <v>I am in no way satisfied with customer service! Each advisor gives a different opinion. There is no consideration of requests, information transmitted and particularities of the files!</v>
      </c>
    </row>
    <row r="911" ht="15.75" customHeight="1">
      <c r="A911" s="2">
        <v>1.0</v>
      </c>
      <c r="B911" s="2" t="s">
        <v>2492</v>
      </c>
      <c r="C911" s="2" t="s">
        <v>2493</v>
      </c>
      <c r="D911" s="2" t="s">
        <v>13</v>
      </c>
      <c r="E911" s="2" t="s">
        <v>14</v>
      </c>
      <c r="F911" s="2" t="s">
        <v>15</v>
      </c>
      <c r="G911" s="2" t="s">
        <v>2494</v>
      </c>
      <c r="H911" s="2" t="s">
        <v>263</v>
      </c>
      <c r="I911" s="2" t="str">
        <f>IFERROR(__xludf.DUMMYFUNCTION("GOOGLETRANSLATE(C911,""fr"",""en"")"),"I have just been contacted by an advisor when I just started my comparative research on the net, in less than 5 minutes time, I was called.
A man with an ultra -fast flow, who drives you with questions, when you haven't asked for anything. Once your crit"&amp;"eria have been stated, they are not taken into account, it sends you (supposedly) a quote that you never receive, it reminds you by telling you that it is not normal, you are redirected to their site Live, he gives you a password. You finally access the q"&amp;"uote (the most expensive of course) and at the end it slips you a ""I send you your third -party payment card by email""! Except that I have never asked to subscribe to anything and that I hate that I am forced, which I slide him in my turn and there nece"&amp;"ssarily the tone changes, he shortens the conversation in less 5 seconds, no one! After spending 29 minutes to talk to me. Weird, right?! I hope that with their story of the nut word, they did not have me subscribed to a contract without my knowledge. Mor"&amp;"e than doubtful practices! It smells of dishonesty in full nose! I do not want to be their client.")</f>
        <v>I have just been contacted by an advisor when I just started my comparative research on the net, in less than 5 minutes time, I was called.
A man with an ultra -fast flow, who drives you with questions, when you haven't asked for anything. Once your criteria have been stated, they are not taken into account, it sends you (supposedly) a quote that you never receive, it reminds you by telling you that it is not normal, you are redirected to their site Live, he gives you a password. You finally access the quote (the most expensive of course) and at the end it slips you a "I send you your third -party payment card by email"! Except that I have never asked to subscribe to anything and that I hate that I am forced, which I slide him in my turn and there necessarily the tone changes, he shortens the conversation in less 5 seconds, no one! After spending 29 minutes to talk to me. Weird, right?! I hope that with their story of the nut word, they did not have me subscribed to a contract without my knowledge. More than doubtful practices! It smells of dishonesty in full nose! I do not want to be their client.</v>
      </c>
    </row>
    <row r="912" ht="15.75" customHeight="1">
      <c r="A912" s="2">
        <v>5.0</v>
      </c>
      <c r="B912" s="2" t="s">
        <v>2495</v>
      </c>
      <c r="C912" s="2" t="s">
        <v>2496</v>
      </c>
      <c r="D912" s="2" t="s">
        <v>64</v>
      </c>
      <c r="E912" s="2" t="s">
        <v>21</v>
      </c>
      <c r="F912" s="2" t="s">
        <v>15</v>
      </c>
      <c r="G912" s="2" t="s">
        <v>171</v>
      </c>
      <c r="H912" s="2" t="s">
        <v>23</v>
      </c>
      <c r="I912" s="2" t="str">
        <f>IFERROR(__xludf.DUMMYFUNCTION("GOOGLETRANSLATE(C912,""fr"",""en"")"),"Very satisfied
Pleasant and attentive staff
To see later but for the moment nothing to be complained than positive
I recommend all those around me")</f>
        <v>Very satisfied
Pleasant and attentive staff
To see later but for the moment nothing to be complained than positive
I recommend all those around me</v>
      </c>
    </row>
    <row r="913" ht="15.75" customHeight="1">
      <c r="A913" s="2">
        <v>3.0</v>
      </c>
      <c r="B913" s="2" t="s">
        <v>2497</v>
      </c>
      <c r="C913" s="2" t="s">
        <v>2498</v>
      </c>
      <c r="D913" s="2" t="s">
        <v>78</v>
      </c>
      <c r="E913" s="2" t="s">
        <v>79</v>
      </c>
      <c r="F913" s="2" t="s">
        <v>15</v>
      </c>
      <c r="G913" s="2" t="s">
        <v>506</v>
      </c>
      <c r="H913" s="2" t="s">
        <v>58</v>
      </c>
      <c r="I913" s="2" t="str">
        <f>IFERROR(__xludf.DUMMYFUNCTION("GOOGLETRANSLATE(C913,""fr"",""en"")"),"Cool it's fast good assurance thank you to you have a good day it's been 2 years I am insured at home never a claim so may not judge the rest")</f>
        <v>Cool it's fast good assurance thank you to you have a good day it's been 2 years I am insured at home never a claim so may not judge the rest</v>
      </c>
    </row>
    <row r="914" ht="15.75" customHeight="1">
      <c r="A914" s="2">
        <v>3.0</v>
      </c>
      <c r="B914" s="2" t="s">
        <v>2499</v>
      </c>
      <c r="C914" s="2" t="s">
        <v>2500</v>
      </c>
      <c r="D914" s="2" t="s">
        <v>78</v>
      </c>
      <c r="E914" s="2" t="s">
        <v>79</v>
      </c>
      <c r="F914" s="2" t="s">
        <v>15</v>
      </c>
      <c r="G914" s="2" t="s">
        <v>411</v>
      </c>
      <c r="H914" s="2" t="s">
        <v>89</v>
      </c>
      <c r="I914" s="2" t="str">
        <f>IFERROR(__xludf.DUMMYFUNCTION("GOOGLETRANSLATE(C914,""fr"",""en"")"),"Practical to do everything on the internet but impossible to negotiate a price with my wife ...
The prices are correct especially for a beginner driver, with good guarantees.")</f>
        <v>Practical to do everything on the internet but impossible to negotiate a price with my wife ...
The prices are correct especially for a beginner driver, with good guarantees.</v>
      </c>
    </row>
    <row r="915" ht="15.75" customHeight="1">
      <c r="A915" s="2">
        <v>5.0</v>
      </c>
      <c r="B915" s="2" t="s">
        <v>2501</v>
      </c>
      <c r="C915" s="2" t="s">
        <v>2502</v>
      </c>
      <c r="D915" s="2" t="s">
        <v>20</v>
      </c>
      <c r="E915" s="2" t="s">
        <v>21</v>
      </c>
      <c r="F915" s="2" t="s">
        <v>15</v>
      </c>
      <c r="G915" s="2" t="s">
        <v>365</v>
      </c>
      <c r="H915" s="2" t="s">
        <v>89</v>
      </c>
      <c r="I915" s="2" t="str">
        <f>IFERROR(__xludf.DUMMYFUNCTION("GOOGLETRANSLATE(C915,""fr"",""en"")"),"Simple and practical
Fast and effective
This is my 3rd vehicle at home
And sincerely the service is excellent
And levels value for money ... nothing to say once again")</f>
        <v>Simple and practical
Fast and effective
This is my 3rd vehicle at home
And sincerely the service is excellent
And levels value for money ... nothing to say once again</v>
      </c>
    </row>
    <row r="916" ht="15.75" customHeight="1">
      <c r="A916" s="2">
        <v>5.0</v>
      </c>
      <c r="B916" s="2" t="s">
        <v>2503</v>
      </c>
      <c r="C916" s="2" t="s">
        <v>2504</v>
      </c>
      <c r="D916" s="2" t="s">
        <v>20</v>
      </c>
      <c r="E916" s="2" t="s">
        <v>21</v>
      </c>
      <c r="F916" s="2" t="s">
        <v>15</v>
      </c>
      <c r="G916" s="2" t="s">
        <v>1591</v>
      </c>
      <c r="H916" s="2" t="s">
        <v>45</v>
      </c>
      <c r="I916" s="2" t="str">
        <f>IFERROR(__xludf.DUMMYFUNCTION("GOOGLETRANSLATE(C916,""fr"",""en"")"),"Satisfied with the fluidity of the site to subscribe to my car insurance. The prices are competitive. 1st experience with Direct Insurance. To be continued in time.")</f>
        <v>Satisfied with the fluidity of the site to subscribe to my car insurance. The prices are competitive. 1st experience with Direct Insurance. To be continued in time.</v>
      </c>
    </row>
    <row r="917" ht="15.75" customHeight="1">
      <c r="A917" s="2">
        <v>4.0</v>
      </c>
      <c r="B917" s="2" t="s">
        <v>2505</v>
      </c>
      <c r="C917" s="2" t="s">
        <v>2506</v>
      </c>
      <c r="D917" s="2" t="s">
        <v>64</v>
      </c>
      <c r="E917" s="2" t="s">
        <v>21</v>
      </c>
      <c r="F917" s="2" t="s">
        <v>15</v>
      </c>
      <c r="G917" s="2" t="s">
        <v>2507</v>
      </c>
      <c r="H917" s="2" t="s">
        <v>58</v>
      </c>
      <c r="I917" s="2" t="str">
        <f>IFERROR(__xludf.DUMMYFUNCTION("GOOGLETRANSLATE(C917,""fr"",""en"")"),"I am very satisfied with the price quality as well as the offers offered.
Very accessible level for sending documents as well as its signature")</f>
        <v>I am very satisfied with the price quality as well as the offers offered.
Very accessible level for sending documents as well as its signature</v>
      </c>
    </row>
    <row r="918" ht="15.75" customHeight="1">
      <c r="A918" s="2">
        <v>5.0</v>
      </c>
      <c r="B918" s="2" t="s">
        <v>2508</v>
      </c>
      <c r="C918" s="2" t="s">
        <v>2509</v>
      </c>
      <c r="D918" s="2" t="s">
        <v>64</v>
      </c>
      <c r="E918" s="2" t="s">
        <v>21</v>
      </c>
      <c r="F918" s="2" t="s">
        <v>15</v>
      </c>
      <c r="G918" s="2" t="s">
        <v>2510</v>
      </c>
      <c r="H918" s="2" t="s">
        <v>37</v>
      </c>
      <c r="I918" s="2" t="str">
        <f>IFERROR(__xludf.DUMMYFUNCTION("GOOGLETRANSLATE(C918,""fr"",""en"")"),"Very good customer service. Always very kind on the phone. The speed of file processing and efficiency are required. In addition, it is a very interesting auto insurance or even attractive in terms of deadlines to be set.")</f>
        <v>Very good customer service. Always very kind on the phone. The speed of file processing and efficiency are required. In addition, it is a very interesting auto insurance or even attractive in terms of deadlines to be set.</v>
      </c>
    </row>
    <row r="919" ht="15.75" customHeight="1">
      <c r="A919" s="2">
        <v>1.0</v>
      </c>
      <c r="B919" s="2" t="s">
        <v>2511</v>
      </c>
      <c r="C919" s="2" t="s">
        <v>2512</v>
      </c>
      <c r="D919" s="2" t="s">
        <v>891</v>
      </c>
      <c r="E919" s="2" t="s">
        <v>79</v>
      </c>
      <c r="F919" s="2" t="s">
        <v>15</v>
      </c>
      <c r="G919" s="2" t="s">
        <v>1786</v>
      </c>
      <c r="H919" s="2" t="s">
        <v>394</v>
      </c>
      <c r="I919" s="2" t="str">
        <f>IFERROR(__xludf.DUMMYFUNCTION("GOOGLETRANSLATE(C919,""fr"",""en"")"),"I was the victim of a flight of my motorcycle in my home. By a fallacious interpretation on their part, I have and never would have compensation from them ... What are they for? Insurance where customer service (relational) is disastrous, they do not resp"&amp;"ond to your requests and if you end up having an interlocutor, they consider that it is not their problems! Where go ...")</f>
        <v>I was the victim of a flight of my motorcycle in my home. By a fallacious interpretation on their part, I have and never would have compensation from them ... What are they for? Insurance where customer service (relational) is disastrous, they do not respond to your requests and if you end up having an interlocutor, they consider that it is not their problems! Where go ...</v>
      </c>
    </row>
    <row r="920" ht="15.75" customHeight="1">
      <c r="A920" s="2">
        <v>5.0</v>
      </c>
      <c r="B920" s="2" t="s">
        <v>2513</v>
      </c>
      <c r="C920" s="2" t="s">
        <v>2514</v>
      </c>
      <c r="D920" s="2" t="s">
        <v>64</v>
      </c>
      <c r="E920" s="2" t="s">
        <v>21</v>
      </c>
      <c r="F920" s="2" t="s">
        <v>15</v>
      </c>
      <c r="G920" s="2" t="s">
        <v>1895</v>
      </c>
      <c r="H920" s="2" t="s">
        <v>45</v>
      </c>
      <c r="I920" s="2" t="str">
        <f>IFERROR(__xludf.DUMMYFUNCTION("GOOGLETRANSLATE(C920,""fr"",""en"")"),"I am very happy everything was very clear and inexpensive .c is really cool thank you. I finally recommend insurance that does not steal us !!!")</f>
        <v>I am very happy everything was very clear and inexpensive .c is really cool thank you. I finally recommend insurance that does not steal us !!!</v>
      </c>
    </row>
    <row r="921" ht="15.75" customHeight="1">
      <c r="A921" s="2">
        <v>5.0</v>
      </c>
      <c r="B921" s="2" t="s">
        <v>2515</v>
      </c>
      <c r="C921" s="2" t="s">
        <v>2516</v>
      </c>
      <c r="D921" s="2" t="s">
        <v>64</v>
      </c>
      <c r="E921" s="2" t="s">
        <v>21</v>
      </c>
      <c r="F921" s="2" t="s">
        <v>15</v>
      </c>
      <c r="G921" s="2" t="s">
        <v>1926</v>
      </c>
      <c r="H921" s="2" t="s">
        <v>58</v>
      </c>
      <c r="I921" s="2" t="str">
        <f>IFERROR(__xludf.DUMMYFUNCTION("GOOGLETRANSLATE(C921,""fr"",""en"")"),"So far, so good...
I just had time to take the insurance, and to sign the contract.
But unfortunately the real value for money of insurance, it is in the event of a claim, and I do not intend to have an accident.")</f>
        <v>So far, so good...
I just had time to take the insurance, and to sign the contract.
But unfortunately the real value for money of insurance, it is in the event of a claim, and I do not intend to have an accident.</v>
      </c>
    </row>
    <row r="922" ht="15.75" customHeight="1">
      <c r="A922" s="2">
        <v>5.0</v>
      </c>
      <c r="B922" s="2" t="s">
        <v>2517</v>
      </c>
      <c r="C922" s="2" t="s">
        <v>2518</v>
      </c>
      <c r="D922" s="2" t="s">
        <v>78</v>
      </c>
      <c r="E922" s="2" t="s">
        <v>79</v>
      </c>
      <c r="F922" s="2" t="s">
        <v>15</v>
      </c>
      <c r="G922" s="2" t="s">
        <v>1053</v>
      </c>
      <c r="H922" s="2" t="s">
        <v>178</v>
      </c>
      <c r="I922" s="2" t="str">
        <f>IFERROR(__xludf.DUMMYFUNCTION("GOOGLETRANSLATE(C922,""fr"",""en"")"),"Request made on a comparative site, choice made in 2 min, I was directed to the site and contacted in the minute by April who directed me for the procedure to follow.
Fast and efficient service
")</f>
        <v>Request made on a comparative site, choice made in 2 min, I was directed to the site and contacted in the minute by April who directed me for the procedure to follow.
Fast and efficient service
</v>
      </c>
    </row>
    <row r="923" ht="15.75" customHeight="1">
      <c r="A923" s="2">
        <v>3.0</v>
      </c>
      <c r="B923" s="2" t="s">
        <v>2519</v>
      </c>
      <c r="C923" s="2" t="s">
        <v>2520</v>
      </c>
      <c r="D923" s="2" t="s">
        <v>20</v>
      </c>
      <c r="E923" s="2" t="s">
        <v>21</v>
      </c>
      <c r="F923" s="2" t="s">
        <v>15</v>
      </c>
      <c r="G923" s="2" t="s">
        <v>1098</v>
      </c>
      <c r="H923" s="2" t="s">
        <v>89</v>
      </c>
      <c r="I923" s="2" t="str">
        <f>IFERROR(__xludf.DUMMYFUNCTION("GOOGLETRANSLATE(C923,""fr"",""en"")"),"The price suits me, on the other hand I do not want an increase when I have 0 sinister, insurers we tend to increase contributions by 10% each year without valid reasons, I have already been insured at home Do not regret thank you, I hope we will be faith"&amp;"ful and satisfied in both directions.")</f>
        <v>The price suits me, on the other hand I do not want an increase when I have 0 sinister, insurers we tend to increase contributions by 10% each year without valid reasons, I have already been insured at home Do not regret thank you, I hope we will be faithful and satisfied in both directions.</v>
      </c>
    </row>
    <row r="924" ht="15.75" customHeight="1">
      <c r="A924" s="2">
        <v>5.0</v>
      </c>
      <c r="B924" s="2" t="s">
        <v>2521</v>
      </c>
      <c r="C924" s="2" t="s">
        <v>2522</v>
      </c>
      <c r="D924" s="2" t="s">
        <v>64</v>
      </c>
      <c r="E924" s="2" t="s">
        <v>21</v>
      </c>
      <c r="F924" s="2" t="s">
        <v>15</v>
      </c>
      <c r="G924" s="2" t="s">
        <v>843</v>
      </c>
      <c r="H924" s="2" t="s">
        <v>23</v>
      </c>
      <c r="I924" s="2" t="str">
        <f>IFERROR(__xludf.DUMMYFUNCTION("GOOGLETRANSLATE(C924,""fr"",""en"")"),"Very good insurance always listening very kind and professional towards customers and offers the best prices. Very fast answer on the phone")</f>
        <v>Very good insurance always listening very kind and professional towards customers and offers the best prices. Very fast answer on the phone</v>
      </c>
    </row>
    <row r="925" ht="15.75" customHeight="1">
      <c r="A925" s="2">
        <v>2.0</v>
      </c>
      <c r="B925" s="2" t="s">
        <v>2523</v>
      </c>
      <c r="C925" s="2" t="s">
        <v>2524</v>
      </c>
      <c r="D925" s="2" t="s">
        <v>20</v>
      </c>
      <c r="E925" s="2" t="s">
        <v>21</v>
      </c>
      <c r="F925" s="2" t="s">
        <v>15</v>
      </c>
      <c r="G925" s="2" t="s">
        <v>526</v>
      </c>
      <c r="H925" s="2" t="s">
        <v>394</v>
      </c>
      <c r="I925" s="2" t="str">
        <f>IFERROR(__xludf.DUMMYFUNCTION("GOOGLETRANSLATE(C925,""fr"",""en"")"),"As with many insurance it is in need that we realize our commitment and reliability.
Forget direct insurance! Telephone contacts are very unpleasant and impersonal.")</f>
        <v>As with many insurance it is in need that we realize our commitment and reliability.
Forget direct insurance! Telephone contacts are very unpleasant and impersonal.</v>
      </c>
    </row>
    <row r="926" ht="15.75" customHeight="1">
      <c r="A926" s="2">
        <v>3.0</v>
      </c>
      <c r="B926" s="2" t="s">
        <v>2525</v>
      </c>
      <c r="C926" s="2" t="s">
        <v>2526</v>
      </c>
      <c r="D926" s="2" t="s">
        <v>95</v>
      </c>
      <c r="E926" s="2" t="s">
        <v>21</v>
      </c>
      <c r="F926" s="2" t="s">
        <v>15</v>
      </c>
      <c r="G926" s="2" t="s">
        <v>2527</v>
      </c>
      <c r="H926" s="2" t="s">
        <v>209</v>
      </c>
      <c r="I926" s="2" t="str">
        <f>IFERROR(__xludf.DUMMYFUNCTION("GOOGLETRANSLATE(C926,""fr"",""en"")"),"rather good overall
With a slightly lower price it would be perfect insurance but otherwise I recommend")</f>
        <v>rather good overall
With a slightly lower price it would be perfect insurance but otherwise I recommend</v>
      </c>
    </row>
    <row r="927" ht="15.75" customHeight="1">
      <c r="A927" s="2">
        <v>4.0</v>
      </c>
      <c r="B927" s="2" t="s">
        <v>2528</v>
      </c>
      <c r="C927" s="2" t="s">
        <v>2529</v>
      </c>
      <c r="D927" s="2" t="s">
        <v>20</v>
      </c>
      <c r="E927" s="2" t="s">
        <v>21</v>
      </c>
      <c r="F927" s="2" t="s">
        <v>15</v>
      </c>
      <c r="G927" s="2" t="s">
        <v>2530</v>
      </c>
      <c r="H927" s="2" t="s">
        <v>321</v>
      </c>
      <c r="I927" s="2" t="str">
        <f>IFERROR(__xludf.DUMMYFUNCTION("GOOGLETRANSLATE(C927,""fr"",""en"")"),"I am satisfied with the price and the simplicity of the site in order to obtain a quote.
Prices comparisons are very easy to access and can easily be added options.")</f>
        <v>I am satisfied with the price and the simplicity of the site in order to obtain a quote.
Prices comparisons are very easy to access and can easily be added options.</v>
      </c>
    </row>
    <row r="928" ht="15.75" customHeight="1">
      <c r="A928" s="2">
        <v>3.0</v>
      </c>
      <c r="B928" s="2" t="s">
        <v>2531</v>
      </c>
      <c r="C928" s="2" t="s">
        <v>2532</v>
      </c>
      <c r="D928" s="2" t="s">
        <v>68</v>
      </c>
      <c r="E928" s="2" t="s">
        <v>14</v>
      </c>
      <c r="F928" s="2" t="s">
        <v>15</v>
      </c>
      <c r="G928" s="2" t="s">
        <v>2533</v>
      </c>
      <c r="H928" s="2" t="s">
        <v>321</v>
      </c>
      <c r="I928" s="2" t="str">
        <f>IFERROR(__xludf.DUMMYFUNCTION("GOOGLETRANSLATE(C928,""fr"",""en"")"),"Very good advisor, responsive and available. Retirement and life insurance products. Restabilities from 20% to 40% per year of what to do.
")</f>
        <v>Very good advisor, responsive and available. Retirement and life insurance products. Restabilities from 20% to 40% per year of what to do.
</v>
      </c>
    </row>
    <row r="929" ht="15.75" customHeight="1">
      <c r="A929" s="2">
        <v>2.0</v>
      </c>
      <c r="B929" s="2" t="s">
        <v>2534</v>
      </c>
      <c r="C929" s="2" t="s">
        <v>2535</v>
      </c>
      <c r="D929" s="2" t="s">
        <v>20</v>
      </c>
      <c r="E929" s="2" t="s">
        <v>21</v>
      </c>
      <c r="F929" s="2" t="s">
        <v>15</v>
      </c>
      <c r="G929" s="2" t="s">
        <v>2536</v>
      </c>
      <c r="H929" s="2" t="s">
        <v>89</v>
      </c>
      <c r="I929" s="2" t="str">
        <f>IFERROR(__xludf.DUMMYFUNCTION("GOOGLETRANSLATE(C929,""fr"",""en"")"),"You will then have better price and I got the wrong bonus I am at 0.68 Aulieu from 0.72 please modify the price please thank you very much")</f>
        <v>You will then have better price and I got the wrong bonus I am at 0.68 Aulieu from 0.72 please modify the price please thank you very much</v>
      </c>
    </row>
    <row r="930" ht="15.75" customHeight="1">
      <c r="A930" s="2">
        <v>5.0</v>
      </c>
      <c r="B930" s="2" t="s">
        <v>2537</v>
      </c>
      <c r="C930" s="2" t="s">
        <v>2538</v>
      </c>
      <c r="D930" s="2" t="s">
        <v>20</v>
      </c>
      <c r="E930" s="2" t="s">
        <v>21</v>
      </c>
      <c r="F930" s="2" t="s">
        <v>15</v>
      </c>
      <c r="G930" s="2" t="s">
        <v>365</v>
      </c>
      <c r="H930" s="2" t="s">
        <v>89</v>
      </c>
      <c r="I930" s="2" t="str">
        <f>IFERROR(__xludf.DUMMYFUNCTION("GOOGLETRANSLATE(C930,""fr"",""en"")"),"I am happy with the price and speed to make sure. Glad to be part of the Direct Assurance family. I said twice happy it's a good sign.")</f>
        <v>I am happy with the price and speed to make sure. Glad to be part of the Direct Assurance family. I said twice happy it's a good sign.</v>
      </c>
    </row>
    <row r="931" ht="15.75" customHeight="1">
      <c r="A931" s="2">
        <v>3.0</v>
      </c>
      <c r="B931" s="2" t="s">
        <v>2539</v>
      </c>
      <c r="C931" s="2" t="s">
        <v>2540</v>
      </c>
      <c r="D931" s="2" t="s">
        <v>35</v>
      </c>
      <c r="E931" s="2" t="s">
        <v>21</v>
      </c>
      <c r="F931" s="2" t="s">
        <v>15</v>
      </c>
      <c r="G931" s="2" t="s">
        <v>2541</v>
      </c>
      <c r="H931" s="2" t="s">
        <v>263</v>
      </c>
      <c r="I931" s="2" t="str">
        <f>IFERROR(__xludf.DUMMYFUNCTION("GOOGLETRANSLATE(C931,""fr"",""en"")"),"Specifies the insurance contract even for the least responsible disaster and to contact the customer who trusts you and try to find a solution to have an accident is not a pleasure")</f>
        <v>Specifies the insurance contract even for the least responsible disaster and to contact the customer who trusts you and try to find a solution to have an accident is not a pleasure</v>
      </c>
    </row>
    <row r="932" ht="15.75" customHeight="1">
      <c r="A932" s="2">
        <v>2.0</v>
      </c>
      <c r="B932" s="2" t="s">
        <v>2542</v>
      </c>
      <c r="C932" s="2" t="s">
        <v>2543</v>
      </c>
      <c r="D932" s="2" t="s">
        <v>95</v>
      </c>
      <c r="E932" s="2" t="s">
        <v>21</v>
      </c>
      <c r="F932" s="2" t="s">
        <v>15</v>
      </c>
      <c r="G932" s="2" t="s">
        <v>1604</v>
      </c>
      <c r="H932" s="2" t="s">
        <v>408</v>
      </c>
      <c r="I932" s="2" t="str">
        <f>IFERROR(__xludf.DUMMYFUNCTION("GOOGLETRANSLATE(C932,""fr"",""en"")"),"I was in a situation that I could not pay for months I called them to pay by mandate they refused and it makes me a pain")</f>
        <v>I was in a situation that I could not pay for months I called them to pay by mandate they refused and it makes me a pain</v>
      </c>
    </row>
    <row r="933" ht="15.75" customHeight="1">
      <c r="A933" s="2">
        <v>3.0</v>
      </c>
      <c r="B933" s="2" t="s">
        <v>2544</v>
      </c>
      <c r="C933" s="2" t="s">
        <v>2545</v>
      </c>
      <c r="D933" s="2" t="s">
        <v>119</v>
      </c>
      <c r="E933" s="2" t="s">
        <v>21</v>
      </c>
      <c r="F933" s="2" t="s">
        <v>15</v>
      </c>
      <c r="G933" s="2" t="s">
        <v>2546</v>
      </c>
      <c r="H933" s="2" t="s">
        <v>394</v>
      </c>
      <c r="I933" s="2" t="str">
        <f>IFERROR(__xludf.DUMMYFUNCTION("GOOGLETRANSLATE(C933,""fr"",""en"")"),"Our 2017 vehicle was vandalized at mid March 2020. Our level 3 insurance is all risks and includes vandalism. The damage caused on the electrical circuit have been the subject of several attempts to repair without any success since the end of the disconce"&amp;"ption. Since the date of the accident, that is to say more than 7 months, we are waiting and the insurance refuses to date to compensate us on the grounds that this car is not completely destroyed and would be theoretically technically repairable if the n"&amp;"ecessary parts were provided by the manufacturer. Parts were in fact provided but would not correspond to the engine despite the standard references. Our transfer request on an approved garage corresponding to the manufacturer's mark remains without follo"&amp;"w -up and the only way that is proposed by AXA is the contentious route with respect to the manufacturer. We have the feeling of being understood or heard.
")</f>
        <v>Our 2017 vehicle was vandalized at mid March 2020. Our level 3 insurance is all risks and includes vandalism. The damage caused on the electrical circuit have been the subject of several attempts to repair without any success since the end of the disconception. Since the date of the accident, that is to say more than 7 months, we are waiting and the insurance refuses to date to compensate us on the grounds that this car is not completely destroyed and would be theoretically technically repairable if the necessary parts were provided by the manufacturer. Parts were in fact provided but would not correspond to the engine despite the standard references. Our transfer request on an approved garage corresponding to the manufacturer's mark remains without follow -up and the only way that is proposed by AXA is the contentious route with respect to the manufacturer. We have the feeling of being understood or heard.
</v>
      </c>
    </row>
    <row r="934" ht="15.75" customHeight="1">
      <c r="A934" s="2">
        <v>2.0</v>
      </c>
      <c r="B934" s="2" t="s">
        <v>2547</v>
      </c>
      <c r="C934" s="2" t="s">
        <v>2548</v>
      </c>
      <c r="D934" s="2" t="s">
        <v>200</v>
      </c>
      <c r="E934" s="2" t="s">
        <v>21</v>
      </c>
      <c r="F934" s="2" t="s">
        <v>15</v>
      </c>
      <c r="G934" s="2" t="s">
        <v>2549</v>
      </c>
      <c r="H934" s="2" t="s">
        <v>168</v>
      </c>
      <c r="I934" s="2" t="str">
        <f>IFERROR(__xludf.DUMMYFUNCTION("GOOGLETRANSLATE(C934,""fr"",""en"")"),"I strongly advise against this insurer. I have subscribed to them since January. I'm still waiting for my final green sticker. They sent it to me several times but it never happens to destination. Customer service is 0! They bring back the information, se"&amp;"nd an email to say that they refer new stickers ... 3 months without insurance papers it is serious. In addition to reach them by phone it is € 0.80 per minute and by email of course they do not bother to answer. Its does not report money. In short, I rea"&amp;"lly recommend.")</f>
        <v>I strongly advise against this insurer. I have subscribed to them since January. I'm still waiting for my final green sticker. They sent it to me several times but it never happens to destination. Customer service is 0! They bring back the information, send an email to say that they refer new stickers ... 3 months without insurance papers it is serious. In addition to reach them by phone it is € 0.80 per minute and by email of course they do not bother to answer. Its does not report money. In short, I really recommend.</v>
      </c>
    </row>
    <row r="935" ht="15.75" customHeight="1">
      <c r="A935" s="2">
        <v>2.0</v>
      </c>
      <c r="B935" s="2" t="s">
        <v>2550</v>
      </c>
      <c r="C935" s="2" t="s">
        <v>2551</v>
      </c>
      <c r="D935" s="2" t="s">
        <v>78</v>
      </c>
      <c r="E935" s="2" t="s">
        <v>79</v>
      </c>
      <c r="F935" s="2" t="s">
        <v>15</v>
      </c>
      <c r="G935" s="2" t="s">
        <v>178</v>
      </c>
      <c r="H935" s="2" t="s">
        <v>178</v>
      </c>
      <c r="I935" s="2" t="str">
        <f>IFERROR(__xludf.DUMMYFUNCTION("GOOGLETRANSLATE(C935,""fr"",""en"")"),"Poorly explicit contract. Domed without assistance because the contract stipulated just in the event of an accident, result 200 euro breakdown assistance. I will no longer subscribe to them.")</f>
        <v>Poorly explicit contract. Domed without assistance because the contract stipulated just in the event of an accident, result 200 euro breakdown assistance. I will no longer subscribe to them.</v>
      </c>
    </row>
    <row r="936" ht="15.75" customHeight="1">
      <c r="A936" s="2">
        <v>4.0</v>
      </c>
      <c r="B936" s="2" t="s">
        <v>2552</v>
      </c>
      <c r="C936" s="2" t="s">
        <v>2553</v>
      </c>
      <c r="D936" s="2" t="s">
        <v>64</v>
      </c>
      <c r="E936" s="2" t="s">
        <v>21</v>
      </c>
      <c r="F936" s="2" t="s">
        <v>15</v>
      </c>
      <c r="G936" s="2" t="s">
        <v>338</v>
      </c>
      <c r="H936" s="2" t="s">
        <v>17</v>
      </c>
      <c r="I936" s="2" t="str">
        <f>IFERROR(__xludf.DUMMYFUNCTION("GOOGLETRANSLATE(C936,""fr"",""en"")"),"I am very satisfied with the services. The prices are correct. The telephone platform is very effective and courteous, available to appellants")</f>
        <v>I am very satisfied with the services. The prices are correct. The telephone platform is very effective and courteous, available to appellants</v>
      </c>
    </row>
    <row r="937" ht="15.75" customHeight="1">
      <c r="A937" s="2">
        <v>2.0</v>
      </c>
      <c r="B937" s="2" t="s">
        <v>2554</v>
      </c>
      <c r="C937" s="2" t="s">
        <v>2555</v>
      </c>
      <c r="D937" s="2" t="s">
        <v>20</v>
      </c>
      <c r="E937" s="2" t="s">
        <v>21</v>
      </c>
      <c r="F937" s="2" t="s">
        <v>15</v>
      </c>
      <c r="G937" s="2" t="s">
        <v>2556</v>
      </c>
      <c r="H937" s="2" t="s">
        <v>17</v>
      </c>
      <c r="I937" s="2" t="str">
        <f>IFERROR(__xludf.DUMMYFUNCTION("GOOGLETRANSLATE(C937,""fr"",""en"")"),"I matter a vehicle in Belgium because I settle in France. I subscribe for the first time at Direct-Assurances. This company throws me outside because after two months and still not having my plaque (thank you Ants!) My file is not complete. So bye-bye Dir"&amp;"ect Assurances and I go back to my Groupama reference insurer. These will also benefit from three additional vehicles.")</f>
        <v>I matter a vehicle in Belgium because I settle in France. I subscribe for the first time at Direct-Assurances. This company throws me outside because after two months and still not having my plaque (thank you Ants!) My file is not complete. So bye-bye Direct Assurances and I go back to my Groupama reference insurer. These will also benefit from three additional vehicles.</v>
      </c>
    </row>
    <row r="938" ht="15.75" customHeight="1">
      <c r="A938" s="2">
        <v>3.0</v>
      </c>
      <c r="B938" s="2" t="s">
        <v>2557</v>
      </c>
      <c r="C938" s="2" t="s">
        <v>2558</v>
      </c>
      <c r="D938" s="2" t="s">
        <v>40</v>
      </c>
      <c r="E938" s="2" t="s">
        <v>14</v>
      </c>
      <c r="F938" s="2" t="s">
        <v>15</v>
      </c>
      <c r="G938" s="2" t="s">
        <v>2559</v>
      </c>
      <c r="H938" s="2" t="s">
        <v>418</v>
      </c>
      <c r="I938" s="2" t="str">
        <f>IFERROR(__xludf.DUMMYFUNCTION("GOOGLETRANSLATE(C938,""fr"",""en"")"),"Mutual membership rate a little more expensive than others, the reimbursements are correct, the advisers are available and attentive.
On the other hand, REAL ESTATE PRESS Insurance price is very below the real estate loan insurance price offered by the b"&amp;"anks")</f>
        <v>Mutual membership rate a little more expensive than others, the reimbursements are correct, the advisers are available and attentive.
On the other hand, REAL ESTATE PRESS Insurance price is very below the real estate loan insurance price offered by the banks</v>
      </c>
    </row>
    <row r="939" ht="15.75" customHeight="1">
      <c r="A939" s="2">
        <v>4.0</v>
      </c>
      <c r="B939" s="2" t="s">
        <v>2560</v>
      </c>
      <c r="C939" s="2" t="s">
        <v>2561</v>
      </c>
      <c r="D939" s="2" t="s">
        <v>64</v>
      </c>
      <c r="E939" s="2" t="s">
        <v>21</v>
      </c>
      <c r="F939" s="2" t="s">
        <v>15</v>
      </c>
      <c r="G939" s="2" t="s">
        <v>332</v>
      </c>
      <c r="H939" s="2" t="s">
        <v>45</v>
      </c>
      <c r="I939" s="2" t="str">
        <f>IFERROR(__xludf.DUMMYFUNCTION("GOOGLETRANSLATE(C939,""fr"",""en"")"),"The service is good, too bad there are franchises raised on the ice break, because with my old insurance I had 0 euros in deductible, and relatively correct price.")</f>
        <v>The service is good, too bad there are franchises raised on the ice break, because with my old insurance I had 0 euros in deductible, and relatively correct price.</v>
      </c>
    </row>
    <row r="940" ht="15.75" customHeight="1">
      <c r="A940" s="2">
        <v>1.0</v>
      </c>
      <c r="B940" s="2" t="s">
        <v>2562</v>
      </c>
      <c r="C940" s="2" t="s">
        <v>2563</v>
      </c>
      <c r="D940" s="2" t="s">
        <v>20</v>
      </c>
      <c r="E940" s="2" t="s">
        <v>21</v>
      </c>
      <c r="F940" s="2" t="s">
        <v>15</v>
      </c>
      <c r="G940" s="2" t="s">
        <v>772</v>
      </c>
      <c r="H940" s="2" t="s">
        <v>32</v>
      </c>
      <c r="I940" s="2" t="str">
        <f>IFERROR(__xludf.DUMMYFUNCTION("GOOGLETRANSLATE(C940,""fr"",""en"")"),"Perfect very well explained I await the quote to ensure the mini s
As quickly as possible .
Please come back to me, in order to complete my contract I remain at your entire disposal of")</f>
        <v>Perfect very well explained I await the quote to ensure the mini s
As quickly as possible .
Please come back to me, in order to complete my contract I remain at your entire disposal of</v>
      </c>
    </row>
    <row r="941" ht="15.75" customHeight="1">
      <c r="A941" s="2">
        <v>2.0</v>
      </c>
      <c r="B941" s="2" t="s">
        <v>2564</v>
      </c>
      <c r="C941" s="2" t="s">
        <v>2565</v>
      </c>
      <c r="D941" s="2" t="s">
        <v>351</v>
      </c>
      <c r="E941" s="2" t="s">
        <v>261</v>
      </c>
      <c r="F941" s="2" t="s">
        <v>15</v>
      </c>
      <c r="G941" s="2" t="s">
        <v>286</v>
      </c>
      <c r="H941" s="2" t="s">
        <v>178</v>
      </c>
      <c r="I941" s="2" t="str">
        <f>IFERROR(__xludf.DUMMYFUNCTION("GOOGLETRANSLATE(C941,""fr"",""en"")")," Partial withdrawal impossible on AFER &amp; me
The AFER &amp; I website is completely faulty !!
It has been the 3rd time in a quarter that I have difficulty making a partial withdrawal (taken into account by the server but transfers is two weeks later).
Thi"&amp;"s time for an urgent withdrawal, it is impossible to validate the operation on the website which freezes in the validation step after clicking on the Valider button.
It starts to do well and actually pushes members to wonder if it is not better to see "&amp;"elsewhere.
A website revised in 2019 that works so badly, it's unheard of !!")</f>
        <v> Partial withdrawal impossible on AFER &amp; me
The AFER &amp; I website is completely faulty !!
It has been the 3rd time in a quarter that I have difficulty making a partial withdrawal (taken into account by the server but transfers is two weeks later).
This time for an urgent withdrawal, it is impossible to validate the operation on the website which freezes in the validation step after clicking on the Valider button.
It starts to do well and actually pushes members to wonder if it is not better to see elsewhere.
A website revised in 2019 that works so badly, it's unheard of !!</v>
      </c>
    </row>
    <row r="942" ht="15.75" customHeight="1">
      <c r="A942" s="2">
        <v>2.0</v>
      </c>
      <c r="B942" s="2" t="s">
        <v>2566</v>
      </c>
      <c r="C942" s="2" t="s">
        <v>2567</v>
      </c>
      <c r="D942" s="2" t="s">
        <v>20</v>
      </c>
      <c r="E942" s="2" t="s">
        <v>21</v>
      </c>
      <c r="F942" s="2" t="s">
        <v>15</v>
      </c>
      <c r="G942" s="2" t="s">
        <v>1438</v>
      </c>
      <c r="H942" s="2" t="s">
        <v>23</v>
      </c>
      <c r="I942" s="2" t="str">
        <f>IFERROR(__xludf.DUMMYFUNCTION("GOOGLETRANSLATE(C942,""fr"",""en"")"),"An increase in my price of 6 % while the general clay is down and mine zero. Next year I put direct insurance in competition")</f>
        <v>An increase in my price of 6 % while the general clay is down and mine zero. Next year I put direct insurance in competition</v>
      </c>
    </row>
    <row r="943" ht="15.75" customHeight="1">
      <c r="A943" s="2">
        <v>2.0</v>
      </c>
      <c r="B943" s="2" t="s">
        <v>2568</v>
      </c>
      <c r="C943" s="2" t="s">
        <v>2569</v>
      </c>
      <c r="D943" s="2" t="s">
        <v>256</v>
      </c>
      <c r="E943" s="2" t="s">
        <v>207</v>
      </c>
      <c r="F943" s="2" t="s">
        <v>15</v>
      </c>
      <c r="G943" s="2" t="s">
        <v>2570</v>
      </c>
      <c r="H943" s="2" t="s">
        <v>489</v>
      </c>
      <c r="I943" s="2" t="str">
        <f>IFERROR(__xludf.DUMMYFUNCTION("GOOGLETRANSLATE(C943,""fr"",""en"")"),"Scandalous to advise against I remain furious after the expert's decision for my water damage 22444e accepted by my manufacturer who has repaired and canceled by the Pacifica expert who gives me about 200th I am of absolute sadness me who wanted to please"&amp;" To my Crédit Agricole sales, which is super pro and well thank you pacifica")</f>
        <v>Scandalous to advise against I remain furious after the expert's decision for my water damage 22444e accepted by my manufacturer who has repaired and canceled by the Pacifica expert who gives me about 200th I am of absolute sadness me who wanted to please To my Crédit Agricole sales, which is super pro and well thank you pacifica</v>
      </c>
    </row>
    <row r="944" ht="15.75" customHeight="1">
      <c r="A944" s="2">
        <v>2.0</v>
      </c>
      <c r="B944" s="2" t="s">
        <v>2571</v>
      </c>
      <c r="C944" s="2" t="s">
        <v>2572</v>
      </c>
      <c r="D944" s="2" t="s">
        <v>20</v>
      </c>
      <c r="E944" s="2" t="s">
        <v>21</v>
      </c>
      <c r="F944" s="2" t="s">
        <v>15</v>
      </c>
      <c r="G944" s="2" t="s">
        <v>2573</v>
      </c>
      <c r="H944" s="2" t="s">
        <v>321</v>
      </c>
      <c r="I944" s="2" t="str">
        <f>IFERROR(__xludf.DUMMYFUNCTION("GOOGLETRANSLATE(C944,""fr"",""en"")"),"Hoping to do business together if the conditions are good compared to the competition waiting to compare quotes with competition services")</f>
        <v>Hoping to do business together if the conditions are good compared to the competition waiting to compare quotes with competition services</v>
      </c>
    </row>
    <row r="945" ht="15.75" customHeight="1">
      <c r="A945" s="2">
        <v>4.0</v>
      </c>
      <c r="B945" s="2" t="s">
        <v>2574</v>
      </c>
      <c r="C945" s="2" t="s">
        <v>2575</v>
      </c>
      <c r="D945" s="2" t="s">
        <v>64</v>
      </c>
      <c r="E945" s="2" t="s">
        <v>21</v>
      </c>
      <c r="F945" s="2" t="s">
        <v>15</v>
      </c>
      <c r="G945" s="2" t="s">
        <v>2576</v>
      </c>
      <c r="H945" s="2" t="s">
        <v>81</v>
      </c>
      <c r="I945" s="2" t="str">
        <f>IFERROR(__xludf.DUMMYFUNCTION("GOOGLETRANSLATE(C945,""fr"",""en"")"),"Satisfied with communication with the service, a top advisor. The prices are affordable, especially for the services offered. Thank you. …… ..")</f>
        <v>Satisfied with communication with the service, a top advisor. The prices are affordable, especially for the services offered. Thank you. …… ..</v>
      </c>
    </row>
    <row r="946" ht="15.75" customHeight="1">
      <c r="A946" s="2">
        <v>2.0</v>
      </c>
      <c r="B946" s="2" t="s">
        <v>2577</v>
      </c>
      <c r="C946" s="2" t="s">
        <v>2578</v>
      </c>
      <c r="D946" s="2" t="s">
        <v>281</v>
      </c>
      <c r="E946" s="2" t="s">
        <v>21</v>
      </c>
      <c r="F946" s="2" t="s">
        <v>15</v>
      </c>
      <c r="G946" s="2" t="s">
        <v>966</v>
      </c>
      <c r="H946" s="2" t="s">
        <v>353</v>
      </c>
      <c r="I946" s="2" t="str">
        <f>IFERROR(__xludf.DUMMYFUNCTION("GOOGLETRANSLATE(C946,""fr"",""en"")"),"Pourri insurance, inadmissible victim of a flight offense I told them that there were surveillance cameras, they never seek to have the images, suddenly they only have the few photos that I PAB. Suddenly they said lack of evidence and classify without fol"&amp;"low -up !!!!!!!!! And in addition I am asked to adjust the costs of the clerk !!!!!!!!")</f>
        <v>Pourri insurance, inadmissible victim of a flight offense I told them that there were surveillance cameras, they never seek to have the images, suddenly they only have the few photos that I PAB. Suddenly they said lack of evidence and classify without follow -up !!!!!!!!! And in addition I am asked to adjust the costs of the clerk !!!!!!!!</v>
      </c>
    </row>
    <row r="947" ht="15.75" customHeight="1">
      <c r="A947" s="2">
        <v>2.0</v>
      </c>
      <c r="B947" s="2" t="s">
        <v>2579</v>
      </c>
      <c r="C947" s="2" t="s">
        <v>2580</v>
      </c>
      <c r="D947" s="2" t="s">
        <v>256</v>
      </c>
      <c r="E947" s="2" t="s">
        <v>21</v>
      </c>
      <c r="F947" s="2" t="s">
        <v>15</v>
      </c>
      <c r="G947" s="2" t="s">
        <v>515</v>
      </c>
      <c r="H947" s="2" t="s">
        <v>70</v>
      </c>
      <c r="I947" s="2" t="str">
        <f>IFERROR(__xludf.DUMMYFUNCTION("GOOGLETRANSLATE(C947,""fr"",""en"")"),"Laborious, lack of clarity, disappointing.
My agency of Crédit Agricole Ca caught me to change my car insurance when I sold mine. They offered me an interesting price at Pacifica CA since I was a client of the bank. I was at AMV before that drivers could"&amp;" be designated in addition to the main driver. I discovered too late that it was not the case with Pacifica when I asked for several times. For the rest, the transfer of paperwork, it was laborious. I also discovered a deductible of 250 euros applied to t"&amp;"he assistance. Very disappointed, impression of being fooled.")</f>
        <v>Laborious, lack of clarity, disappointing.
My agency of Crédit Agricole Ca caught me to change my car insurance when I sold mine. They offered me an interesting price at Pacifica CA since I was a client of the bank. I was at AMV before that drivers could be designated in addition to the main driver. I discovered too late that it was not the case with Pacifica when I asked for several times. For the rest, the transfer of paperwork, it was laborious. I also discovered a deductible of 250 euros applied to the assistance. Very disappointed, impression of being fooled.</v>
      </c>
    </row>
    <row r="948" ht="15.75" customHeight="1">
      <c r="A948" s="2">
        <v>3.0</v>
      </c>
      <c r="B948" s="2" t="s">
        <v>2581</v>
      </c>
      <c r="C948" s="2" t="s">
        <v>2582</v>
      </c>
      <c r="D948" s="2" t="s">
        <v>891</v>
      </c>
      <c r="E948" s="2" t="s">
        <v>79</v>
      </c>
      <c r="F948" s="2" t="s">
        <v>15</v>
      </c>
      <c r="G948" s="2" t="s">
        <v>346</v>
      </c>
      <c r="H948" s="2" t="s">
        <v>37</v>
      </c>
      <c r="I948" s="2" t="str">
        <f>IFERROR(__xludf.DUMMYFUNCTION("GOOGLETRANSLATE(C948,""fr"",""en"")"),"I have several cars insured at La Maif, of which I have been a member for a very long time. I also assured my motorcycles with this mutual insurance . This is the reason why I addressed the Mutuelle des Motards that several friends had recommended me.
Ha"&amp;"ving not had claims, I cannot decide on this point.
Whenever I have been able to have an interlocutor, I had all satisfaction. But, it is really there that the shot, it is now, and this since well before the epidemic, to join anyone By phone at the Mutue"&amp;"lle des Motards. It is the generalization of virtual relationships by Internet and that irritates me to the highest point. I must not be the only one. But this evolution in relationships is unbearable to me. I realize to be ""from another age"" ... not fo"&amp;"r long, alas!
Well to you.
Stephan Melconian.
")</f>
        <v>I have several cars insured at La Maif, of which I have been a member for a very long time. I also assured my motorcycles with this mutual insurance . This is the reason why I addressed the Mutuelle des Motards that several friends had recommended me.
Having not had claims, I cannot decide on this point.
Whenever I have been able to have an interlocutor, I had all satisfaction. But, it is really there that the shot, it is now, and this since well before the epidemic, to join anyone By phone at the Mutuelle des Motards. It is the generalization of virtual relationships by Internet and that irritates me to the highest point. I must not be the only one. But this evolution in relationships is unbearable to me. I realize to be "from another age" ... not for long, alas!
Well to you.
Stephan Melconian.
</v>
      </c>
    </row>
    <row r="949" ht="15.75" customHeight="1">
      <c r="A949" s="2">
        <v>2.0</v>
      </c>
      <c r="B949" s="2" t="s">
        <v>2583</v>
      </c>
      <c r="C949" s="2" t="s">
        <v>2584</v>
      </c>
      <c r="D949" s="2" t="s">
        <v>277</v>
      </c>
      <c r="E949" s="2" t="s">
        <v>21</v>
      </c>
      <c r="F949" s="2" t="s">
        <v>15</v>
      </c>
      <c r="G949" s="2" t="s">
        <v>978</v>
      </c>
      <c r="H949" s="2" t="s">
        <v>139</v>
      </c>
      <c r="I949" s="2" t="str">
        <f>IFERROR(__xludf.DUMMYFUNCTION("GOOGLETRANSLATE(C949,""fr"",""en"")"),"No. Incompetence. Very long ... Water damage in early March, and still nothing. My stay ceiling is collapsed. Still nothing despite our requests. Flee this insurance.
")</f>
        <v>No. Incompetence. Very long ... Water damage in early March, and still nothing. My stay ceiling is collapsed. Still nothing despite our requests. Flee this insurance.
</v>
      </c>
    </row>
    <row r="950" ht="15.75" customHeight="1">
      <c r="A950" s="2">
        <v>2.0</v>
      </c>
      <c r="B950" s="2" t="s">
        <v>2585</v>
      </c>
      <c r="C950" s="2" t="s">
        <v>2586</v>
      </c>
      <c r="D950" s="2" t="s">
        <v>20</v>
      </c>
      <c r="E950" s="2" t="s">
        <v>21</v>
      </c>
      <c r="F950" s="2" t="s">
        <v>15</v>
      </c>
      <c r="G950" s="2" t="s">
        <v>1438</v>
      </c>
      <c r="H950" s="2" t="s">
        <v>23</v>
      </c>
      <c r="I950" s="2" t="str">
        <f>IFERROR(__xludf.DUMMYFUNCTION("GOOGLETRANSLATE(C950,""fr"",""en"")"),"Termination for only a few days late for an information statement which does not have my still provided by my former insurer, a shame")</f>
        <v>Termination for only a few days late for an information statement which does not have my still provided by my former insurer, a shame</v>
      </c>
    </row>
    <row r="951" ht="15.75" customHeight="1">
      <c r="A951" s="2">
        <v>2.0</v>
      </c>
      <c r="B951" s="2" t="s">
        <v>2587</v>
      </c>
      <c r="C951" s="2" t="s">
        <v>2588</v>
      </c>
      <c r="D951" s="2" t="s">
        <v>20</v>
      </c>
      <c r="E951" s="2" t="s">
        <v>21</v>
      </c>
      <c r="F951" s="2" t="s">
        <v>15</v>
      </c>
      <c r="G951" s="2" t="s">
        <v>2589</v>
      </c>
      <c r="H951" s="2" t="s">
        <v>1975</v>
      </c>
      <c r="I951" s="2" t="str">
        <f>IFERROR(__xludf.DUMMYFUNCTION("GOOGLETRANSLATE(C951,""fr"",""en"")"),"Be careful, beware of red alert This is a last warning for the cheaper gentlemen. Direct Insurance is the worst insurer of France. No problem when it takes money from your bank account, you are directly terminated without notification and without notice i"&amp;"f you have the misfortune to have a disaster. My C5 IMAT DG-653-PW vehicle I was terminated without notification mail in summer 2014 after a claim. I only learn my termination when I contact customer service to have information
")</f>
        <v>Be careful, beware of red alert This is a last warning for the cheaper gentlemen. Direct Insurance is the worst insurer of France. No problem when it takes money from your bank account, you are directly terminated without notification and without notice if you have the misfortune to have a disaster. My C5 IMAT DG-653-PW vehicle I was terminated without notification mail in summer 2014 after a claim. I only learn my termination when I contact customer service to have information
</v>
      </c>
    </row>
    <row r="952" ht="15.75" customHeight="1">
      <c r="A952" s="2">
        <v>1.0</v>
      </c>
      <c r="B952" s="2" t="s">
        <v>2590</v>
      </c>
      <c r="C952" s="2" t="s">
        <v>2591</v>
      </c>
      <c r="D952" s="2" t="s">
        <v>375</v>
      </c>
      <c r="E952" s="2" t="s">
        <v>14</v>
      </c>
      <c r="F952" s="2" t="s">
        <v>15</v>
      </c>
      <c r="G952" s="2" t="s">
        <v>1293</v>
      </c>
      <c r="H952" s="2" t="s">
        <v>428</v>
      </c>
      <c r="I952" s="2" t="str">
        <f>IFERROR(__xludf.DUMMYFUNCTION("GOOGLETRANSLATE(C952,""fr"",""en"")"),"I AM VERY ANGRY
Impossible to increase your subscription because for 3 months I have had more than 150 euros in my pocket of surplus drugs
I explain to them and they say that it is like that that I had better than to read my contract from the beginning
"&amp;"
Impossible to withdraw from this mutual insurance for the moment and impossible to set up my subscription
Basically it uses me almost to nothing")</f>
        <v>I AM VERY ANGRY
Impossible to increase your subscription because for 3 months I have had more than 150 euros in my pocket of surplus drugs
I explain to them and they say that it is like that that I had better than to read my contract from the beginning
Impossible to withdraw from this mutual insurance for the moment and impossible to set up my subscription
Basically it uses me almost to nothing</v>
      </c>
    </row>
    <row r="953" ht="15.75" customHeight="1">
      <c r="A953" s="2">
        <v>3.0</v>
      </c>
      <c r="B953" s="2" t="s">
        <v>2592</v>
      </c>
      <c r="C953" s="2" t="s">
        <v>2593</v>
      </c>
      <c r="D953" s="2" t="s">
        <v>64</v>
      </c>
      <c r="E953" s="2" t="s">
        <v>21</v>
      </c>
      <c r="F953" s="2" t="s">
        <v>15</v>
      </c>
      <c r="G953" s="2" t="s">
        <v>2594</v>
      </c>
      <c r="H953" s="2" t="s">
        <v>394</v>
      </c>
      <c r="I953" s="2" t="str">
        <f>IFERROR(__xludf.DUMMYFUNCTION("GOOGLETRANSLATE(C953,""fr"",""en"")"),"Received my new subscription with an increase of 200 euros when I have not declared any sinister bonus 50 ++ on simple proof of general increase in repairs and the increase in theft of my type of vehicle (Audi A1) completely unjustified, After an increase"&amp;" increased to only 40 euros. Thank you to the advisor who understood my anger logic.")</f>
        <v>Received my new subscription with an increase of 200 euros when I have not declared any sinister bonus 50 ++ on simple proof of general increase in repairs and the increase in theft of my type of vehicle (Audi A1) completely unjustified, After an increase increased to only 40 euros. Thank you to the advisor who understood my anger logic.</v>
      </c>
    </row>
    <row r="954" ht="15.75" customHeight="1">
      <c r="A954" s="2">
        <v>5.0</v>
      </c>
      <c r="B954" s="2" t="s">
        <v>2595</v>
      </c>
      <c r="C954" s="2" t="s">
        <v>2596</v>
      </c>
      <c r="D954" s="2" t="s">
        <v>40</v>
      </c>
      <c r="E954" s="2" t="s">
        <v>14</v>
      </c>
      <c r="F954" s="2" t="s">
        <v>15</v>
      </c>
      <c r="G954" s="2" t="s">
        <v>614</v>
      </c>
      <c r="H954" s="2" t="s">
        <v>182</v>
      </c>
      <c r="I954" s="2" t="str">
        <f>IFERROR(__xludf.DUMMYFUNCTION("GOOGLETRANSLATE(C954,""fr"",""en"")"),"Good evening Madam, sir.
I have been insured at MGP since January 01, 1973.
So I have nothing to complain about.
Cordially.
I am very happy with the MGP.
Very good evening.")</f>
        <v>Good evening Madam, sir.
I have been insured at MGP since January 01, 1973.
So I have nothing to complain about.
Cordially.
I am very happy with the MGP.
Very good evening.</v>
      </c>
    </row>
    <row r="955" ht="15.75" customHeight="1">
      <c r="A955" s="2">
        <v>4.0</v>
      </c>
      <c r="B955" s="2" t="s">
        <v>2597</v>
      </c>
      <c r="C955" s="2" t="s">
        <v>2598</v>
      </c>
      <c r="D955" s="2" t="s">
        <v>20</v>
      </c>
      <c r="E955" s="2" t="s">
        <v>21</v>
      </c>
      <c r="F955" s="2" t="s">
        <v>15</v>
      </c>
      <c r="G955" s="2" t="s">
        <v>2126</v>
      </c>
      <c r="H955" s="2" t="s">
        <v>89</v>
      </c>
      <c r="I955" s="2" t="str">
        <f>IFERROR(__xludf.DUMMYFUNCTION("GOOGLETRANSLATE(C955,""fr"",""en"")"),"Attractive price and quality telephone reception and support offered to finalize the registration.
Direct insurance available for registration.")</f>
        <v>Attractive price and quality telephone reception and support offered to finalize the registration.
Direct insurance available for registration.</v>
      </c>
    </row>
    <row r="956" ht="15.75" customHeight="1">
      <c r="A956" s="2">
        <v>5.0</v>
      </c>
      <c r="B956" s="2" t="s">
        <v>2599</v>
      </c>
      <c r="C956" s="2" t="s">
        <v>2600</v>
      </c>
      <c r="D956" s="2" t="s">
        <v>87</v>
      </c>
      <c r="E956" s="2" t="s">
        <v>79</v>
      </c>
      <c r="F956" s="2" t="s">
        <v>15</v>
      </c>
      <c r="G956" s="2" t="s">
        <v>2601</v>
      </c>
      <c r="H956" s="2" t="s">
        <v>139</v>
      </c>
      <c r="I956" s="2" t="str">
        <f>IFERROR(__xludf.DUMMYFUNCTION("GOOGLETRANSLATE(C956,""fr"",""en"")"),"Fast, efficient.
Practical even on weekends
Certificate in real time from any place where you are.
Buy, insure, roll .......")</f>
        <v>Fast, efficient.
Practical even on weekends
Certificate in real time from any place where you are.
Buy, insure, roll .......</v>
      </c>
    </row>
    <row r="957" ht="15.75" customHeight="1">
      <c r="A957" s="2">
        <v>5.0</v>
      </c>
      <c r="B957" s="2" t="s">
        <v>2602</v>
      </c>
      <c r="C957" s="2" t="s">
        <v>2603</v>
      </c>
      <c r="D957" s="2" t="s">
        <v>64</v>
      </c>
      <c r="E957" s="2" t="s">
        <v>21</v>
      </c>
      <c r="F957" s="2" t="s">
        <v>15</v>
      </c>
      <c r="G957" s="2" t="s">
        <v>1390</v>
      </c>
      <c r="H957" s="2" t="s">
        <v>178</v>
      </c>
      <c r="I957" s="2" t="str">
        <f>IFERROR(__xludf.DUMMYFUNCTION("GOOGLETRANSLATE(C957,""fr"",""en"")"),"Very satisfied for the assurance of my first car, thank you very much the olive assurance.
The best insurance I found on the internet.")</f>
        <v>Very satisfied for the assurance of my first car, thank you very much the olive assurance.
The best insurance I found on the internet.</v>
      </c>
    </row>
    <row r="958" ht="15.75" customHeight="1">
      <c r="A958" s="2">
        <v>2.0</v>
      </c>
      <c r="B958" s="2" t="s">
        <v>2604</v>
      </c>
      <c r="C958" s="2" t="s">
        <v>2605</v>
      </c>
      <c r="D958" s="2" t="s">
        <v>142</v>
      </c>
      <c r="E958" s="2" t="s">
        <v>207</v>
      </c>
      <c r="F958" s="2" t="s">
        <v>15</v>
      </c>
      <c r="G958" s="2" t="s">
        <v>2606</v>
      </c>
      <c r="H958" s="2" t="s">
        <v>237</v>
      </c>
      <c r="I958" s="2" t="str">
        <f>IFERROR(__xludf.DUMMYFUNCTION("GOOGLETRANSLATE(C958,""fr"",""en"")"),"Give my opinion,! I think they feel fucked up ......! An appointment .... his believe and banners ....
")</f>
        <v>Give my opinion,! I think they feel fucked up ......! An appointment .... his believe and banners ....
</v>
      </c>
    </row>
    <row r="959" ht="15.75" customHeight="1">
      <c r="A959" s="2">
        <v>3.0</v>
      </c>
      <c r="B959" s="2" t="s">
        <v>2607</v>
      </c>
      <c r="C959" s="2" t="s">
        <v>2608</v>
      </c>
      <c r="D959" s="2" t="s">
        <v>563</v>
      </c>
      <c r="E959" s="2" t="s">
        <v>207</v>
      </c>
      <c r="F959" s="2" t="s">
        <v>15</v>
      </c>
      <c r="G959" s="2" t="s">
        <v>2609</v>
      </c>
      <c r="H959" s="2" t="s">
        <v>128</v>
      </c>
      <c r="I959" s="2" t="str">
        <f>IFERROR(__xludf.DUMMYFUNCTION("GOOGLETRANSLATE(C959,""fr"",""en"")"),"No exchange or communication between SOGESSUR and Texa External + No claim + Perpetual Document Reference + Texa Expertises and SOGESSUR remain continuously unreachable by phone + mailbox without response")</f>
        <v>No exchange or communication between SOGESSUR and Texa External + No claim + Perpetual Document Reference + Texa Expertises and SOGESSUR remain continuously unreachable by phone + mailbox without response</v>
      </c>
    </row>
    <row r="960" ht="15.75" customHeight="1">
      <c r="A960" s="2">
        <v>3.0</v>
      </c>
      <c r="B960" s="2" t="s">
        <v>2610</v>
      </c>
      <c r="C960" s="2" t="s">
        <v>2611</v>
      </c>
      <c r="D960" s="2" t="s">
        <v>281</v>
      </c>
      <c r="E960" s="2" t="s">
        <v>21</v>
      </c>
      <c r="F960" s="2" t="s">
        <v>15</v>
      </c>
      <c r="G960" s="2" t="s">
        <v>685</v>
      </c>
      <c r="H960" s="2" t="s">
        <v>45</v>
      </c>
      <c r="I960" s="2" t="str">
        <f>IFERROR(__xludf.DUMMYFUNCTION("GOOGLETRANSLATE(C960,""fr"",""en"")"),"No information on file monitoring.
They answer us that they don't have their hands on the sinister service.
Basically, we have to connect to find out where the folder is…. And it is still in progress after 2 months.
Call at the moment to find out when "&amp;"we are going to be reimbursed after 15 days of invoice transmission to our local agency. Response from the sinister service: we are not aware! Lots of money outside and still not reimbursed
To flee direct compared to their incompetence")</f>
        <v>No information on file monitoring.
They answer us that they don't have their hands on the sinister service.
Basically, we have to connect to find out where the folder is…. And it is still in progress after 2 months.
Call at the moment to find out when we are going to be reimbursed after 15 days of invoice transmission to our local agency. Response from the sinister service: we are not aware! Lots of money outside and still not reimbursed
To flee direct compared to their incompetence</v>
      </c>
    </row>
    <row r="961" ht="15.75" customHeight="1">
      <c r="A961" s="2">
        <v>3.0</v>
      </c>
      <c r="B961" s="2" t="s">
        <v>2612</v>
      </c>
      <c r="C961" s="2" t="s">
        <v>2613</v>
      </c>
      <c r="D961" s="2" t="s">
        <v>20</v>
      </c>
      <c r="E961" s="2" t="s">
        <v>21</v>
      </c>
      <c r="F961" s="2" t="s">
        <v>15</v>
      </c>
      <c r="G961" s="2" t="s">
        <v>2614</v>
      </c>
      <c r="H961" s="2" t="s">
        <v>45</v>
      </c>
      <c r="I961" s="2" t="str">
        <f>IFERROR(__xludf.DUMMYFUNCTION("GOOGLETRANSLATE(C961,""fr"",""en"")"),"I am satisfied with the service offered by Direct-Assurance
The prices suit me and seem correct to me
Satisfied with the contract
I recommend this insurance
")</f>
        <v>I am satisfied with the service offered by Direct-Assurance
The prices suit me and seem correct to me
Satisfied with the contract
I recommend this insurance
</v>
      </c>
    </row>
    <row r="962" ht="15.75" customHeight="1">
      <c r="A962" s="2">
        <v>5.0</v>
      </c>
      <c r="B962" s="2" t="s">
        <v>2615</v>
      </c>
      <c r="C962" s="2" t="s">
        <v>2616</v>
      </c>
      <c r="D962" s="2" t="s">
        <v>20</v>
      </c>
      <c r="E962" s="2" t="s">
        <v>21</v>
      </c>
      <c r="F962" s="2" t="s">
        <v>15</v>
      </c>
      <c r="G962" s="2" t="s">
        <v>646</v>
      </c>
      <c r="H962" s="2" t="s">
        <v>321</v>
      </c>
      <c r="I962" s="2" t="str">
        <f>IFERROR(__xludf.DUMMYFUNCTION("GOOGLETRANSLATE(C962,""fr"",""en"")"),"I am satisfied with the service, the price suits me, very competitive.
The price is almost half compared to my old insurance.
Clear and precise quote.")</f>
        <v>I am satisfied with the service, the price suits me, very competitive.
The price is almost half compared to my old insurance.
Clear and precise quote.</v>
      </c>
    </row>
    <row r="963" ht="15.75" customHeight="1">
      <c r="A963" s="2">
        <v>1.0</v>
      </c>
      <c r="B963" s="2" t="s">
        <v>2617</v>
      </c>
      <c r="C963" s="2" t="s">
        <v>2618</v>
      </c>
      <c r="D963" s="2" t="s">
        <v>281</v>
      </c>
      <c r="E963" s="2" t="s">
        <v>207</v>
      </c>
      <c r="F963" s="2" t="s">
        <v>15</v>
      </c>
      <c r="G963" s="2" t="s">
        <v>1505</v>
      </c>
      <c r="H963" s="2" t="s">
        <v>58</v>
      </c>
      <c r="I963" s="2" t="str">
        <f>IFERROR(__xludf.DUMMYFUNCTION("GOOGLETRANSLATE(C963,""fr"",""en"")"),"Insurer to flee !!!
Try by all means not to compensate!
Insurance nonexistent, you pay for years and then when the water damage arrives you are not compensated.
To flee absolutely!
Run away!!")</f>
        <v>Insurer to flee !!!
Try by all means not to compensate!
Insurance nonexistent, you pay for years and then when the water damage arrives you are not compensated.
To flee absolutely!
Run away!!</v>
      </c>
    </row>
    <row r="964" ht="15.75" customHeight="1">
      <c r="A964" s="2">
        <v>2.0</v>
      </c>
      <c r="B964" s="2" t="s">
        <v>2619</v>
      </c>
      <c r="C964" s="2" t="s">
        <v>2620</v>
      </c>
      <c r="D964" s="2" t="s">
        <v>757</v>
      </c>
      <c r="E964" s="2" t="s">
        <v>14</v>
      </c>
      <c r="F964" s="2" t="s">
        <v>15</v>
      </c>
      <c r="G964" s="2" t="s">
        <v>2621</v>
      </c>
      <c r="H964" s="2" t="s">
        <v>28</v>
      </c>
      <c r="I964" s="2" t="str">
        <f>IFERROR(__xludf.DUMMYFUNCTION("GOOGLETRANSLATE(C964,""fr"",""en"")"),"No doubt I didn't understand everything?
It seems to me that the mutuals have engaged with the state on prices with little increase.
Yet upon receipt of my contribution call I note that the increase is 5 points.
I would like to have a start of explanat"&amp;"ion
thanks in advance")</f>
        <v>No doubt I didn't understand everything?
It seems to me that the mutuals have engaged with the state on prices with little increase.
Yet upon receipt of my contribution call I note that the increase is 5 points.
I would like to have a start of explanation
thanks in advance</v>
      </c>
    </row>
    <row r="965" ht="15.75" customHeight="1">
      <c r="A965" s="2">
        <v>3.0</v>
      </c>
      <c r="B965" s="2" t="s">
        <v>2622</v>
      </c>
      <c r="C965" s="2" t="s">
        <v>2623</v>
      </c>
      <c r="D965" s="2" t="s">
        <v>40</v>
      </c>
      <c r="E965" s="2" t="s">
        <v>14</v>
      </c>
      <c r="F965" s="2" t="s">
        <v>15</v>
      </c>
      <c r="G965" s="2" t="s">
        <v>1164</v>
      </c>
      <c r="H965" s="2" t="s">
        <v>380</v>
      </c>
      <c r="I965" s="2" t="str">
        <f>IFERROR(__xludf.DUMMYFUNCTION("GOOGLETRANSLATE(C965,""fr"",""en"")"),"Advise very attentive, the information was clear and precise. I find that the amounts of contributions are quite high if you want to be well covered.")</f>
        <v>Advise very attentive, the information was clear and precise. I find that the amounts of contributions are quite high if you want to be well covered.</v>
      </c>
    </row>
    <row r="966" ht="15.75" customHeight="1">
      <c r="A966" s="2">
        <v>5.0</v>
      </c>
      <c r="B966" s="2" t="s">
        <v>2624</v>
      </c>
      <c r="C966" s="2" t="s">
        <v>2625</v>
      </c>
      <c r="D966" s="2" t="s">
        <v>64</v>
      </c>
      <c r="E966" s="2" t="s">
        <v>21</v>
      </c>
      <c r="F966" s="2" t="s">
        <v>15</v>
      </c>
      <c r="G966" s="2" t="s">
        <v>643</v>
      </c>
      <c r="H966" s="2" t="s">
        <v>23</v>
      </c>
      <c r="I966" s="2" t="str">
        <f>IFERROR(__xludf.DUMMYFUNCTION("GOOGLETRANSLATE(C966,""fr"",""en"")"),"The prices are very attractive, the information is well described and the subscription process is simple and clear.
Lack more than to finalize the contract :)")</f>
        <v>The prices are very attractive, the information is well described and the subscription process is simple and clear.
Lack more than to finalize the contract :)</v>
      </c>
    </row>
    <row r="967" ht="15.75" customHeight="1">
      <c r="A967" s="2">
        <v>4.0</v>
      </c>
      <c r="B967" s="2" t="s">
        <v>2626</v>
      </c>
      <c r="C967" s="2" t="s">
        <v>2627</v>
      </c>
      <c r="D967" s="2" t="s">
        <v>20</v>
      </c>
      <c r="E967" s="2" t="s">
        <v>21</v>
      </c>
      <c r="F967" s="2" t="s">
        <v>15</v>
      </c>
      <c r="G967" s="2" t="s">
        <v>2628</v>
      </c>
      <c r="H967" s="2" t="s">
        <v>139</v>
      </c>
      <c r="I967" s="2" t="str">
        <f>IFERROR(__xludf.DUMMYFUNCTION("GOOGLETRANSLATE(C967,""fr"",""en"")"),"Satisfied with the service The telephone service is super good I had no problem to join them very patient, professional and benevolent ...")</f>
        <v>Satisfied with the service The telephone service is super good I had no problem to join them very patient, professional and benevolent ...</v>
      </c>
    </row>
    <row r="968" ht="15.75" customHeight="1">
      <c r="A968" s="2">
        <v>2.0</v>
      </c>
      <c r="B968" s="2" t="s">
        <v>2629</v>
      </c>
      <c r="C968" s="2" t="s">
        <v>2630</v>
      </c>
      <c r="D968" s="2" t="s">
        <v>757</v>
      </c>
      <c r="E968" s="2" t="s">
        <v>14</v>
      </c>
      <c r="F968" s="2" t="s">
        <v>15</v>
      </c>
      <c r="G968" s="2" t="s">
        <v>2631</v>
      </c>
      <c r="H968" s="2" t="s">
        <v>1297</v>
      </c>
      <c r="I968" s="2" t="str">
        <f>IFERROR(__xludf.DUMMYFUNCTION("GOOGLETRANSLATE(C968,""fr"",""en"")"),"My only health concerns is to have a very bad view, unfortunately the guarantees on the optics are not terrible at all (40 euros per glass even for a strong correction).
Prefer another mutual if, like me, you are a mole! ;-)")</f>
        <v>My only health concerns is to have a very bad view, unfortunately the guarantees on the optics are not terrible at all (40 euros per glass even for a strong correction).
Prefer another mutual if, like me, you are a mole! ;-)</v>
      </c>
    </row>
    <row r="969" ht="15.75" customHeight="1">
      <c r="A969" s="2">
        <v>1.0</v>
      </c>
      <c r="B969" s="2" t="s">
        <v>2632</v>
      </c>
      <c r="C969" s="2" t="s">
        <v>2633</v>
      </c>
      <c r="D969" s="2" t="s">
        <v>20</v>
      </c>
      <c r="E969" s="2" t="s">
        <v>21</v>
      </c>
      <c r="F969" s="2" t="s">
        <v>15</v>
      </c>
      <c r="G969" s="2" t="s">
        <v>2634</v>
      </c>
      <c r="H969" s="2" t="s">
        <v>671</v>
      </c>
      <c r="I969" s="2" t="str">
        <f>IFERROR(__xludf.DUMMYFUNCTION("GOOGLETRANSLATE(C969,""fr"",""en"")"),"Despite their so-called attractive prices it does not give customer satisfaction")</f>
        <v>Despite their so-called attractive prices it does not give customer satisfaction</v>
      </c>
    </row>
    <row r="970" ht="15.75" customHeight="1">
      <c r="A970" s="2">
        <v>1.0</v>
      </c>
      <c r="B970" s="2" t="s">
        <v>2635</v>
      </c>
      <c r="C970" s="2" t="s">
        <v>2636</v>
      </c>
      <c r="D970" s="2" t="s">
        <v>709</v>
      </c>
      <c r="E970" s="2" t="s">
        <v>14</v>
      </c>
      <c r="F970" s="2" t="s">
        <v>15</v>
      </c>
      <c r="G970" s="2" t="s">
        <v>1279</v>
      </c>
      <c r="H970" s="2" t="s">
        <v>42</v>
      </c>
      <c r="I970" s="2" t="str">
        <f>IFERROR(__xludf.DUMMYFUNCTION("GOOGLETRANSLATE(C970,""fr"",""en"")"),"Mutual that lives on a reputation and which is no longer adapted to the world of teachers. Mutual who thinks that customers are there to keep them in waves.")</f>
        <v>Mutual that lives on a reputation and which is no longer adapted to the world of teachers. Mutual who thinks that customers are there to keep them in waves.</v>
      </c>
    </row>
    <row r="971" ht="15.75" customHeight="1">
      <c r="A971" s="2">
        <v>3.0</v>
      </c>
      <c r="B971" s="2" t="s">
        <v>2637</v>
      </c>
      <c r="C971" s="2" t="s">
        <v>2638</v>
      </c>
      <c r="D971" s="2" t="s">
        <v>20</v>
      </c>
      <c r="E971" s="2" t="s">
        <v>21</v>
      </c>
      <c r="F971" s="2" t="s">
        <v>15</v>
      </c>
      <c r="G971" s="2" t="s">
        <v>65</v>
      </c>
      <c r="H971" s="2" t="s">
        <v>23</v>
      </c>
      <c r="I971" s="2" t="str">
        <f>IFERROR(__xludf.DUMMYFUNCTION("GOOGLETRANSLATE(C971,""fr"",""en"")"),"I change my insurance, because I want to be able to move and discuss a long way with my insurer.
So I chose an agency near my home, in my village of Pernes les Fontaines")</f>
        <v>I change my insurance, because I want to be able to move and discuss a long way with my insurer.
So I chose an agency near my home, in my village of Pernes les Fontaines</v>
      </c>
    </row>
    <row r="972" ht="15.75" customHeight="1">
      <c r="A972" s="2">
        <v>3.0</v>
      </c>
      <c r="B972" s="2" t="s">
        <v>2639</v>
      </c>
      <c r="C972" s="2" t="s">
        <v>2640</v>
      </c>
      <c r="D972" s="2" t="s">
        <v>20</v>
      </c>
      <c r="E972" s="2" t="s">
        <v>21</v>
      </c>
      <c r="F972" s="2" t="s">
        <v>15</v>
      </c>
      <c r="G972" s="2" t="s">
        <v>846</v>
      </c>
      <c r="H972" s="2" t="s">
        <v>23</v>
      </c>
      <c r="I972" s="2" t="str">
        <f>IFERROR(__xludf.DUMMYFUNCTION("GOOGLETRANSLATE(C972,""fr"",""en"")"),"hello
very satisfied with the level of service
Very high price of my insurance premium for small claims that have cost your compania, an adapted rate should take this into account
thank you
Bine cord")</f>
        <v>hello
very satisfied with the level of service
Very high price of my insurance premium for small claims that have cost your compania, an adapted rate should take this into account
thank you
Bine cord</v>
      </c>
    </row>
    <row r="973" ht="15.75" customHeight="1">
      <c r="A973" s="2">
        <v>1.0</v>
      </c>
      <c r="B973" s="2" t="s">
        <v>2641</v>
      </c>
      <c r="C973" s="2" t="s">
        <v>2642</v>
      </c>
      <c r="D973" s="2" t="s">
        <v>40</v>
      </c>
      <c r="E973" s="2" t="s">
        <v>14</v>
      </c>
      <c r="F973" s="2" t="s">
        <v>15</v>
      </c>
      <c r="G973" s="2" t="s">
        <v>963</v>
      </c>
      <c r="H973" s="2" t="s">
        <v>70</v>
      </c>
      <c r="I973" s="2" t="str">
        <f>IFERROR(__xludf.DUMMYFUNCTION("GOOGLETRANSLATE(C973,""fr"",""en"")"),"I have been at the MGP for 6 years for my son and I pay 80 €/month (I am 36 years old my son 6 years old).
Lots of concerns since I was at mid -treatment, their loss of salary service is incompetent
I always wait for them to add the salary of May!
Lo"&amp;"ng deadlines for pediatric consultation reimbursements, doc etc")</f>
        <v>I have been at the MGP for 6 years for my son and I pay 80 €/month (I am 36 years old my son 6 years old).
Lots of concerns since I was at mid -treatment, their loss of salary service is incompetent
I always wait for them to add the salary of May!
Long deadlines for pediatric consultation reimbursements, doc etc</v>
      </c>
    </row>
    <row r="974" ht="15.75" customHeight="1">
      <c r="A974" s="2">
        <v>1.0</v>
      </c>
      <c r="B974" s="2" t="s">
        <v>2643</v>
      </c>
      <c r="C974" s="2" t="s">
        <v>2644</v>
      </c>
      <c r="D974" s="2" t="s">
        <v>281</v>
      </c>
      <c r="E974" s="2" t="s">
        <v>261</v>
      </c>
      <c r="F974" s="2" t="s">
        <v>15</v>
      </c>
      <c r="G974" s="2" t="s">
        <v>2645</v>
      </c>
      <c r="H974" s="2" t="s">
        <v>742</v>
      </c>
      <c r="I974" s="2" t="str">
        <f>IFERROR(__xludf.DUMMYFUNCTION("GOOGLETRANSLATE(C974,""fr"",""en"")"),"To flee like the plague !!!
Everything is fine until we make payments ...
As soon as you want to take over ... it becomes the obstacle course. Online it doesn't work ... So you have to write ... good luck ...")</f>
        <v>To flee like the plague !!!
Everything is fine until we make payments ...
As soon as you want to take over ... it becomes the obstacle course. Online it doesn't work ... So you have to write ... good luck ...</v>
      </c>
    </row>
    <row r="975" ht="15.75" customHeight="1">
      <c r="A975" s="2">
        <v>3.0</v>
      </c>
      <c r="B975" s="2" t="s">
        <v>2646</v>
      </c>
      <c r="C975" s="2" t="s">
        <v>2647</v>
      </c>
      <c r="D975" s="2" t="s">
        <v>256</v>
      </c>
      <c r="E975" s="2" t="s">
        <v>207</v>
      </c>
      <c r="F975" s="2" t="s">
        <v>15</v>
      </c>
      <c r="G975" s="2" t="s">
        <v>2648</v>
      </c>
      <c r="H975" s="2" t="s">
        <v>1267</v>
      </c>
      <c r="I975" s="2" t="str">
        <f>IFERROR(__xludf.DUMMYFUNCTION("GOOGLETRANSLATE(C975,""fr"",""en"")"),"I am very disappointed, being assured at Pacifica since 06/1998 and having no claim until June 2015, my oven which took lightning, I saw my invoice increased by 11.03% in June 2016")</f>
        <v>I am very disappointed, being assured at Pacifica since 06/1998 and having no claim until June 2015, my oven which took lightning, I saw my invoice increased by 11.03% in June 2016</v>
      </c>
    </row>
    <row r="976" ht="15.75" customHeight="1">
      <c r="A976" s="2">
        <v>5.0</v>
      </c>
      <c r="B976" s="2" t="s">
        <v>2649</v>
      </c>
      <c r="C976" s="2" t="s">
        <v>2650</v>
      </c>
      <c r="D976" s="2" t="s">
        <v>87</v>
      </c>
      <c r="E976" s="2" t="s">
        <v>79</v>
      </c>
      <c r="F976" s="2" t="s">
        <v>15</v>
      </c>
      <c r="G976" s="2" t="s">
        <v>864</v>
      </c>
      <c r="H976" s="2" t="s">
        <v>139</v>
      </c>
      <c r="I976" s="2" t="str">
        <f>IFERROR(__xludf.DUMMYFUNCTION("GOOGLETRANSLATE(C976,""fr"",""en"")"),"Very fast, I am satisfied, everything is well explained, the prices are reasonable and if necessary I do not doubt the quality of the after -sales service, I recommend without fear")</f>
        <v>Very fast, I am satisfied, everything is well explained, the prices are reasonable and if necessary I do not doubt the quality of the after -sales service, I recommend without fear</v>
      </c>
    </row>
    <row r="977" ht="15.75" customHeight="1">
      <c r="A977" s="2">
        <v>1.0</v>
      </c>
      <c r="B977" s="2" t="s">
        <v>2651</v>
      </c>
      <c r="C977" s="2" t="s">
        <v>2652</v>
      </c>
      <c r="D977" s="2" t="s">
        <v>260</v>
      </c>
      <c r="E977" s="2" t="s">
        <v>450</v>
      </c>
      <c r="F977" s="2" t="s">
        <v>15</v>
      </c>
      <c r="G977" s="2" t="s">
        <v>2653</v>
      </c>
      <c r="H977" s="2" t="s">
        <v>97</v>
      </c>
      <c r="I977" s="2" t="str">
        <f>IFERROR(__xludf.DUMMYFUNCTION("GOOGLETRANSLATE(C977,""fr"",""en"")"),"In stopping work accident of August 20, 2018 I resumed therapeutic mid -April 2019 on medical decision I sent a file compared to my loan car because my economies have only dropped from my stop. Cardiff's decision is no care because the reason for my work "&amp;"stopping is part of one of the exclusion clauses from the insurance contract but Cardif does not specify which clause it even tells me to seek in the information notice or in the special conditions of my contract. The question is with less than 700 euros "&amp;"of therapeutic salary and compensation for gout greenery having a family to feed I will be forced to go to the over -indebtedness file. In addition, I was recognized as a disabled worker. Still in therapeutic half -time with savings that have merge a chil"&amp;"d in the fresh high school to assume I don't go out any more in half time could have helped me pay at least 50 for Centdu Credit. I would like Cardif to give me the black reason for the non -management because in my over -indebtedness file it is important"&amp;" that we know why Cardif refuses to help me when I did not voluntarily want this situation. I am ready to contact the media so that this is published. If a competent person can advise me I am ready to send all documents Bank Credit Medical file etc to pro"&amp;"ve my good faith")</f>
        <v>In stopping work accident of August 20, 2018 I resumed therapeutic mid -April 2019 on medical decision I sent a file compared to my loan car because my economies have only dropped from my stop. Cardiff's decision is no care because the reason for my work stopping is part of one of the exclusion clauses from the insurance contract but Cardif does not specify which clause it even tells me to seek in the information notice or in the special conditions of my contract. The question is with less than 700 euros of therapeutic salary and compensation for gout greenery having a family to feed I will be forced to go to the over -indebtedness file. In addition, I was recognized as a disabled worker. Still in therapeutic half -time with savings that have merge a child in the fresh high school to assume I don't go out any more in half time could have helped me pay at least 50 for Centdu Credit. I would like Cardif to give me the black reason for the non -management because in my over -indebtedness file it is important that we know why Cardif refuses to help me when I did not voluntarily want this situation. I am ready to contact the media so that this is published. If a competent person can advise me I am ready to send all documents Bank Credit Medical file etc to prove my good faith</v>
      </c>
    </row>
    <row r="978" ht="15.75" customHeight="1">
      <c r="A978" s="2">
        <v>3.0</v>
      </c>
      <c r="B978" s="2" t="s">
        <v>2654</v>
      </c>
      <c r="C978" s="2" t="s">
        <v>2655</v>
      </c>
      <c r="D978" s="2" t="s">
        <v>260</v>
      </c>
      <c r="E978" s="2" t="s">
        <v>450</v>
      </c>
      <c r="F978" s="2" t="s">
        <v>15</v>
      </c>
      <c r="G978" s="2" t="s">
        <v>2656</v>
      </c>
      <c r="H978" s="2" t="s">
        <v>274</v>
      </c>
      <c r="I978" s="2" t="str">
        <f>IFERROR(__xludf.DUMMYFUNCTION("GOOGLETRANSLATE(C978,""fr"",""en"")"),"Stop overnight ITT compensation while it is impossible to resume work after 2 stroke. Disability 2nd category.
Lamentable! Do not respect the contract ...")</f>
        <v>Stop overnight ITT compensation while it is impossible to resume work after 2 stroke. Disability 2nd category.
Lamentable! Do not respect the contract ...</v>
      </c>
    </row>
    <row r="979" ht="15.75" customHeight="1">
      <c r="A979" s="2">
        <v>1.0</v>
      </c>
      <c r="B979" s="2" t="s">
        <v>2657</v>
      </c>
      <c r="C979" s="2" t="s">
        <v>2658</v>
      </c>
      <c r="D979" s="2" t="s">
        <v>709</v>
      </c>
      <c r="E979" s="2" t="s">
        <v>14</v>
      </c>
      <c r="F979" s="2" t="s">
        <v>15</v>
      </c>
      <c r="G979" s="2" t="s">
        <v>787</v>
      </c>
      <c r="H979" s="2" t="s">
        <v>70</v>
      </c>
      <c r="I979" s="2" t="str">
        <f>IFERROR(__xludf.DUMMYFUNCTION("GOOGLETRANSLATE(C979,""fr"",""en"")"),"Very expensive, zero site. I am asked for the same documents already sent several times. Lack of coordination between the various services. I think to leave them and make sure elsewhere.")</f>
        <v>Very expensive, zero site. I am asked for the same documents already sent several times. Lack of coordination between the various services. I think to leave them and make sure elsewhere.</v>
      </c>
    </row>
    <row r="980" ht="15.75" customHeight="1">
      <c r="A980" s="2">
        <v>5.0</v>
      </c>
      <c r="B980" s="2" t="s">
        <v>2659</v>
      </c>
      <c r="C980" s="2" t="s">
        <v>2660</v>
      </c>
      <c r="D980" s="2" t="s">
        <v>35</v>
      </c>
      <c r="E980" s="2" t="s">
        <v>21</v>
      </c>
      <c r="F980" s="2" t="s">
        <v>15</v>
      </c>
      <c r="G980" s="2" t="s">
        <v>1192</v>
      </c>
      <c r="H980" s="2" t="s">
        <v>45</v>
      </c>
      <c r="I980" s="2" t="str">
        <f>IFERROR(__xludf.DUMMYFUNCTION("GOOGLETRANSLATE(C980,""fr"",""en"")"),"Reliable, competitive, responsive, efficient customer insurance company for over 25 years, I am fully satisfied with the GMF and I recommend it without hesitation")</f>
        <v>Reliable, competitive, responsive, efficient customer insurance company for over 25 years, I am fully satisfied with the GMF and I recommend it without hesitation</v>
      </c>
    </row>
    <row r="981" ht="15.75" customHeight="1">
      <c r="A981" s="2">
        <v>3.0</v>
      </c>
      <c r="B981" s="2" t="s">
        <v>2661</v>
      </c>
      <c r="C981" s="2" t="s">
        <v>2662</v>
      </c>
      <c r="D981" s="2" t="s">
        <v>159</v>
      </c>
      <c r="E981" s="2" t="s">
        <v>74</v>
      </c>
      <c r="F981" s="2" t="s">
        <v>15</v>
      </c>
      <c r="G981" s="2" t="s">
        <v>1580</v>
      </c>
      <c r="H981" s="2" t="s">
        <v>128</v>
      </c>
      <c r="I981" s="2" t="str">
        <f>IFERROR(__xludf.DUMMYFUNCTION("GOOGLETRANSLATE(C981,""fr"",""en"")"),"To the self -employed who will sign a Madelin provident contract: be careful. As a manager, we are not entitled to ... not much therefore private insurance in the event of a work stoppage. In January 2016, work accident, for 3 years, as best they could an"&amp;"d after medical expertise in the RSI and Gan, the Gan paid compensation that compensates for my loss of salary. January 2019, I go into disability with the former RSI, at 50% category 2. So monthly compensation. Except that, after medical expertise with a"&amp;" general practitioner (Dr. B. de Beauvais), imposed by the GAN, gives me after calculation with the famous ""Invalidity crossing"" a rate lower than the mini, or 40 percent, therefore more Nothing from the gan, more payment as soon as I put in disability."&amp;" And so since then, it is the descent into hell, everything remains to be paid, taxes on the income of the previous year, taxes on the sale of my Sté (I was obliged financially). So I have a lawyer, and new expertise is underway. So be careful when everyt"&amp;"hing is fine ... Read your conditions if work stoppage and disability. My broker himself did not know this cross painting! However, it was he who sold me this one! Insured 25 years at GAN for, I think, a case that will end in court. I am not talking to yo"&amp;"u of course, daily pains caused by this accident! Dominique Faragout - 27 Gisors.")</f>
        <v>To the self -employed who will sign a Madelin provident contract: be careful. As a manager, we are not entitled to ... not much therefore private insurance in the event of a work stoppage. In January 2016, work accident, for 3 years, as best they could and after medical expertise in the RSI and Gan, the Gan paid compensation that compensates for my loss of salary. January 2019, I go into disability with the former RSI, at 50% category 2. So monthly compensation. Except that, after medical expertise with a general practitioner (Dr. B. de Beauvais), imposed by the GAN, gives me after calculation with the famous "Invalidity crossing" a rate lower than the mini, or 40 percent, therefore more Nothing from the gan, more payment as soon as I put in disability. And so since then, it is the descent into hell, everything remains to be paid, taxes on the income of the previous year, taxes on the sale of my Sté (I was obliged financially). So I have a lawyer, and new expertise is underway. So be careful when everything is fine ... Read your conditions if work stoppage and disability. My broker himself did not know this cross painting! However, it was he who sold me this one! Insured 25 years at GAN for, I think, a case that will end in court. I am not talking to you of course, daily pains caused by this accident! Dominique Faragout - 27 Gisors.</v>
      </c>
    </row>
    <row r="982" ht="15.75" customHeight="1">
      <c r="A982" s="2">
        <v>2.0</v>
      </c>
      <c r="B982" s="2" t="s">
        <v>2663</v>
      </c>
      <c r="C982" s="2" t="s">
        <v>2664</v>
      </c>
      <c r="D982" s="2" t="s">
        <v>206</v>
      </c>
      <c r="E982" s="2" t="s">
        <v>21</v>
      </c>
      <c r="F982" s="2" t="s">
        <v>15</v>
      </c>
      <c r="G982" s="2" t="s">
        <v>227</v>
      </c>
      <c r="H982" s="2" t="s">
        <v>227</v>
      </c>
      <c r="I982" s="2" t="str">
        <f>IFERROR(__xludf.DUMMYFUNCTION("GOOGLETRANSLATE(C982,""fr"",""en"")"),"Fractured car, new bike stolen inside.
Insured all risks car and housing contract revised upwards to deal with any possibility with the bicycle.
Response from the Maif: ""Ah but sir you do not have the objects transported it's a shame ... you want to su"&amp;"bscribe to it for the next time?!""
Result: 300 euros in car franchise, 225 euros in a residential deductible, 30% reimbursement on the bike because stolen too close (???) from my home.
Dry loss: 300 + 225 + 1375 + 1900 euros")</f>
        <v>Fractured car, new bike stolen inside.
Insured all risks car and housing contract revised upwards to deal with any possibility with the bicycle.
Response from the Maif: "Ah but sir you do not have the objects transported it's a shame ... you want to subscribe to it for the next time?!"
Result: 300 euros in car franchise, 225 euros in a residential deductible, 30% reimbursement on the bike because stolen too close (???) from my home.
Dry loss: 300 + 225 + 1375 + 1900 euros</v>
      </c>
    </row>
    <row r="983" ht="15.75" customHeight="1">
      <c r="A983" s="2">
        <v>2.0</v>
      </c>
      <c r="B983" s="2" t="s">
        <v>2665</v>
      </c>
      <c r="C983" s="2" t="s">
        <v>2666</v>
      </c>
      <c r="D983" s="2" t="s">
        <v>64</v>
      </c>
      <c r="E983" s="2" t="s">
        <v>21</v>
      </c>
      <c r="F983" s="2" t="s">
        <v>15</v>
      </c>
      <c r="G983" s="2" t="s">
        <v>2667</v>
      </c>
      <c r="H983" s="2" t="s">
        <v>45</v>
      </c>
      <c r="I983" s="2" t="str">
        <f>IFERROR(__xludf.DUMMYFUNCTION("GOOGLETRANSLATE(C983,""fr"",""en"")"),"Everything is going well until we have a problem. I would no longer take this insurance and do not recommend it. Not expensive but very hard to reach someone during a troubleshooting.")</f>
        <v>Everything is going well until we have a problem. I would no longer take this insurance and do not recommend it. Not expensive but very hard to reach someone during a troubleshooting.</v>
      </c>
    </row>
    <row r="984" ht="15.75" customHeight="1">
      <c r="A984" s="2">
        <v>1.0</v>
      </c>
      <c r="B984" s="2" t="s">
        <v>2668</v>
      </c>
      <c r="C984" s="2" t="s">
        <v>2669</v>
      </c>
      <c r="D984" s="2" t="s">
        <v>35</v>
      </c>
      <c r="E984" s="2" t="s">
        <v>21</v>
      </c>
      <c r="F984" s="2" t="s">
        <v>15</v>
      </c>
      <c r="G984" s="2" t="s">
        <v>2323</v>
      </c>
      <c r="H984" s="2" t="s">
        <v>182</v>
      </c>
      <c r="I984" s="2" t="str">
        <f>IFERROR(__xludf.DUMMYFUNCTION("GOOGLETRANSLATE(C984,""fr"",""en"")"),"Following the termination of my auto insurance contract, after more than 10 years, the GMF has ended the auto contract, but does not want to terminate body insurance,
While I have been in Ehpad since July 2020 I can no longer drive seen that
I have Alzh"&amp;"eimer's disease in 1/2 GIR
that I am in nursing homes I am not likely to be overthrown by a car, I cannot leave my room
and that the body does not cover (Auto Pietons accident)
I advise to read well what is written in small letter!")</f>
        <v>Following the termination of my auto insurance contract, after more than 10 years, the GMF has ended the auto contract, but does not want to terminate body insurance,
While I have been in Ehpad since July 2020 I can no longer drive seen that
I have Alzheimer's disease in 1/2 GIR
that I am in nursing homes I am not likely to be overthrown by a car, I cannot leave my room
and that the body does not cover (Auto Pietons accident)
I advise to read well what is written in small letter!</v>
      </c>
    </row>
    <row r="985" ht="15.75" customHeight="1">
      <c r="A985" s="2">
        <v>5.0</v>
      </c>
      <c r="B985" s="2" t="s">
        <v>2670</v>
      </c>
      <c r="C985" s="2" t="s">
        <v>2671</v>
      </c>
      <c r="D985" s="2" t="s">
        <v>40</v>
      </c>
      <c r="E985" s="2" t="s">
        <v>14</v>
      </c>
      <c r="F985" s="2" t="s">
        <v>15</v>
      </c>
      <c r="G985" s="2" t="s">
        <v>22</v>
      </c>
      <c r="H985" s="2" t="s">
        <v>23</v>
      </c>
      <c r="I985" s="2" t="str">
        <f>IFERROR(__xludf.DUMMYFUNCTION("GOOGLETRANSLATE(C985,""fr"",""en"")"),"Hello,
As agreed telephone, I inform you that I am perfectly satisfied with the way you answered my problems concerning my father.
Clear and concise explanations, efficiency, speed.
Congratulation.
Best regards.")</f>
        <v>Hello,
As agreed telephone, I inform you that I am perfectly satisfied with the way you answered my problems concerning my father.
Clear and concise explanations, efficiency, speed.
Congratulation.
Best regards.</v>
      </c>
    </row>
    <row r="986" ht="15.75" customHeight="1">
      <c r="A986" s="2">
        <v>3.0</v>
      </c>
      <c r="B986" s="2" t="s">
        <v>2672</v>
      </c>
      <c r="C986" s="2" t="s">
        <v>2673</v>
      </c>
      <c r="D986" s="2" t="s">
        <v>371</v>
      </c>
      <c r="E986" s="2" t="s">
        <v>14</v>
      </c>
      <c r="F986" s="2" t="s">
        <v>15</v>
      </c>
      <c r="G986" s="2" t="s">
        <v>2674</v>
      </c>
      <c r="H986" s="2" t="s">
        <v>37</v>
      </c>
      <c r="I986" s="2" t="str">
        <f>IFERROR(__xludf.DUMMYFUNCTION("GOOGLETRANSLATE(C986,""fr"",""en"")"),"As an individual I regret having subscribed as a retiree to this mutual which was the one I benefited as an employee of a group.
For current care, no problem, medical consultation, specialist consultation, drugs, analyzes or radios, reimbursements occur "&amp;"within respectable deadlines after transmission by Ameli ...
But when it comes to surgical operations supported entirely by social security, like the majority of surgical interventions, and only the fee exceedments are to be paid, you can provide the inv"&amp;"oices paid and established within standards ..... So there it becomes very complicated. .. and even impossible to obtain a clear and precise answer")</f>
        <v>As an individual I regret having subscribed as a retiree to this mutual which was the one I benefited as an employee of a group.
For current care, no problem, medical consultation, specialist consultation, drugs, analyzes or radios, reimbursements occur within respectable deadlines after transmission by Ameli ...
But when it comes to surgical operations supported entirely by social security, like the majority of surgical interventions, and only the fee exceedments are to be paid, you can provide the invoices paid and established within standards ..... So there it becomes very complicated. .. and even impossible to obtain a clear and precise answer</v>
      </c>
    </row>
    <row r="987" ht="15.75" customHeight="1">
      <c r="A987" s="2">
        <v>5.0</v>
      </c>
      <c r="B987" s="2" t="s">
        <v>2675</v>
      </c>
      <c r="C987" s="2" t="s">
        <v>2676</v>
      </c>
      <c r="D987" s="2" t="s">
        <v>64</v>
      </c>
      <c r="E987" s="2" t="s">
        <v>21</v>
      </c>
      <c r="F987" s="2" t="s">
        <v>15</v>
      </c>
      <c r="G987" s="2" t="s">
        <v>1926</v>
      </c>
      <c r="H987" s="2" t="s">
        <v>58</v>
      </c>
      <c r="I987" s="2" t="str">
        <f>IFERROR(__xludf.DUMMYFUNCTION("GOOGLETRANSLATE(C987,""fr"",""en"")"),"Very satisfied thank you very much I am quiet now for the insurance of my first car very pleasant trusted service thank you in advance")</f>
        <v>Very satisfied thank you very much I am quiet now for the insurance of my first car very pleasant trusted service thank you in advance</v>
      </c>
    </row>
    <row r="988" ht="15.75" customHeight="1">
      <c r="A988" s="2">
        <v>5.0</v>
      </c>
      <c r="B988" s="2" t="s">
        <v>2677</v>
      </c>
      <c r="C988" s="2" t="s">
        <v>2678</v>
      </c>
      <c r="D988" s="2" t="s">
        <v>26</v>
      </c>
      <c r="E988" s="2" t="s">
        <v>14</v>
      </c>
      <c r="F988" s="2" t="s">
        <v>15</v>
      </c>
      <c r="G988" s="2" t="s">
        <v>2679</v>
      </c>
      <c r="H988" s="2" t="s">
        <v>1267</v>
      </c>
      <c r="I988" s="2" t="str">
        <f>IFERROR(__xludf.DUMMYFUNCTION("GOOGLETRANSLATE(C988,""fr"",""en"")"),"for 4 years . All is well. Recommended for me is always available, reimbursement in time and in sticking. In addition to that my advised was available to change the formula after 2 years. I am in level 6 all is perfect")</f>
        <v>for 4 years . All is well. Recommended for me is always available, reimbursement in time and in sticking. In addition to that my advised was available to change the formula after 2 years. I am in level 6 all is perfect</v>
      </c>
    </row>
    <row r="989" ht="15.75" customHeight="1">
      <c r="A989" s="2">
        <v>2.0</v>
      </c>
      <c r="B989" s="2" t="s">
        <v>2680</v>
      </c>
      <c r="C989" s="2" t="s">
        <v>2681</v>
      </c>
      <c r="D989" s="2" t="s">
        <v>281</v>
      </c>
      <c r="E989" s="2" t="s">
        <v>21</v>
      </c>
      <c r="F989" s="2" t="s">
        <v>15</v>
      </c>
      <c r="G989" s="2" t="s">
        <v>1465</v>
      </c>
      <c r="H989" s="2" t="s">
        <v>17</v>
      </c>
      <c r="I989" s="2" t="str">
        <f>IFERROR(__xludf.DUMMYFUNCTION("GOOGLETRANSLATE(C989,""fr"",""en"")"),"Accident of 10/29/2021 at 8:05 p.m. not responsible 350 km from my home. Very important before shock. Recent vehicle. TOUN RISK C3 C3 warranty. Customer for 30 years (AGF). Declaration sent on 30/10/2021 at 9:00 a.m. The Allianz approved tow truck interve"&amp;"nes within an hour but it brutally drops the vehicle on the truck tray causing a rear shock with a wooden pole. The tow truck then decreases in the car of the young man's father with whom I had an accident and to whom he came to assist. The general agent "&amp;"asks me to deal with the company who herself asks me to arrange me with his approved convenience store which would in fact be the expert of the damage he has committed and that he would repair. I refuse this unacceptable arrangement and I request independ"&amp;"ent expertise and repair of the damage caused in front and rear. Six and a half hours of appeal in ten days. Twelve days after the accident, the company tells me of course my requests but I do not yet know if the expertise is already made where will be ma"&amp;"de for the front and rear shocks. In addition, Allianz communication on the work carried out by their ""approved repairers"" is singular: they would be guaranteed without limit in time and everywhere in France. On the other hand, if I have this recent veh"&amp;"icle repaired with a dealership, no clear and written response is given to me concerning the reimbursement of the work of which I would do the advance with Peugeot (remains on charge, deadlines?) The staff on 099897000 are very hesitant and contradict eac"&amp;"h other. Sidexa and CreativeXpertiz robotic messaging emitting file monitoring messages that contradict each other and contradict telephone interlocutors. One of them tells me about a painting that can wick but that would be guaranteed. It seems even more"&amp;" improbable on the repairs which fall under electronics with regard to an Authorized Allianz repairer. Loan car refused. But above all, Allianz does not answer for any email.")</f>
        <v>Accident of 10/29/2021 at 8:05 p.m. not responsible 350 km from my home. Very important before shock. Recent vehicle. TOUN RISK C3 C3 warranty. Customer for 30 years (AGF). Declaration sent on 30/10/2021 at 9:00 a.m. The Allianz approved tow truck intervenes within an hour but it brutally drops the vehicle on the truck tray causing a rear shock with a wooden pole. The tow truck then decreases in the car of the young man's father with whom I had an accident and to whom he came to assist. The general agent asks me to deal with the company who herself asks me to arrange me with his approved convenience store which would in fact be the expert of the damage he has committed and that he would repair. I refuse this unacceptable arrangement and I request independent expertise and repair of the damage caused in front and rear. Six and a half hours of appeal in ten days. Twelve days after the accident, the company tells me of course my requests but I do not yet know if the expertise is already made where will be made for the front and rear shocks. In addition, Allianz communication on the work carried out by their "approved repairers" is singular: they would be guaranteed without limit in time and everywhere in France. On the other hand, if I have this recent vehicle repaired with a dealership, no clear and written response is given to me concerning the reimbursement of the work of which I would do the advance with Peugeot (remains on charge, deadlines?) The staff on 099897000 are very hesitant and contradict each other. Sidexa and CreativeXpertiz robotic messaging emitting file monitoring messages that contradict each other and contradict telephone interlocutors. One of them tells me about a painting that can wick but that would be guaranteed. It seems even more improbable on the repairs which fall under electronics with regard to an Authorized Allianz repairer. Loan car refused. But above all, Allianz does not answer for any email.</v>
      </c>
    </row>
    <row r="990" ht="15.75" customHeight="1">
      <c r="A990" s="2">
        <v>1.0</v>
      </c>
      <c r="B990" s="2" t="s">
        <v>2143</v>
      </c>
      <c r="C990" s="2" t="s">
        <v>2682</v>
      </c>
      <c r="D990" s="2" t="s">
        <v>256</v>
      </c>
      <c r="E990" s="2" t="s">
        <v>207</v>
      </c>
      <c r="F990" s="2" t="s">
        <v>15</v>
      </c>
      <c r="G990" s="2" t="s">
        <v>2683</v>
      </c>
      <c r="H990" s="2" t="s">
        <v>182</v>
      </c>
      <c r="I990" s="2" t="str">
        <f>IFERROR(__xludf.DUMMYFUNCTION("GOOGLETRANSLATE(C990,""fr"",""en"")"),"Too many exclusions in water damage. Received by an insolent young girl. Indeed wet wall and refusal of care because water entrance through the closed window and another refusal for VMC leak which damaged the ceiling. These two claims on new walls and cei"&amp;"ling.")</f>
        <v>Too many exclusions in water damage. Received by an insolent young girl. Indeed wet wall and refusal of care because water entrance through the closed window and another refusal for VMC leak which damaged the ceiling. These two claims on new walls and ceiling.</v>
      </c>
    </row>
    <row r="991" ht="15.75" customHeight="1">
      <c r="A991" s="2">
        <v>2.0</v>
      </c>
      <c r="B991" s="2" t="s">
        <v>2684</v>
      </c>
      <c r="C991" s="2" t="s">
        <v>2685</v>
      </c>
      <c r="D991" s="2" t="s">
        <v>95</v>
      </c>
      <c r="E991" s="2" t="s">
        <v>21</v>
      </c>
      <c r="F991" s="2" t="s">
        <v>15</v>
      </c>
      <c r="G991" s="2" t="s">
        <v>679</v>
      </c>
      <c r="H991" s="2" t="s">
        <v>178</v>
      </c>
      <c r="I991" s="2" t="str">
        <f>IFERROR(__xludf.DUMMYFUNCTION("GOOGLETRANSLATE(C991,""fr"",""en"")"),"Hello to you all fall out of car after calling assistance I was surprised by this woman who was unhappy with my call I was kindly asked to take into account my distress she rebuilt me ​​to another person who Confirm that the convenience store was on the w"&amp;"ay here 30 minutes after 1 hour of waiting I decide to recall I come across a very friendly gentleman who confirms that my file was not created is no tow truck was allocated he knew how to be competent And very courteous my sms was sent with a file refere"&amp;"nce that the other 3 women did not do. Fortunately, I am in a commercial parking and without family and not on a highway with all the danger that his implies no responsiveness concerning this emergency an assistant is urgently and not charity or all cinem"&amp;"a here is 2:30 am and waiting and the convenience store and still not there. Thank you Matmut for your advice")</f>
        <v>Hello to you all fall out of car after calling assistance I was surprised by this woman who was unhappy with my call I was kindly asked to take into account my distress she rebuilt me ​​to another person who Confirm that the convenience store was on the way here 30 minutes after 1 hour of waiting I decide to recall I come across a very friendly gentleman who confirms that my file was not created is no tow truck was allocated he knew how to be competent And very courteous my sms was sent with a file reference that the other 3 women did not do. Fortunately, I am in a commercial parking and without family and not on a highway with all the danger that his implies no responsiveness concerning this emergency an assistant is urgently and not charity or all cinema here is 2:30 am and waiting and the convenience store and still not there. Thank you Matmut for your advice</v>
      </c>
    </row>
    <row r="992" ht="15.75" customHeight="1">
      <c r="A992" s="2">
        <v>2.0</v>
      </c>
      <c r="B992" s="2" t="s">
        <v>2686</v>
      </c>
      <c r="C992" s="2" t="s">
        <v>2687</v>
      </c>
      <c r="D992" s="2" t="s">
        <v>68</v>
      </c>
      <c r="E992" s="2" t="s">
        <v>14</v>
      </c>
      <c r="F992" s="2" t="s">
        <v>15</v>
      </c>
      <c r="G992" s="2" t="s">
        <v>131</v>
      </c>
      <c r="H992" s="2" t="s">
        <v>23</v>
      </c>
      <c r="I992" s="2" t="str">
        <f>IFERROR(__xludf.DUMMYFUNCTION("GOOGLETRANSLATE(C992,""fr"",""en"")"),"I do not recommend at all, I let myself have by attractive prices but behind there is nothing left, customer service does not respond to email, I had to send my quotes myself because they do not do it anymore Automatic since 2021, it's been 2 months since"&amp;" I send a quote and that I have no answer, frankly I do not often give an opinion but there I wanted to warn the new ones who could make the same mistake. Run away.")</f>
        <v>I do not recommend at all, I let myself have by attractive prices but behind there is nothing left, customer service does not respond to email, I had to send my quotes myself because they do not do it anymore Automatic since 2021, it's been 2 months since I send a quote and that I have no answer, frankly I do not often give an opinion but there I wanted to warn the new ones who could make the same mistake. Run away.</v>
      </c>
    </row>
    <row r="993" ht="15.75" customHeight="1">
      <c r="A993" s="2">
        <v>2.0</v>
      </c>
      <c r="B993" s="2" t="s">
        <v>2688</v>
      </c>
      <c r="C993" s="2" t="s">
        <v>2689</v>
      </c>
      <c r="D993" s="2" t="s">
        <v>26</v>
      </c>
      <c r="E993" s="2" t="s">
        <v>14</v>
      </c>
      <c r="F993" s="2" t="s">
        <v>15</v>
      </c>
      <c r="G993" s="2" t="s">
        <v>943</v>
      </c>
      <c r="H993" s="2" t="s">
        <v>283</v>
      </c>
      <c r="I993" s="2" t="str">
        <f>IFERROR(__xludf.DUMMYFUNCTION("GOOGLETRANSLATE(C993,""fr"",""en"")"),"Increase that has not been reported")</f>
        <v>Increase that has not been reported</v>
      </c>
    </row>
    <row r="994" ht="15.75" customHeight="1">
      <c r="A994" s="2">
        <v>1.0</v>
      </c>
      <c r="B994" s="2" t="s">
        <v>2690</v>
      </c>
      <c r="C994" s="2" t="s">
        <v>2691</v>
      </c>
      <c r="D994" s="2" t="s">
        <v>64</v>
      </c>
      <c r="E994" s="2" t="s">
        <v>21</v>
      </c>
      <c r="F994" s="2" t="s">
        <v>15</v>
      </c>
      <c r="G994" s="2" t="s">
        <v>2692</v>
      </c>
      <c r="H994" s="2" t="s">
        <v>353</v>
      </c>
      <c r="I994" s="2" t="str">
        <f>IFERROR(__xludf.DUMMYFUNCTION("GOOGLETRANSLATE(C994,""fr"",""en"")"),"After 2 claims, one of which is not responsible, he terminated me without notice for no reason. The last claim was not even treated, as not responsible was counted in 100% responsible. This disaster is still not treated. The penalty applied by the new ins"&amp;"urance is wrong. The olive tree ranked file without having completed its contract.
In addition, the price is attractive at the start, but a lot of variation up depending on parking parameters, work trip ect. No mail, no seriousness, follow -up is random,"&amp;" too much different advisor on the phone")</f>
        <v>After 2 claims, one of which is not responsible, he terminated me without notice for no reason. The last claim was not even treated, as not responsible was counted in 100% responsible. This disaster is still not treated. The penalty applied by the new insurance is wrong. The olive tree ranked file without having completed its contract.
In addition, the price is attractive at the start, but a lot of variation up depending on parking parameters, work trip ect. No mail, no seriousness, follow -up is random, too much different advisor on the phone</v>
      </c>
    </row>
    <row r="995" ht="15.75" customHeight="1">
      <c r="A995" s="2">
        <v>3.0</v>
      </c>
      <c r="B995" s="2" t="s">
        <v>2693</v>
      </c>
      <c r="C995" s="2" t="s">
        <v>2694</v>
      </c>
      <c r="D995" s="2" t="s">
        <v>20</v>
      </c>
      <c r="E995" s="2" t="s">
        <v>21</v>
      </c>
      <c r="F995" s="2" t="s">
        <v>15</v>
      </c>
      <c r="G995" s="2" t="s">
        <v>1683</v>
      </c>
      <c r="H995" s="2" t="s">
        <v>45</v>
      </c>
      <c r="I995" s="2" t="str">
        <f>IFERROR(__xludf.DUMMYFUNCTION("GOOGLETRANSLATE(C995,""fr"",""en"")"),"Simple and rapid, thank you, hope that the after -sales service will live up to our requirements.
Thak you for being serious,
Thank you to the woman who received us on the phone
")</f>
        <v>Simple and rapid, thank you, hope that the after -sales service will live up to our requirements.
Thak you for being serious,
Thank you to the woman who received us on the phone
</v>
      </c>
    </row>
    <row r="996" ht="15.75" customHeight="1">
      <c r="A996" s="2">
        <v>1.0</v>
      </c>
      <c r="B996" s="2" t="s">
        <v>2695</v>
      </c>
      <c r="C996" s="2" t="s">
        <v>2696</v>
      </c>
      <c r="D996" s="2" t="s">
        <v>35</v>
      </c>
      <c r="E996" s="2" t="s">
        <v>21</v>
      </c>
      <c r="F996" s="2" t="s">
        <v>15</v>
      </c>
      <c r="G996" s="2" t="s">
        <v>2697</v>
      </c>
      <c r="H996" s="2" t="s">
        <v>23</v>
      </c>
      <c r="I996" s="2" t="str">
        <f>IFERROR(__xludf.DUMMYFUNCTION("GOOGLETRANSLATE(C996,""fr"",""en"")"),"Victim of a road accident caused by a GMF insure. I suffered 5 operations and 2 transplants. Judicial expertise orders by a judge and well obviously expertise opening up to consequent compensation. The GMF drags their feet and preferred to pass by the leg"&amp;"al route in order to save time (about 2 to 3 years)
Shameful and shabby for insurance whose slogan is ensuring human.")</f>
        <v>Victim of a road accident caused by a GMF insure. I suffered 5 operations and 2 transplants. Judicial expertise orders by a judge and well obviously expertise opening up to consequent compensation. The GMF drags their feet and preferred to pass by the legal route in order to save time (about 2 to 3 years)
Shameful and shabby for insurance whose slogan is ensuring human.</v>
      </c>
    </row>
    <row r="997" ht="15.75" customHeight="1">
      <c r="A997" s="2">
        <v>4.0</v>
      </c>
      <c r="B997" s="2" t="s">
        <v>2698</v>
      </c>
      <c r="C997" s="2" t="s">
        <v>2699</v>
      </c>
      <c r="D997" s="2" t="s">
        <v>20</v>
      </c>
      <c r="E997" s="2" t="s">
        <v>21</v>
      </c>
      <c r="F997" s="2" t="s">
        <v>15</v>
      </c>
      <c r="G997" s="2" t="s">
        <v>2700</v>
      </c>
      <c r="H997" s="2" t="s">
        <v>321</v>
      </c>
      <c r="I997" s="2" t="str">
        <f>IFERROR(__xludf.DUMMYFUNCTION("GOOGLETRANSLATE(C997,""fr"",""en"")"),"I am waiting to receive the quote and see what the quote understands because not seen all the conditions because it is fast but we do not have what it understands like franchises")</f>
        <v>I am waiting to receive the quote and see what the quote understands because not seen all the conditions because it is fast but we do not have what it understands like franchises</v>
      </c>
    </row>
    <row r="998" ht="15.75" customHeight="1">
      <c r="A998" s="2">
        <v>5.0</v>
      </c>
      <c r="B998" s="2" t="s">
        <v>2701</v>
      </c>
      <c r="C998" s="2" t="s">
        <v>2702</v>
      </c>
      <c r="D998" s="2" t="s">
        <v>64</v>
      </c>
      <c r="E998" s="2" t="s">
        <v>21</v>
      </c>
      <c r="F998" s="2" t="s">
        <v>15</v>
      </c>
      <c r="G998" s="2" t="s">
        <v>2703</v>
      </c>
      <c r="H998" s="2" t="s">
        <v>1570</v>
      </c>
      <c r="I998" s="2" t="str">
        <f>IFERROR(__xludf.DUMMYFUNCTION("GOOGLETRANSLATE(C998,""fr"",""en"")"),"Very good insurance, no worries to reach an advisor")</f>
        <v>Very good insurance, no worries to reach an advisor</v>
      </c>
    </row>
    <row r="999" ht="15.75" customHeight="1">
      <c r="A999" s="2">
        <v>1.0</v>
      </c>
      <c r="B999" s="2" t="s">
        <v>2704</v>
      </c>
      <c r="C999" s="2" t="s">
        <v>2705</v>
      </c>
      <c r="D999" s="2" t="s">
        <v>256</v>
      </c>
      <c r="E999" s="2" t="s">
        <v>21</v>
      </c>
      <c r="F999" s="2" t="s">
        <v>15</v>
      </c>
      <c r="G999" s="2" t="s">
        <v>2706</v>
      </c>
      <c r="H999" s="2" t="s">
        <v>128</v>
      </c>
      <c r="I999" s="2" t="str">
        <f>IFERROR(__xludf.DUMMYFUNCTION("GOOGLETRANSLATE(C999,""fr"",""en"")"),"I pay 210th a month for tourism car insurance. I am robbed my vehicle and Pacifica refuses to industrial me because the money with which I pay my vehicle comes from the bank account of my spouse.
A vehicle worth 7200th !! I do not advise Pacifica in any "&amp;"case !!!")</f>
        <v>I pay 210th a month for tourism car insurance. I am robbed my vehicle and Pacifica refuses to industrial me because the money with which I pay my vehicle comes from the bank account of my spouse.
A vehicle worth 7200th !! I do not advise Pacifica in any case !!!</v>
      </c>
    </row>
    <row r="1000" ht="15.75" customHeight="1">
      <c r="A1000" s="2">
        <v>1.0</v>
      </c>
      <c r="B1000" s="2" t="s">
        <v>2707</v>
      </c>
      <c r="C1000" s="2" t="s">
        <v>2708</v>
      </c>
      <c r="D1000" s="2" t="s">
        <v>256</v>
      </c>
      <c r="E1000" s="2" t="s">
        <v>21</v>
      </c>
      <c r="F1000" s="2" t="s">
        <v>15</v>
      </c>
      <c r="G1000" s="2" t="s">
        <v>903</v>
      </c>
      <c r="H1000" s="2" t="s">
        <v>112</v>
      </c>
      <c r="I1000" s="2" t="str">
        <f>IFERROR(__xludf.DUMMYFUNCTION("GOOGLETRANSLATE(C1000,""fr"",""en"")"),"Notice to road offenders! Make sure Pacifica
Drop accidents you will not be wrong! For them it is normal for an abruption to my left cuts off the road in a roundabout to get out of it and hooks my Pacifica vehicle makes me 100 % responsible")</f>
        <v>Notice to road offenders! Make sure Pacifica
Drop accidents you will not be wrong! For them it is normal for an abruption to my left cuts off the road in a roundabout to get out of it and hooks my Pacifica vehicle makes me 100 % responsible</v>
      </c>
    </row>
    <row r="1001" ht="15.75" customHeight="1">
      <c r="A1001" s="2">
        <v>2.0</v>
      </c>
      <c r="B1001" s="2" t="s">
        <v>2709</v>
      </c>
      <c r="C1001" s="2" t="s">
        <v>2710</v>
      </c>
      <c r="D1001" s="2" t="s">
        <v>351</v>
      </c>
      <c r="E1001" s="2" t="s">
        <v>261</v>
      </c>
      <c r="F1001" s="2" t="s">
        <v>15</v>
      </c>
      <c r="G1001" s="2" t="s">
        <v>2711</v>
      </c>
      <c r="H1001" s="2" t="s">
        <v>290</v>
      </c>
      <c r="I1001" s="2" t="str">
        <f>IFERROR(__xludf.DUMMYFUNCTION("GOOGLETRANSLATE(C1001,""fr"",""en"")"),"Completely agree with other opinions. Advisor to take us for idiots and contradict themselves on the reasons for delay in buyout, there is always a paper that is missing and they take months to notice.")</f>
        <v>Completely agree with other opinions. Advisor to take us for idiots and contradict themselves on the reasons for delay in buyout, there is always a paper that is missing and they take months to notice.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2022-12-16T15:48:25Z</dcterms:created>
</cp:coreProperties>
</file>