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kD1kn7IVjPRtlIdMk0UujlooUbQ=="/>
    </ext>
  </extLst>
</workbook>
</file>

<file path=xl/sharedStrings.xml><?xml version="1.0" encoding="utf-8"?>
<sst xmlns="http://schemas.openxmlformats.org/spreadsheetml/2006/main" count="7011" uniqueCount="2724">
  <si>
    <t>note</t>
  </si>
  <si>
    <t>auteur</t>
  </si>
  <si>
    <t>avis</t>
  </si>
  <si>
    <t>assureur</t>
  </si>
  <si>
    <t>produit</t>
  </si>
  <si>
    <t>type</t>
  </si>
  <si>
    <t>date_publication</t>
  </si>
  <si>
    <t>date_exp</t>
  </si>
  <si>
    <t>avis_en</t>
  </si>
  <si>
    <t>avis_cor</t>
  </si>
  <si>
    <t>avis_cor_en</t>
  </si>
  <si>
    <t>chevaly-c-117721</t>
  </si>
  <si>
    <t>Réactif et facile, pour une premiere assurance je conseille, les prix sont raisonnables et les garanties sont bien, merci l'olivier
                  .</t>
  </si>
  <si>
    <t>L'olivier Assurance</t>
  </si>
  <si>
    <t>auto</t>
  </si>
  <si>
    <t>train</t>
  </si>
  <si>
    <t>21/06/2021</t>
  </si>
  <si>
    <t>01/06/2021</t>
  </si>
  <si>
    <t>catherine-l-116421</t>
  </si>
  <si>
    <t xml:space="preserve">SIMPLE ET RAPIDE MAIS UN PEU CHER EN COMPARAISON DES PRIX OFFERTS OAR LES BANQUES ASSURANCE
AI CHOISI DIRECT ASSURANCE SUR RECOMMANDATION DE MON PERE </t>
  </si>
  <si>
    <t>Direct Assurance</t>
  </si>
  <si>
    <t>09/06/2021</t>
  </si>
  <si>
    <t>didier-r-129045</t>
  </si>
  <si>
    <t xml:space="preserve">J'ai pu comparer les tarifs assurance moto avec d'autres compagnies, AMV est la compagnie d'assurance qui, selon mes critères de garanties souhaités, offre une bonne couverture qui répond aux attentes de nombreux motards. Les tarifs sont attractifs et ciblés particulièrement à la communauté des motards avec le souci de proposer des prestations qui ne sont pas communes avec les assurés en automobiles. </t>
  </si>
  <si>
    <t>AMV</t>
  </si>
  <si>
    <t>moto</t>
  </si>
  <si>
    <t>22/08/2021</t>
  </si>
  <si>
    <t>01/08/2021</t>
  </si>
  <si>
    <t>brubru-96855</t>
  </si>
  <si>
    <t xml:space="preserve">Très bonne réactivité au téléphone et peu d'attente.très appréciable.
Très bonne  réactivité sur internet.
Bon remboursements et rapides
Bref 
Satisfait de la mutuelle Génération </t>
  </si>
  <si>
    <t>Génération</t>
  </si>
  <si>
    <t>sante</t>
  </si>
  <si>
    <t>31/08/2020</t>
  </si>
  <si>
    <t>01/08/2020</t>
  </si>
  <si>
    <t>samuel-t-127029</t>
  </si>
  <si>
    <t>Je suis satisfait des services et les prix me conviennent? Simple, rapide et efficace. Je recommande Direct Assurance, cela vaut clairement le coup !!!</t>
  </si>
  <si>
    <t>07/08/2021</t>
  </si>
  <si>
    <t>tounki--98708</t>
  </si>
  <si>
    <t xml:space="preserve">Pour un assureur soit disant pas chers je suis dessus car ce n’est plus le moins chers sur le marché et en cas d’accident il faut se battre avec le gestionnaire pour faire valoir ses droits d’assurer( on vous déclare responsable hors que vous êtes convaincu que ce n’est pas le cas). 
En cas de bris de glace on m’a presque forcé à aller chez un réparateur agréer hors que j’ai mentionné à mon interlocuteur que j’en connaissais un, on a fini par ce prendre la tête vu que je ne voulais pas aller chez un réparateur agréer. </t>
  </si>
  <si>
    <t>13/10/2020</t>
  </si>
  <si>
    <t>01/10/2020</t>
  </si>
  <si>
    <t>cubitus-63109</t>
  </si>
  <si>
    <t>Client depuis 40 ans ainsi que ma maman la Macif n’a pas hésité une seconde pour résilier le contrat auto de ma maman suite à trois petits sinistres certes rapprocher mais avec un bonus maximum acquis au fil des ans
Tous les discours sur le sociétariat la qualité de la relation et le caractère mutualiste ne sont donc qu’une vaste fumisterie car notre intervention auprès du service client n a rien changé sur la décision final
J ai donc pris la décision de résilier mes deux contrats auto sur les champs
 Non la Macif n’est pas une bonne compagnie d’assurance</t>
  </si>
  <si>
    <t>MACIF</t>
  </si>
  <si>
    <t>10/04/2018</t>
  </si>
  <si>
    <t>01/04/2018</t>
  </si>
  <si>
    <t>xavier-117-51660</t>
  </si>
  <si>
    <t>Mon épouse a été accidentée il y a 5 ans. Les responsabilités sont clairement établies: l'autre conducteur a grillé un stop et est rentré sur le coté de la voiture de ma femme à 70km/h. Il est donc responsable à 100%.
Depuis mon épouse a mal à une épaule et devra probablement prochainement se faire opérer.
Malheureusement, l'autre conducteur était aussi assuré à la Maif. Ce qui apparaissant comme un avantage puisqu'il y n'y a qu'un seul assureur en jeu, devient vite un inconvénient.
A aucun moment la Maif ne s'est comporté en partenaire au coté de son client, mais comme adversaire à contrer.
La Maif rechigne à indemniser mon épouse. Elle ne reconnaît pas le préjudice physique au motif qu'il n'est pas certain à 100%, car il est impossible de prouver que l'épaule était valide à 100% juste avant le choc. Ben quoi, vous ne conduisez pas avec un appareil de radiographie dans votre voiture?
Quand au préjudice moral, elle a proposé une indemnisation au rabais, très en dessous des sommes habituellement proposées.
Alors que le dossier est simple, l'affaire a dû être portée devant les tribunaux. La Maif utilise toutes les ficelles procédurales pour faire traîner le jugement.
Client depuis plus de 30 ans, je suis écœuré.
Maif, assureur militant .... de la cause des assureurs radins.</t>
  </si>
  <si>
    <t>MAIF</t>
  </si>
  <si>
    <t>25/01/2017</t>
  </si>
  <si>
    <t>01/01/2017</t>
  </si>
  <si>
    <t>ninie-81258</t>
  </si>
  <si>
    <t>après m'être fait recalée chez direct assurance j'ai prospecté, j'ai vu les tarifs très intéressants donc j'ai foncé, je ne regrette pas du tout, c'est une des assurances les moins chères du marché, très satisfaite</t>
  </si>
  <si>
    <t>22/11/2019</t>
  </si>
  <si>
    <t>01/11/2019</t>
  </si>
  <si>
    <t>antoine-v-123557</t>
  </si>
  <si>
    <t>pas de problemes tout est parfait.cela fait au moins 10 ans que je suis chez direct assu. malgres l avis de certains assureurs.Maison et voitures tout va bien.MERCI et a bientot.</t>
  </si>
  <si>
    <t>16/07/2021</t>
  </si>
  <si>
    <t>01/07/2021</t>
  </si>
  <si>
    <t>hind-75318</t>
  </si>
  <si>
    <t>Je vous déconseille vivement cette assurance:un service client de très mauvaise qualité! Aucune reconnaissance vers les clients. je suis choquée de leurs procédures.</t>
  </si>
  <si>
    <t>MAAF</t>
  </si>
  <si>
    <t>23/04/2019</t>
  </si>
  <si>
    <t>01/04/2019</t>
  </si>
  <si>
    <t>jonarod-55851</t>
  </si>
  <si>
    <t>EUROFIL EST LE PIRE DES ASSUREURS. Ne souscrivez jamais avec eux, tout simplement. L'argent ils le collectent bien, ca ce n'est pas un soucis. Cependant, je confirme que le "service client" est en fait un service de resiliation. Si vous demandez quoi que ce soit, ils vous resilieront directement sans preavis ni discussion. En fait, vous ne le saurez meme pas... Un jour vous appellerez de bonne foi, et on vous dira que vous n'etes pas assure :) Le service client enregistre vos appels et vous etes etudies: si votre conversation renvoi a un "soupcon de risque": vous etes radies sans sommation. Par soupcon on entends: soupcon de declaration de sinistres, soupcon de resiliation, soupcon de changement de situation (vous voulez baisser ou augmenter vos garanties), soupcon de changement d'assureur (vous demandez un devis ou un avis de situation)... En gros, n'appelez pas.
J'ai moi-meme appele pour augmenter mes garanties apres un changement d'emploi (donc un plus grand risque a mes yeux...), la demoiselle m'a repondu que ce n'etait pas possible, reponse qui ma peu satisfait mais bon... j'aurai fait avec ! Mais pas Eurofil: mon compte a ete immediatement gele, impossible de les joindre ou d'etre joint par eux... Evidemment le prelevement subsiste (ce serait trop beau sinon voyons !)
Je vous aurai prevenus....</t>
  </si>
  <si>
    <t>Eurofil</t>
  </si>
  <si>
    <t>06/07/2017</t>
  </si>
  <si>
    <t>01/07/2017</t>
  </si>
  <si>
    <t>hui-w-114198</t>
  </si>
  <si>
    <t>je suis en colere car on m'a preleve 175,63 euros pour une raison unconne. apres vous appeler au moins cinq fois, le probleme est toujours pas resolu.</t>
  </si>
  <si>
    <t>19/05/2021</t>
  </si>
  <si>
    <t>01/05/2021</t>
  </si>
  <si>
    <t>sade-102131</t>
  </si>
  <si>
    <t>Harmonie Mutuelle .
Je suis à cette mutuelle depuis 2020 . C'est une catastrophe  .Encore cette année 2021 actuellement ,la connexion de mon dossier n'est pas établie avec la caisse de régime obligatoire . Combien de temps  à attendre ? .</t>
  </si>
  <si>
    <t>Harmonie Mutuelle</t>
  </si>
  <si>
    <t>04/01/2021</t>
  </si>
  <si>
    <t>01/01/2021</t>
  </si>
  <si>
    <t>gilles-h-118056</t>
  </si>
  <si>
    <t>Je suis satisfait du service, la souscription est relativement aisée. L'offre me parait correcte par rapport à la concurrence. Comme toute assurance, a tester en cas de probleme.</t>
  </si>
  <si>
    <t>APRIL Moto</t>
  </si>
  <si>
    <t>24/06/2021</t>
  </si>
  <si>
    <t>cassandra-e-116477</t>
  </si>
  <si>
    <t>Très simple et très bien expliqué.
Tout est très clair 
Prix abordable
Très satisfaite de votre service
Merci beaucoup pour votre service et votre patiente.</t>
  </si>
  <si>
    <t>dune-81689</t>
  </si>
  <si>
    <t xml:space="preserve">Je n'ai que du bien à dire de la MAIF. Assurée chez eux depuis 20 ans, j'ai subi 2 sinistres habitation, et 2 sinistres véhicule. Les interventions se sont toujours déroulées avec fluidité, rapidité et clarté. Je me suis toujours sentie écoutée et comprise. Les conseillers sont à un haut niveau d'écoute et d'attention et très chaleureux. J'ai récemment souscrit un contrat pour les activités d'une association Loi 1901, j'avais fait une comparaison avec 4 autres assureurs, la MAIF a gagné haut la main en termes de :
. accueil et personnalisation du conseil, connaissance et maîtrise du sujet 
. clarté et précision des termes du contrat : je sais exactement pour quoi et comment je suis assurée, je n'ai aucune mauvaise surprise
. tarif
</t>
  </si>
  <si>
    <t>06/12/2019</t>
  </si>
  <si>
    <t>01/12/2019</t>
  </si>
  <si>
    <t>ninou-62388</t>
  </si>
  <si>
    <t xml:space="preserve">Je suis tres déçu je suis passer chez sogesur car ma conseillère me la proposer et de la une semaine apres jai eu un pb avec une voiture acheter juste après donc je prend contacte avec la plateforme qui me dit de prendre un expert afin d avoir un rapport expertise et de les contacter apres le rapport ceux que jai fait et de la plus personne pour suivre mon dossier car soi-disant je n etait pas assurer chez eu au moment de l'achat mais alors pkoi mavoir dit de prendre un expert et maintenant tout et a mes frais et de la jai eu une conseillère qui ma dit quel aller quand meme me conseiller pour les étape a suivre meme si il prenait pas les frais je les trouver très sympas mais apres plus de nouvelle je les apeler laisser des message envoyer des email et bien plus de reponse se celle ci bref déçu de cette assurance je la déconseille à tout le monde </t>
  </si>
  <si>
    <t>Sogessur</t>
  </si>
  <si>
    <t>habitation</t>
  </si>
  <si>
    <t>15/03/2018</t>
  </si>
  <si>
    <t>01/03/2018</t>
  </si>
  <si>
    <t>madomelle-115918</t>
  </si>
  <si>
    <t>Remboursement total du prêt en février, depuis ils continuent de me prélever. Attestation remboursement total du prêt envoyé, pas de réponse aux mails, et au téléphone on me répond que mon dossier va être traité.
Assurance à fuir au plus vite.</t>
  </si>
  <si>
    <t>MetLife</t>
  </si>
  <si>
    <t>credit</t>
  </si>
  <si>
    <t>04/06/2021</t>
  </si>
  <si>
    <t>noune06-67280</t>
  </si>
  <si>
    <t xml:space="preserve">Super mutuelle 
Je suis chez eux depuis un bon moment!
Bon rapport garantie/prix 
Conseillés très aimables
Bonne disponibilité de l'ensemble des services.
Les garanties me satisfont pleinement.! 
</t>
  </si>
  <si>
    <t>Néoliane Santé</t>
  </si>
  <si>
    <t>02/10/2018</t>
  </si>
  <si>
    <t>01/10/2018</t>
  </si>
  <si>
    <t>phil-54967</t>
  </si>
  <si>
    <t xml:space="preserve">demandeur d'emploi depuis une rupture conventionnelle le 29/03/2017, j'ai déjà dû attendre de la part de mon "employeur" le document de portabilité de la prévoyance 1 mois, ce qui ne m'étonne pas vu qu'il vont fermer bientôt et tarde à envoyer les documents IJ CPAM à l'AG2R, par contre un vrai parcours du combattant avec AG2R prévoyance de CHARTRES très poli très à l'écoute au premier abord,mais  étanche à mes demandes d'informations et de documentations sur mon contrat en cours et qui à mon sens n'est prévoyante que de nom! à part me faire perdre mon temps  en me redemandant des documents qu'ils ont déjà reçu et validé par mail, malgré mes appels où je tombe sur des télé-conseillés qui ne connaissent rien à votre dossier mais "vont transmettre" plus haut, En plus il me demande un justificatif d'emploi de plus d'un an alors qu'il me verse des indemnités journalière déjà depuis janvier 2016 et que je payais par moitié avec mon ancien employeur le montant mensuel de la prévoyance (sic) c'est vraiment pathétique de la part d'un gros groupe d'assurance, est ce de l'incompétence ? bref je suis dans le questionnement sur l'honnêteté de ce groupe.Tout cela pour un règlement d'IJ de 20 jours et au vu des avis postés c'est pas gagné.la seule réponse valable que j'accepte c 'est le règlement de mon dû le reste c'est du blabla auquel je ne répondrais pas 
</t>
  </si>
  <si>
    <t>Ag2r La Mondiale</t>
  </si>
  <si>
    <t>prevoyance</t>
  </si>
  <si>
    <t>29/05/2017</t>
  </si>
  <si>
    <t>01/05/2017</t>
  </si>
  <si>
    <t>mathilde-68607</t>
  </si>
  <si>
    <t>Déplorable !!! il n'y a pas d'autres mots.
Tous ce qui est dit par les internautes mécontents est plus que vrai !!! 
Enseigne à éviter absolument</t>
  </si>
  <si>
    <t>Active Assurances</t>
  </si>
  <si>
    <t>14/11/2018</t>
  </si>
  <si>
    <t>01/11/2018</t>
  </si>
  <si>
    <t>dom52-58389</t>
  </si>
  <si>
    <t>Assurance intéressante avec un sîte internet sympa.</t>
  </si>
  <si>
    <t>AXA</t>
  </si>
  <si>
    <t>26/10/2017</t>
  </si>
  <si>
    <t>01/10/2017</t>
  </si>
  <si>
    <t>kervoelen-j-122028</t>
  </si>
  <si>
    <t>Le prix est compétitif, il me convient, l'offre me convient également, l'accompagnement dans les démarches administratives est très satisfaisant. Je recommande.</t>
  </si>
  <si>
    <t>jehne-s-137918</t>
  </si>
  <si>
    <t>C'est bien pratique le service téléphonique et en ligne...
Les interlocuteurs au téléphone sont sympa, patient et pédagogue... Bon services...
Le prix du contrat est sympa...</t>
  </si>
  <si>
    <t>21/10/2021</t>
  </si>
  <si>
    <t>01/10/2021</t>
  </si>
  <si>
    <t>margo-z-102348</t>
  </si>
  <si>
    <t>Je suis satisfaite du service, les prix sont très attractifs et me conviennent. Un changement simple et rapide à la portée de tous. 
Merci à toute l'équipe de Zen +</t>
  </si>
  <si>
    <t>Zen'Up</t>
  </si>
  <si>
    <t>11/01/2021</t>
  </si>
  <si>
    <t>thibaud-f-133279</t>
  </si>
  <si>
    <t>Très bien conseillé, dame très sympathique. Je conseillerai direct assurance a grand nombre de mes proches. Merci pour tout et au plaisir.
Bon courage.</t>
  </si>
  <si>
    <t>17/09/2021</t>
  </si>
  <si>
    <t>01/09/2021</t>
  </si>
  <si>
    <t>estelle-b-135032</t>
  </si>
  <si>
    <t xml:space="preserve">Bonne souscription efficace et rapide 
Je recommande !
Souscription et envoie des papier, si soucis conseiller joignable par téléphone ! Et question prix vraiment top </t>
  </si>
  <si>
    <t>29/09/2021</t>
  </si>
  <si>
    <t>psy-59478</t>
  </si>
  <si>
    <t>Aucune réponses aux nombreux mails et appels téléphoniques au sujet d'une contestation de sinistres. Je viens de saisir le médiateur des assureurs. A suivre</t>
  </si>
  <si>
    <t>07/12/2017</t>
  </si>
  <si>
    <t>01/12/2017</t>
  </si>
  <si>
    <t>emile-78960</t>
  </si>
  <si>
    <t>Je suis client MACIF depuis de nombreuses années.
Tout récemment, je suis tombée en panne à Paris avec la voiture de mon beau père, assuré à la MMA, qui malgré qu'il soit assuré en tous risques, ne peut pas bénéficier de l'assistance en cas de panne...ce qu'il ignorait d'ailleurs.C'est une option !!! N'arrivant pas à me faire remorquer, j'ai contacté en désespoir de cause la hotline de la MACIF où une jeune femme m'a trouvé en moins de 1 heure, un remorquage et une prise en charge dans un garage le samedi soir à 19 heures...alors qu'elle n'y était absolument pas obligée puisque ce véhicule n'est pas assuré à la MACIF...
Elle m'a franchement tiré d'un énorme guêpier qui m'a permis de rentrer chez moi en province et de ne pas rester bloquer à Paris le temps de trouver une solution.
La MACIF n'a pas besoin de faire une campagne publicitaire "zéro blabla, zéro tracas"...Ils le font !</t>
  </si>
  <si>
    <t>04/09/2019</t>
  </si>
  <si>
    <t>01/09/2019</t>
  </si>
  <si>
    <t>ange-106580</t>
  </si>
  <si>
    <t>A ce jour aucun problème avec la MGP
Très aimable au téléphone et aucun problème de renseignements
Tout se passe bien pour l'instant malgré la situation à ce jour très compliqué le suis content</t>
  </si>
  <si>
    <t>MGP</t>
  </si>
  <si>
    <t>15/03/2021</t>
  </si>
  <si>
    <t>01/03/2021</t>
  </si>
  <si>
    <t>nadira-49802</t>
  </si>
  <si>
    <t xml:space="preserve">Complètement Insatisfaite après mon dernier échange avec une conseillère des plus désagréable( sans compter effectivement l'attente pour recevoir la carte verte et le petit plastique jamais reçu pour apposer sur le pare brise) pour mettre en place un contrat qu'elle m'avait confirmer 2 jours plus tôt en me donnant les mensualités correspondantes avec mon bonus et au moment d'établir le contrat finalement le logiciel le refuse par politesse je lui dit vous avez du faire une erreur et la avec un ton énervé et arogante me dit "vous n'allez pas insister sa ne passe pas". Bref un conseil changé vos conseillers ou formez les correctement et j'espère qu'un responsable pourras écouter cette conversation si elle a été enregistrée . Mon courrier de résiliation par demain. </t>
  </si>
  <si>
    <t>01/12/2016</t>
  </si>
  <si>
    <t>liamjad-91891</t>
  </si>
  <si>
    <t>Satisfaite de l’assurance car le prix reste correct déjà assurer chez vous je souhaite y rester pour mon nouveau véhicule c’est pour cela que j’ai effectué un devis</t>
  </si>
  <si>
    <t>23/06/2020</t>
  </si>
  <si>
    <t>01/06/2020</t>
  </si>
  <si>
    <t>tzl-81680</t>
  </si>
  <si>
    <t>Veuillez patienter nous recherchons votre correspondant... Evitez surtout d'avoir besoin de votre assurance. Après un sinistre, plus personne n'est joignable. Le garage partenaire est surbooké, l'expert ne répond pas, il n'y a aucun véhicule de remplacement disponible.</t>
  </si>
  <si>
    <t>Allianz</t>
  </si>
  <si>
    <t>arth-85554</t>
  </si>
  <si>
    <t>A fuir !</t>
  </si>
  <si>
    <t>Peyrac Assurances</t>
  </si>
  <si>
    <t>06/01/2020</t>
  </si>
  <si>
    <t>01/01/2020</t>
  </si>
  <si>
    <t>titi68-60497</t>
  </si>
  <si>
    <t xml:space="preserve">Suite à l'inaction des services de la MACIF, j'ai décidé de résilier mon assurance auto début novembre 2017.
Mi décembre, n'ayant toujours pas reçu mon remboursement, j'ai contacter Macif qui me dit que ce dernier peut mettre jusqu'à 6 semaines le temps qu'il soit traité. A ce jour, je suis bien au delà des 6 semaines et je n'ai toujours rien.
Par contre, si par mégarde on oubli de payer la cotisation annuelle en temps et en heure, on reçois un rappel sous 3 semaines.
Macif est pressé de recevoir les cotisations, mais questions de remboursement, c'est l'opposée.
A fuir!!!
</t>
  </si>
  <si>
    <t>15/01/2018</t>
  </si>
  <si>
    <t>01/01/2018</t>
  </si>
  <si>
    <t>lapagesse-s-111501</t>
  </si>
  <si>
    <t>Je suis satisfait dans l'ensemble pour l'instant avoir avec le temps di il y a pas de souci quelle conque je ne pense pas ayant déjà été assuré par l'olivier.</t>
  </si>
  <si>
    <t>24/04/2021</t>
  </si>
  <si>
    <t>01/04/2021</t>
  </si>
  <si>
    <t>isis-67873</t>
  </si>
  <si>
    <t>Prévoyance : depuis le 21 09/2018 j'attends une réponse. Ayant contacté plusieurs fois la plateforme j'ai eu droit à plusieurs versions ce qui est grave car laquelle est la bonne?...Assurée depuis 34 ans avec garantie SALAIRE et PRIMES....ayant eu déjà des remboursements sans souci voilà que l'on me sort une ''franchise de 30 jours sur les primes''??? En situation de congés longue maladie fractionnée sur les 4 appels 2 m'ont donné un compteur de jours restant à utiliser sur les 1080 et 2 m'ont répondu que j'avais 2 compteurs et qu'ils ne pouvaient me dire le reste à utiliser???Incompétence de ses personnes? et de me dire x fois que l'on ''réinterroge'' le gestionnaire qui est injoignable.(intolérable). Réclamation écrite sans réponse. Avec d'autres collègues on comprend qu'Intériale laisse pourrir la situation ne répond pas à la demande .Ce n'est que lorsque , de lassitude et de besoin ,on le fait on nous répond que l'on n'est pas pris en charge pour telle ou telle prestation (dans mon cas primes avec franchise ? et je ne sais toujours pas pourquoi).Je dois prendre un traitement lourd et j'attends la réponse. Pas question de faire une demande de prise en charge avant de savoir pourquoi on me change les garanties que je n'ai pas modifiées depuis 34 ans...</t>
  </si>
  <si>
    <t>Intériale</t>
  </si>
  <si>
    <t>19/10/2018</t>
  </si>
  <si>
    <t>nicolas-r-108240</t>
  </si>
  <si>
    <t>Contact en ligne très satisfaisant et prix attractif. Les formalités d'inscription et le devis en ligne sont très faciles à réaliser. Je recommanderai vos services.</t>
  </si>
  <si>
    <t>27/03/2021</t>
  </si>
  <si>
    <t>morio-s-122206</t>
  </si>
  <si>
    <t xml:space="preserve">je suis satisfait du tarif appliqué qui correspond a ma demande , a part que je souhaitais régler a l'année afin de bénéficier d'une remise supplémentaire ! </t>
  </si>
  <si>
    <t>02/07/2021</t>
  </si>
  <si>
    <t>grail-58976</t>
  </si>
  <si>
    <t xml:space="preserve">Au vues des critiques que je viens de lire, je suis désolée et rassurée de voir que je ne suis pas la seule à être tombé dans le panneau et ce pendant 5 bonnes annees. Tout est mauvais du service client, à l'espace client, aux remboursements Et même aux réponses ridicules qu'ils essayent
 tant bien que mal à nous vendre sur ce site d'opinions </t>
  </si>
  <si>
    <t>APRIL</t>
  </si>
  <si>
    <t>21/11/2017</t>
  </si>
  <si>
    <t>01/11/2017</t>
  </si>
  <si>
    <t>dominou-81469</t>
  </si>
  <si>
    <t xml:space="preserve">J'ai eu Alicia pour le suivi de mon dossier  et je la remercie de ses conseils et de son professionnalisme </t>
  </si>
  <si>
    <t>Santiane</t>
  </si>
  <si>
    <t>29/11/2019</t>
  </si>
  <si>
    <t>assurement-88387</t>
  </si>
  <si>
    <t>NULLISSIMES, SE FOUTENT DE NOUS. 
Aucune réponse aux questions dans l'espace personnel internet, aucune réponse aux emails. 
Étant en indépendant, j'ai deux RIB, un Pro pour les prélèvements (loi Madelin), un perso pour les remboursements. Bien précisé à l'adhésion, pourtant, ils prélèvent sur le mauvais compte. J'ai eu beau leur redire X fois, problème jamais réglé.
Autre problème : pas de télétransmission : ils ont les coordonnées de ma caisse, mais je dois toujours télécharger les relevés de la sécu, les imprimer et les envoyer par courrier. Evidemment, le délai étant limité à 3 mois, certaines prestations n'ont pas été remboursées. Demandé plusieurs fois pourquoi je n'avais pas de télétransmission… aucune réponse.</t>
  </si>
  <si>
    <t>18/03/2020</t>
  </si>
  <si>
    <t>01/03/2020</t>
  </si>
  <si>
    <t>liliane-r-128301</t>
  </si>
  <si>
    <t>Assureurs très fiables .
Oui s je suis très contente du ervice très disponible , une grande amabilité,  rapidité .
Je suis très satisfaite de cet assureur !</t>
  </si>
  <si>
    <t>17/08/2021</t>
  </si>
  <si>
    <t>chrispada-56118</t>
  </si>
  <si>
    <t>profiteur de la situation des  personnes
opere d un tendon pour maladie professionnelle on me radie de l assurance pour une pathologie sans traitement non declare et d un arret de travail de plus de 21 jours sans rapport avec l operation que je viens d avoir et une reponse au bout de 6 mois et mes 10 dernireres anneees fiche de paye</t>
  </si>
  <si>
    <t>19/07/2017</t>
  </si>
  <si>
    <t>pilla-b-107107</t>
  </si>
  <si>
    <t xml:space="preserve">La phase de souscription est très bien amené, moderne on se s'y perd pas. Un petit point sur l'envoi des fichiers. Dommage de devoir les envoyer 1 par 1.
Sinon, bon départ. A voir aux prochaines étapes, à savoir réception de la carte verte. </t>
  </si>
  <si>
    <t>18/03/2021</t>
  </si>
  <si>
    <t>lmgg-57329</t>
  </si>
  <si>
    <t xml:space="preserve">3eme année chez L'olivier, tout se passe bien, j'utilise leur site et l'espace perso et c'est top. Mon prix à diminuer de manière significative (pas de sinistre). En plus ils ont la signature électronique et tout va vite avec la possibilité de télécharger des documents. </t>
  </si>
  <si>
    <t>15/09/2017</t>
  </si>
  <si>
    <t>01/09/2017</t>
  </si>
  <si>
    <t>louis-92430</t>
  </si>
  <si>
    <t>Le prix est un peu cher, sachant que je conduis depuis 2013 et ai arrêté d’assurer mon ancien véhicule depuis 2017. Je ne suis pas un jeune conducteur et conduis très rarement.</t>
  </si>
  <si>
    <t>27/06/2020</t>
  </si>
  <si>
    <t>anne-sophie-p-106020</t>
  </si>
  <si>
    <t>Rapide efficace et clair, souscription simple et tarif super la conseillère répond à toutes les questions et explique dans le détails les garanties je suis très contente de faire des économies</t>
  </si>
  <si>
    <t>09/03/2021</t>
  </si>
  <si>
    <t>antoinehossegor-94365</t>
  </si>
  <si>
    <t xml:space="preserve">Satisfait du devis et du site . Bien fait et rapide . Je vais regarder et comparer avant de le valider .  Merci direct assurance.       .  Protection adapté au client </t>
  </si>
  <si>
    <t>17/07/2020</t>
  </si>
  <si>
    <t>01/07/2020</t>
  </si>
  <si>
    <t>gaby-93948</t>
  </si>
  <si>
    <t>prise en charge insuffisante, surtout sur les appareils auditifs, dentaires, et complément pour chambre individuelle</t>
  </si>
  <si>
    <t>13/07/2020</t>
  </si>
  <si>
    <t>vincentbo--96256</t>
  </si>
  <si>
    <t xml:space="preserve">Devant solutionner deux problèmes distincts pour mes enfants rattachés sur mon contrat Mgp, j’ai trouvé écoute, sympathie, précisions, politesse et grand professionnalisme de la part de mon interlocutrice que je remercie vivement. </t>
  </si>
  <si>
    <t>13/08/2020</t>
  </si>
  <si>
    <t>david-g-111224</t>
  </si>
  <si>
    <t>Satisfait du service rendu. Facile d'accès,  aimables et la ligne est rapidement disponible. Serait intéressant de développer les offres competitives pour les 2 roues.</t>
  </si>
  <si>
    <t>22/04/2021</t>
  </si>
  <si>
    <t>dejan-n-133938</t>
  </si>
  <si>
    <t xml:space="preserve">Je suis satisfait pour l’instant c’est trop tôt pour me faire un avis, mais cela m’a l’air correct. Donc je recommanderais cette assurance a mes proches </t>
  </si>
  <si>
    <t>22/09/2021</t>
  </si>
  <si>
    <t>florence-d-115234</t>
  </si>
  <si>
    <t>Très bon rapport qualité/prix. Toujours satisfaite des services proposés.
Plateforme de service en ligne intuitive et fonctionnelle.
Je recommande vivement !</t>
  </si>
  <si>
    <t>GMF</t>
  </si>
  <si>
    <t>28/05/2021</t>
  </si>
  <si>
    <t>melina-h-134381</t>
  </si>
  <si>
    <t xml:space="preserve">Super satisfait tarifs et services proposés options variables adaptabilité,  multiple formule avec différentes variables. 
Vive le parrainage et bravo direct assurance </t>
  </si>
  <si>
    <t>24/09/2021</t>
  </si>
  <si>
    <t>pascontent-106759</t>
  </si>
  <si>
    <t xml:space="preserve">Bonjour,
assuré chez DIRECT ASSURANCE depuis avril 2018, j'ai changé de véhicule en décembre 2020.
j'ai assuré tout risque une AUDI A4 AVANT de 2016 le 08 décembre pour un montant TTC de 737,37 euros.
Cette vente annulée car le vendeur s'est désisté, je reprends mes recherches.
Je trouve exactement le même modèle et l'assure le 22 décembre pour cette fois 862,23 euros TTC.
Je reçois le 10 mars mon échéancier pour l'année qui s'élève cette fois à 931,03 euros TTC.
Surpris de ces hausses successives, je fais la démarche pour un devis en ligne et celui-ci s'élève pour le même véhicule et les mêmes prestations à 417,34 euros TTC!!! même pas la moitié de ce que je paye.
j'ai téléphoné le 15 mars à un conseiller qui m'a expliqué que ce devis s'adresse uniquement à de nouveaux clients et que les hausses sont consécutives à l'accidentabilité dans ma région. On m'a ensuite proposé une réduction ridicule de 50 euros sur ma prime annuelle.
je précise que je n'ai eu aucun sinistre depuis que je suis chez cet assureur et bénéficie d'un bonus de 50%.
Est-ce légal de pratiquer de telles différence entres nouveaux clients et clients fidélisés???
A ce tarif aucun intérêt de rester chez un assureur en ligne, je peux trouver dans ma rue une agence avec un unique interlocuteur.
cordialement.
Pascal MATHIEU 
84500 BOLLENE 
PS : je tiens les différents documents à votre disposition si nécessaire.
</t>
  </si>
  <si>
    <t>16/03/2021</t>
  </si>
  <si>
    <t>paskontente-92932</t>
  </si>
  <si>
    <t xml:space="preserve">Cliente de la MACIF depuis 20 ans, j'envisage aujourd'hui de changer d'assureur, en raison d'un service clientèle déplorable. Suite à un dégât des eaux survenu en janvier, je ne sais toujours pas ce qui va être pris en charge par l'assurance !!! (Pour info, l'expert est passé le 5 février; donc qu'on ne me dise pas que le COVID est responsable : entre le 5 février et le 16 mars, début du confinement, on avait le temps de traiter mon dossier !...).  Sauf si vous vous déplacez en agence (quand celle-ci est à 20 Km de chez vous, c'est pratique...), il est impossible d'obtenir une réponse fiable : par téléphone, 10 appels, 10 réponses différentes. Quant à la messagerie via l'espace personnel, encore mieux, personne ne répond ! Bref, aucun respect de la clientèle. </t>
  </si>
  <si>
    <t>did64-63163</t>
  </si>
  <si>
    <t>Service client inexistant, après 18 ans passé chez eux je le déconseille fortement que cela soit pour mutuel ou pour auto.
Impossible de les joindre sauf par téléphone après une longue attente de plus ils repondent n'mporte quoi.
Voici le mail envoyé aujourd'hui:
 Bonjour,
Pourquoi est ce si compliqué d'avoir une simple attestation de votre part
01/04=_x009b_ appel au 09 69 39 49 39 on me dis ok je vais avoir l'attestation dans 48h
06/04=_x009b_ appel au 09 69 39 49 39 on me dis pas le bon numero (alors que c'est le même que le 01/04)
06/04=_x009b_ appel au 09 69 39 49 69 on me dis pas de probleme, je recois l'attestation mais aucune mention de ma conjointe
06/04=_x009b_ je rappel on me dis pas possible il faut envoyer un mail a wged@macif.fr ce que j'ai fais le 06/04 puis le 09/04, le 10/04
JE RENOUVELLE DONC MA DEMANDE POUR LA 8EME FOIS:
Pouvez vous m'établir un relevé d'information sur les 5 dernières années qui mentionne ma conjointe et les vrais véhicules que j'ai eu assurer chez vous ET ME L'ENVOYER PAR COURRIEL</t>
  </si>
  <si>
    <t>11/04/2018</t>
  </si>
  <si>
    <t>perrine-96022</t>
  </si>
  <si>
    <t xml:space="preserve">J’ai déclaré un sinistre le 17/06... j’ai eu aucune nouvelle depuis.
Payant 100€ par mois mon assurance, et ne pouvant pas forcément avancer les réparations, je suis complètement outrée par la gestion de ce sinistre. 
Si je ne les appels pas, ils ne font strictement rien !!!!! 
Je suis vraiment choquée </t>
  </si>
  <si>
    <t>06/08/2020</t>
  </si>
  <si>
    <t>berguiga-m-117453</t>
  </si>
  <si>
    <t>Satisfaite du service .
J'aurais aimé avoir un meilleur prise en charge sur l'expert assuré aussi et toujours assuré car manque un papier de plants qui est introuvable</t>
  </si>
  <si>
    <t>18/06/2021</t>
  </si>
  <si>
    <t>chavany-97614</t>
  </si>
  <si>
    <t>On a vraiment affaire avec des "fonctionnaires" de l'assurance, aucune possibilité de discussion et de négociation, refus de remise assurance auto à l'inverse d'autres par rapport au COVID sous des prétextes fallacieux, pas de discussion possible, seuls les tarifs sont attractifs, mais sans sinistre depuis des années, comment juger des éventuels remboursements ? Pas étonnant que les assurés se tournent vers les assurances en ligne.</t>
  </si>
  <si>
    <t>19/09/2020</t>
  </si>
  <si>
    <t>01/09/2020</t>
  </si>
  <si>
    <t>grand-bois-e-111065</t>
  </si>
  <si>
    <t>Je suis satisfaite du service. Maxime était génial et compétent. Merci pour votre travail et toutes les informations concernant le contrat, je suis tellement contente.</t>
  </si>
  <si>
    <t>20/04/2021</t>
  </si>
  <si>
    <t>sego1811-78344</t>
  </si>
  <si>
    <t>Très très déçue. Cliente de la MAIF pour mon assurance habitation + GAV, depuis plus de 15 ans, puis pour les voitures depuis 2 ans... Ayant mes 2 parents à la MAIF depuis plus de 40 ans, c'est vraiment décevant de voir la reconnaissance fidélité de cette assurance.
J'ai demandé un geste commercial suite à la déclaration d'un sinistre et on me répond négativement sans même me téléphoner ou échanger avec moi. Je pense très sincèrement que je vais tout changer en terme d'assurance. Je suis en train de faire faire des devis. Peut-être même, vais-je en parler à mes parents qui seront sans doute bien déçus de cette assurance dont ils ont tant pensé de bien. Je pense que les choses ont bien changé depuis des années...</t>
  </si>
  <si>
    <t>10/08/2019</t>
  </si>
  <si>
    <t>01/08/2019</t>
  </si>
  <si>
    <t>ben-abderrahlane-l-138504</t>
  </si>
  <si>
    <t xml:space="preserve">Je suis entièrement satisfait de cette compagnie d'assurance. Le service client était à l'écoute, les prix sont attractifs et la couverture satisfaisante. </t>
  </si>
  <si>
    <t>28/10/2021</t>
  </si>
  <si>
    <t>joao-paulo-p-125945</t>
  </si>
  <si>
    <t>Simple et pratique
Permets d'accéder directement à tous les services de mon assurance
Déclarer un sinistre en ligne et apporter les éléments d'une manière simple</t>
  </si>
  <si>
    <t>02/08/2021</t>
  </si>
  <si>
    <t>jimmy59213-81088</t>
  </si>
  <si>
    <t>Très bonne prestation de Monsieur Khalid</t>
  </si>
  <si>
    <t>18/11/2019</t>
  </si>
  <si>
    <t>chantal-k-129260</t>
  </si>
  <si>
    <t xml:space="preserve">Satisfaite du service 
Tarifs intéressants
A priori rapport qualité /prix intéressant 
Service téléphonique rapide et de qualité.
Interlocuteur à l écoute </t>
  </si>
  <si>
    <t>24/08/2021</t>
  </si>
  <si>
    <t>mock-33442</t>
  </si>
  <si>
    <t>Pour le moment je n'ai aucun point négatif à mettre en exergue. Je suis satisfait du service et une très bonne note à mon interlocuteur Jason.:):):):)</t>
  </si>
  <si>
    <t>27/07/2021</t>
  </si>
  <si>
    <t>marie-67575</t>
  </si>
  <si>
    <t>Très bon accueil. Souriant....des prix très compétitifs.un réactivité en cas de problème</t>
  </si>
  <si>
    <t>Matmut</t>
  </si>
  <si>
    <t>11/10/2018</t>
  </si>
  <si>
    <t>patou-72230</t>
  </si>
  <si>
    <t>ma mère à souscrit une assurance vie auprès de la BNP elle est décédée le 30/11/2018 et depuis il manque toujours quelque chose pour solder son assurance</t>
  </si>
  <si>
    <t>Cardif</t>
  </si>
  <si>
    <t>vie</t>
  </si>
  <si>
    <t>17/03/2019</t>
  </si>
  <si>
    <t>01/03/2019</t>
  </si>
  <si>
    <t>darling69-102583</t>
  </si>
  <si>
    <t>Bonjour aucun souci à signaler. le service client est réactif et agréable. Je suis assurée depuis 2005 et je n'ai aucune envie de changer de mutuelle pour le moment. Merci</t>
  </si>
  <si>
    <t>13/01/2021</t>
  </si>
  <si>
    <t>nidhal-h-109366</t>
  </si>
  <si>
    <t>Le prix ne baisse pas automatique je paie toujours la même cotisation il faut que je quitte pour que vous me faire un prix il faut s'aligner sur le pris de marché.
Merci</t>
  </si>
  <si>
    <t>06/04/2021</t>
  </si>
  <si>
    <t>goutte34-94096</t>
  </si>
  <si>
    <t>Je suis satisfaite du service. Les prix me conviennent. Simple et pratique.
Je suis passée par les furets pour comparer les assurances et celle-ci est sorti en 2 eme position. Au vu de la publicité je le suis laissée guider.</t>
  </si>
  <si>
    <t>15/07/2020</t>
  </si>
  <si>
    <t>claude-j-105360</t>
  </si>
  <si>
    <t>Satisfait du service en ligne. Assistance impeccable
Les prix me conviennent. Malheureusement concernant les véhicules de collection, certaines marques comme Porsche ne peuvent pas être garanties.</t>
  </si>
  <si>
    <t>03/03/2021</t>
  </si>
  <si>
    <t>irene-b-125015</t>
  </si>
  <si>
    <t xml:space="preserve">Je n’ai pas rencontré de soucis pour le moment, car viens juste de m’assurer ! les prix sont attractifs… à voir ! En espérant ne jamais en avoir besoin !! </t>
  </si>
  <si>
    <t>directplusjamais-68741</t>
  </si>
  <si>
    <t>J'ai résilié au 31/08/2018 avec tous les prélèvements automatiques honorés. Ils continuent de me prélever les mois suivants alors que la résiliation est bien effective sur mon espace personnel. En plus, j'ai le droit à un cabinet de recouvrement...</t>
  </si>
  <si>
    <t>19/11/2018</t>
  </si>
  <si>
    <t>camilleb-101941</t>
  </si>
  <si>
    <t>Mutuelle d'un incompétence notoire !!!
Radiation abusive liée à de multiples erreurs de leur part &amp; énoncée clairement par téléphone mais rien ne bouge depuis !
Nous avons reçu à plusieurs reprises des courriers de mise en demeure indiquant la non réception de nos rib alors que les prélèvements se déroulaient sans pb le mois d'avant...
Cela fait 2 fois que nous envoyons nos rib en recommandé avec accusé de réception... La personne eue au téléphone m'a dit qu'effectivement, tout était bien réceptionné et enregistré, mais que le statut global n'avait pas été changé !
Mais quelle honte !!!
Et où est le courrier indiquant qu'une radiation allait avoir lieu ? Je ne suis même pas sûre que la pratique soit légale !!
Je suis particulièrement en colère, et j'attends depuis jeudi dernier ma réponse "dans la journée"... 
Un seul conseil, passez clairement votre chemin si vous attendez un service client compétent et un minimum de considération... :-(</t>
  </si>
  <si>
    <t>Mercer</t>
  </si>
  <si>
    <t>29/12/2020</t>
  </si>
  <si>
    <t>01/12/2020</t>
  </si>
  <si>
    <t>gauby-70187</t>
  </si>
  <si>
    <t>Avec Direct Assurance ....c'est comme si on n'était pas assuré , mais on paie des cotisations ....</t>
  </si>
  <si>
    <t>13/01/2019</t>
  </si>
  <si>
    <t>01/01/2019</t>
  </si>
  <si>
    <t>dominique-g-131632</t>
  </si>
  <si>
    <t>Client depuis 2002, aucun souci, toujours satisfait. La plateforme téléphonique est performante et les conseillers sont compétents. Merci Direct Assurance !</t>
  </si>
  <si>
    <t>07/09/2021</t>
  </si>
  <si>
    <t>lecoeur-s-133829</t>
  </si>
  <si>
    <t xml:space="preserve">Je suis satisfaite du service  , prix , réactif et à l écoute, dialogues claire et compréhensible ainsi que leurs  Gentillesses au téléphone.très professionnel. </t>
  </si>
  <si>
    <t>21/09/2021</t>
  </si>
  <si>
    <t>ludovic-p-111097</t>
  </si>
  <si>
    <t>Je suis satisfait du service apporté par Direct assurances, Les prix sont compétitifs, les garanties correctes. Je recommande cette assurance , même si cette dernière n a pas d agence physique</t>
  </si>
  <si>
    <t>21/04/2021</t>
  </si>
  <si>
    <t>lefevre-s-112777</t>
  </si>
  <si>
    <t xml:space="preserve">Prix très correct par contre aucun suivi client car en attendant je n’ai toujours pas reçu ma carte verte car j’avais simplement oublier de signer mon contrat </t>
  </si>
  <si>
    <t>05/05/2021</t>
  </si>
  <si>
    <t>rocky5-101598</t>
  </si>
  <si>
    <t xml:space="preserve">Un grand merci a Eva pour son professionnalisme, son écoute et ses explications .
Elle prend le temps et connait son job a la perfection d’une gentillesse et amabilité rare !
Un grand Bravo a elle une vrai gestionnaire avec toute les qualités le top ?? </t>
  </si>
  <si>
    <t>Assur O'Poil</t>
  </si>
  <si>
    <t>animaux</t>
  </si>
  <si>
    <t>17/12/2020</t>
  </si>
  <si>
    <t>gilles-p-139194</t>
  </si>
  <si>
    <t>JE SUIS A LA MAAF DEPUIS  2 ANS ET JE M APPERCOIT QUE QUAND ON A BESOIN D EUX POUR UN RENSEIGNEMENT C EST A CE MOMENT QU ON S APERCOIT QU ILS NE COMPRENENT RIEN
DES PERSONNES INCOMPETENTES AU TEL C EST LAMENTABLE  PERSONNE NE SAIT VOUS RENSEIGNER SUR VOTRE CONTRAT APRES PLUS DE 2 H D ATTENTES AU TEL
ON VOUS BALADE DE SERVIVES EN SERVICES ET PERONNE NE SAIT
ASSURANCE QUI NE SERT A RIEN</t>
  </si>
  <si>
    <t>08/11/2021</t>
  </si>
  <si>
    <t>01/11/2021</t>
  </si>
  <si>
    <t>nathalie-137278</t>
  </si>
  <si>
    <t>déjà cliente april depuis plus de 15 ans j'ai voulu détaché ma fille ( 20ans)de mon  contrat c'est le parcours du combatant!! deux jours pour  finaliser! et depuis le 8/10/2021 tout est renvoyé par mail et je n'ai encore AUCUNE RÉPONSE !!!!!!je ne sais meme pas si ma fille est assuré je trouve ca décevant, des dizaine  d'appel téléphonique me renvoie a un autre Numéro. Dommage de ne pas avoir au moins un personne compétente...</t>
  </si>
  <si>
    <t>13/10/2021</t>
  </si>
  <si>
    <t>bleuene-54380</t>
  </si>
  <si>
    <t>Aucune fiabilité au niveau de cet assureur : prélèvement intempestivement pris d'office d'après les références de la carte bleue puis des tarifs qui varient d un jour a l autre selon la date d appel téléphonique</t>
  </si>
  <si>
    <t>29/04/2017</t>
  </si>
  <si>
    <t>01/04/2017</t>
  </si>
  <si>
    <t>stef-75247</t>
  </si>
  <si>
    <t>Tres satisfait du service et de l'accueil téléphonique.Je suis content d'être a l'olivier et d'avoir bénéficier d'une remise de 10% pour mon nouveau contrat.</t>
  </si>
  <si>
    <t>28/09/2021</t>
  </si>
  <si>
    <t>karima-m-130786</t>
  </si>
  <si>
    <t>Je ne sais pas encore ce que ça vaut car je n'en ai pas eu besoin jusqu'à maintenant et je souhaite ne jamais y avoir recours.
Je vous dirai si ça vaut le coup le moment voulu.</t>
  </si>
  <si>
    <t>02/09/2021</t>
  </si>
  <si>
    <t>mp-103417</t>
  </si>
  <si>
    <t>attention a  néoliane santé et prévoyance  ne pas souscrire aucun contrat chez eux.
vous risquez de le regretter amèrement.
de plus impossible de les contacter, ni par téléphone, ni par mail.</t>
  </si>
  <si>
    <t>29/01/2021</t>
  </si>
  <si>
    <t>lilou-65545</t>
  </si>
  <si>
    <t>Assurée pour automobile 
 depuis le 28 mai 2018, j ai demandé 2 fois par téléphone et 83 fois par mail ma carte verte d assurance ainsi que mon contrat ( que je n ai toujours pas signé ), puisque tout s est fait par téléphone, on me réponds qu elle a ete envoyé plusieurs fois, à mon avis , ces employés  se moquent du monde! Pour prélever sur mon compte bancaire ils sont plus rapide! J ai fait révoquer ce prélèvement!terminé, je ne veux plus entendre de cette assurance!</t>
  </si>
  <si>
    <t>17/07/2018</t>
  </si>
  <si>
    <t>01/07/2018</t>
  </si>
  <si>
    <t>leclem-66324</t>
  </si>
  <si>
    <t>Injoignables quand vous avez besoin d'eux, bien que "délocalisés", ils font les pont, les week-ends et les vacances. Bien que "trop débordés" pour être joignable, vous aurez par contre toujours une personne pour repondre au service souscription!!!</t>
  </si>
  <si>
    <t>22/08/2018</t>
  </si>
  <si>
    <t>01/08/2018</t>
  </si>
  <si>
    <t>bealou-61920</t>
  </si>
  <si>
    <t>Je suis satisfait des produits de la mutuelle santé niveau 4 et le tiers payant m est super rien a payer par contre une personne du service commercial m a parlé d une facon pas aimable</t>
  </si>
  <si>
    <t>02/03/2018</t>
  </si>
  <si>
    <t>petrignani-le-mens-f-121178</t>
  </si>
  <si>
    <t xml:space="preserve">L'accueil téléphonique est très sympathique,
Les informations sont claires, 
Les tarifs sont compétitifs.
Je recommande pour la clarté des infos et la facilité à l'inscription.
</t>
  </si>
  <si>
    <t>25/06/2021</t>
  </si>
  <si>
    <t>maryse-95980</t>
  </si>
  <si>
    <t>Bonjour, je ne plaints pas de la caisse d'épargne, ma banque. mais de la C.N.P. J'écris, je téléphone continuellement et rien n'avance.Je veux simplement savoir sur quel document (est-ce mon seul arrêt de travail du 08 mars 2018),ma prise en charge de mes prêts est-elle validée.En plus on le sait la C.N.P. passe par un intermédiaire CBP4you, des réponse toutes faites et rien n'est fait. J'attendais l'assemblée générale, mais le COVID,a reporté mon intervention,j'expliquerai tout ça devant monsieur Le Directeur dès que possible.
Mon n° de téléphone 03 86 50 02 59</t>
  </si>
  <si>
    <t>CNP Assurances</t>
  </si>
  <si>
    <t>olivier147-96653</t>
  </si>
  <si>
    <t>A fuir à tout prix! Cette assurance n'a aucun scrupule à laisser ses clients dans la galère. Impossible de discuter dès lors que la situation est hors cadre. Interlocuteurs très amateurs, deviennent vite impatients et désagréables. 
Je me suis retrouvé avec un vehicule non assuré suite à un avenant de contrat réalisé avant le confinement. Impossibilité de le faire réassurer alors que je suis client depuis 10 ans et que la situation étaitexceptionnelle! Je suis allé à la concurrence (MAIF) qui, au vu de la situation a bien voulu m'assurer. 
Direct assurance n'a pas fait de ristournes à ses clients post confinement alors que la MAIF oui pour le véhicule de ma compagne.</t>
  </si>
  <si>
    <t>25/08/2020</t>
  </si>
  <si>
    <t>fd-110543</t>
  </si>
  <si>
    <t>Bonjour
J ai quitté mon ancienne mutuelle pour Cegema. Que de problèmes depuis : personne ne répond au téléphone 
En plus 2 prélèvements à 2 jours d intervalle.
C est du grand n importe quoi.
Pour peu de différence de prix
C est pour cela que l on dit on sait ce que l on a mais on ne sait pas ce que l on va avoir
14/4/2021</t>
  </si>
  <si>
    <t>Cegema Assurances</t>
  </si>
  <si>
    <t>15/04/2021</t>
  </si>
  <si>
    <t>yaminabourrega-105775</t>
  </si>
  <si>
    <t xml:space="preserve">Suite à l'embauche de mon compagnon début février, nous avons fait le choix d'adhérer à la complémentaire santé Mercer. Et là je vais de déception en déception, le service client est plus que médiocre malgré une dizaine d'appels à leurs services, et quasiment la même quantité de mails je n'ai aucun retour de leur part au sujet de notre adhésion.
J'ai envoyé tous les documents requis par mail, via le portail mercer, et par courrier et je reçois que des réponses farfelues.
Étant enceinte, j'ai déjà avancé plusieurs frais médicaux et actuellement je ne peux pas me les faire rembourser car nous n'avons pas de n° adhérent. En somme c'est le chien qui se mort la queue. 
Si seulement nous avions une réponse claire et précise cela permettrait d'atténuer "un peu" notre mécontentemen. </t>
  </si>
  <si>
    <t>07/03/2021</t>
  </si>
  <si>
    <t>riton973-49456</t>
  </si>
  <si>
    <t>Maif coute cher et n'assure rien. Le principe poir l'habitation est de faire un declaratif sur la valeur de vis biens. Plus vous elevez votre patrimoine, plus cela coute. Problème : en cas de sinistre, vous ne serez remboursez que sur la valeur des factures. Donc oubliez tous les articles qui gonflent votre cotisation mais sans facture</t>
  </si>
  <si>
    <t>22/11/2016</t>
  </si>
  <si>
    <t>01/11/2016</t>
  </si>
  <si>
    <t>jeremy-s-132967</t>
  </si>
  <si>
    <t>je trouve que globalement les tarifs sont très haut et les comparatifs assurance sont difficiles à réaliser. certaines options devraient être inclues comme l'assistance zéro km</t>
  </si>
  <si>
    <t>15/09/2021</t>
  </si>
  <si>
    <t>kocak-s-116578</t>
  </si>
  <si>
    <t>Le service était parfait et j’ai eu réponses à toutes mes questions.
La souscription a été suivi du début à la fin avec professionnalisme et personnalisation.
Je suis satisfait.</t>
  </si>
  <si>
    <t>10/06/2021</t>
  </si>
  <si>
    <t>sabine-76-97370</t>
  </si>
  <si>
    <t>Néoliane - Cette mutuelle est à déconseiller : j'ai contracté cette mutuelle depuis deux ans, ans , malgré les courriers et le téléphone 5 ou 6 remboursements . l'année dernière je voulais résilier, au téléphone , ils m'ont dit que cela devait être fait pour la date anniversaire en septembre, donc là j'envoie ma résiliation, ils ne veulent pas la prendre en compte avant '' Décembre '' - Je suis à la retraite depuis février  et mes mensualités sont de 139.84  euros et je n'ai nullement l'intention de continuer à payer. Je précise que cette mutuelle n'a jamais fait la télé transcription à la sécurité sociale et que de ce fait je n'ai jamais été remboursé sur plus d'une année.  LE NIVEAU DE SATISFACTION EST DE 0</t>
  </si>
  <si>
    <t>14/09/2020</t>
  </si>
  <si>
    <t>nr94-75861</t>
  </si>
  <si>
    <t>SwissLife doit verser des indemnités depuis le 26.10.2018. A ce jour, aucune prestation n'est encore versée malgré un dossier complet depuis plusieurs mois. Pourquoi ? Aucune explication.  C'est désespérant, affligeant et révoltant.</t>
  </si>
  <si>
    <t>SwissLife</t>
  </si>
  <si>
    <t>13/05/2019</t>
  </si>
  <si>
    <t>01/05/2019</t>
  </si>
  <si>
    <t>fb59-85637</t>
  </si>
  <si>
    <t xml:space="preserve">Propriétaire d'un bouledogue français de 6 ans, je l'ai fait opérer le 19 décembre d'une sténose et voile du palet
J'ai une mutuelle, j'ai donc appelé cette mutuelle pour savoir si l'opération était prise en charge avant de le faire opérer On m'avait dit que oui. Cette opération m'a coûté 1320 euros sachant que 2 ans auparavant j'ai aussi fait opérer mon chien pour une hernie discale 1800 euros. J'avais eu 600 euros de ma poche qui n'étaient pas pris en charge par la mutuelle
Aujourd'hui, n'ayant toujours pas été remboursé de cette opération et devant payer le vétérinaire, j'appelle la mutuelle Assuropoil qui me dit que cette maladie congénitale est exclue du contrat et donc ils ne peuvent me rembourser car c'est une maladie congénitale. Je reste sans voix.
Cette même mutuelle que je paye 50 euros par mois, m'avait aussi augmenté mes mensualités de 25 euros par mois, de 30 à 55 euros, suite à l'opération de l'hernie discale  il y a deux ans En clair, vous payez une mutuelle mais en cas d'opération on vous augmente vos mensualités l'année d'après pour compenser le coût… est ce vraiment une mutuelle du coup
Si les maladies congénitales sont exclues du contrat, il n'y a aucun détail sur les maladies en question. Et moi je ne savais même pas que c'était une maladie congénitale Le vétérinaire ne m'a rien dit.
Je ne recommande pas cette mutuelle. Ils sont de mauvaise fois surtout que je paye 50 euros depuis deux ans, ce qui rembourserait le coût de l'opération en question. A proscrire
</t>
  </si>
  <si>
    <t>08/01/2020</t>
  </si>
  <si>
    <t>gautier-d-126575</t>
  </si>
  <si>
    <t xml:space="preserve">Je suis satisfait du service, j’ai été très surpris de la différence parmi les différents assurances. 
Au niveau de la rapidísimo! Estoy muy bien ! Je recommande </t>
  </si>
  <si>
    <t>05/08/2021</t>
  </si>
  <si>
    <t>michou-113728</t>
  </si>
  <si>
    <t>Très bonne mutuelle,remboursement rapide, prise en charge de nombreuses prestations, cette dérniére est parfaite pour le  retraité que je suis,car en vieillissant, les soins deviennent de plus en plus nombreux.</t>
  </si>
  <si>
    <t>14/05/2021</t>
  </si>
  <si>
    <t>jean-jacques-l-106598</t>
  </si>
  <si>
    <t xml:space="preserve">j'ai rencontrer un problème lors de mon inscription en 2014 et depuis malgré les différentes démarches votre assurance refuse de réviser mon contrat.  </t>
  </si>
  <si>
    <t>anne1415-41978</t>
  </si>
  <si>
    <t>Ma tante de 93 ans vient d'apprendre qu'elle bénéficie d'un contrat collectif retraite. Il  
a fallu plus de 30 ans à CNP pour la retrouver, alors qu'elle n'a jamais déménagé. Nous avons envoyé tous les documents demandés par courriel et voie postale il y a plus d'1 mois. Pas la moindre nouvelle...</t>
  </si>
  <si>
    <t>29/07/2019</t>
  </si>
  <si>
    <t>01/07/2019</t>
  </si>
  <si>
    <t>denis-p-107163</t>
  </si>
  <si>
    <t>simple et pratique, aucun soucis particulier, rapide et efficace. Je recommande,  En espérant n'avoir aucun soucis lorsque j'aurais un sinistre et en espérant ne jamais en avoir !</t>
  </si>
  <si>
    <t>19/03/2021</t>
  </si>
  <si>
    <t>marie-58495</t>
  </si>
  <si>
    <t>ou trouver une assurance après résiliation relation altérée après résiliation comment faire pour retrouver une assurance</t>
  </si>
  <si>
    <t>19/12/2017</t>
  </si>
  <si>
    <t>de-cecco-t-125244</t>
  </si>
  <si>
    <t>Pour le moment tout est parfait. Sous réserve, le jour où nous avons besoin de les contacter pour un incident. Mais pour le moment RAS. Souscription rapide et efficace.</t>
  </si>
  <si>
    <t>28/07/2021</t>
  </si>
  <si>
    <t>thaly7-56694</t>
  </si>
  <si>
    <t>FUYEZ,FUYEZ, Sincèrement et encore une fois FUYEZ cet assureur qui ne tient absolument pas ses engagements. Mon cas est certainement arrivé des personnes ici ou arrivera à d'autres personnes un jour, ce que je ne souhaite à personne. Mon véhicule m'a été volé en janvier 2017, le service "des dossiers compliqués" a statué que je ne n'allais pas être remboursée pour le vol mon véhicule car d'après eux la voiture que j'ai achetée est considérée épave. Je peux vous assurer que ce n'était pas le cas. Si j'ai acheté une épave comment ai-je pu avoir un certificat de non-gage? Comment l'ancien propriétaire a pu avoir une carte grise? Et surtout comment la matmut lorsque j'ai voulu m'assurer ne m'a pas dit attention votre voiture est une épave? Et enfin pourquoi la matmut ne me rembourse pas?? Je suis une nouvelle cliente c'est la raison pour laquelle on a été baladé et dossier qui a traîné en longueur?!! Autant de questions sans réponses. Je suis furieuse, et sidérée par cette affaire.Je suis une victime!!!! Jamais on pense au pire quand on s'assure et surtout on ne pense pas que son assureur va vous laisser tomber et ne pas prendre ses responsabilités c'est la raison pour laquelle on s'assure généralement d'où le nom ASSURANCE TOUS RISQUES. J'étais chez un autre assureur avant de passer à la matmut (si j'avais su...) l'offre matmut était moins cher et la loi Hamon permettant de résilier son assurance auto au bout d'1 an chez un autre assureur je me suis dis pourquoi... et bien plus jamais!</t>
  </si>
  <si>
    <t>16/08/2017</t>
  </si>
  <si>
    <t>01/08/2017</t>
  </si>
  <si>
    <t>ldmmm-97134</t>
  </si>
  <si>
    <t xml:space="preserve">Mauvaise organisation. En revanche, je travaille avec Nutuus qui propose un service vraiment adapté aux étudiants et à leur budget. Les services proposés comprennent notamment un pack de prévention (et c'est la seule mutuelle à le faire) qui te rembourse les produits d'hygiène féminine, la contraception, la médecine douce et les séances avec un psychologue. C'est aussi la seule mutuelle sans frais d'adhésion et qui conserve un tarif unique peu importe ton âge et tes antécédents médicaux. Il y a également le code 58751MOR pour bénéficier d'un mois gratuit. </t>
  </si>
  <si>
    <t>Mgen</t>
  </si>
  <si>
    <t>08/09/2020</t>
  </si>
  <si>
    <t>jonathan-l-132610</t>
  </si>
  <si>
    <t>tout est clair pour la souscription et il est facile de trouver les informations. les différentes options sont bien présentées et facile à choisir. Le prix est plus compétitif que mon assurance acutuelle</t>
  </si>
  <si>
    <t>13/09/2021</t>
  </si>
  <si>
    <t>alex-102594</t>
  </si>
  <si>
    <t>Très bon accueil téléphonique et renseignements très complets...
Interlocutrice très aimable et agréable.
Pour une plate forme c’est vraiment du top..
Plus qu’à attendre si la demande sera convenablement traitée..</t>
  </si>
  <si>
    <t>vieille-j-130984</t>
  </si>
  <si>
    <t>Très bonne mise en relation avec le conseiller : rapide et claire. Les tarifs sont convenables et la procédure numérique de souscription est efficace.</t>
  </si>
  <si>
    <t>03/09/2021</t>
  </si>
  <si>
    <t>ferret-n-111740</t>
  </si>
  <si>
    <t>très bien, je pourrais recommander. le niveau de prix est tres satisfaisant, le site est facile d'accès et intuitif. j'utiliserais surement pour le futur aussi</t>
  </si>
  <si>
    <t>26/04/2021</t>
  </si>
  <si>
    <t>oceane-g-117866</t>
  </si>
  <si>
    <t xml:space="preserve">Je suis satisfaite du service, très bon renseignement au près de Lionel, prix très abordable. Je conseil cette assurance merci à vous. Oceane Guillard </t>
  </si>
  <si>
    <t>22/06/2021</t>
  </si>
  <si>
    <t>cmp-100094</t>
  </si>
  <si>
    <t>bonne assurance le temps que je travaille dans l entreprise  mais cela c est complique le jour ou je me suis fait licencier  pour inaptitude plus de tele transmission avec la CPAM plus de code d accés  mal grés une prise en charge  d un ans supplementaire conventionnée par l entreprise .assurance impossible a joindre par telephone envois de courrier contradictoire tout cela pour pas vous rembourser</t>
  </si>
  <si>
    <t>14/11/2020</t>
  </si>
  <si>
    <t>01/11/2020</t>
  </si>
  <si>
    <t>soya-97799</t>
  </si>
  <si>
    <t>Jusqu’à présent je n’ai rencontré aucune difficulté auprès de la MGP. Je dirai juste que les tarifs restent quelque peu élevés comparativement avec d’autres mutuelles et des garanties supérieures.
Cordialement Didier Metais</t>
  </si>
  <si>
    <t>24/09/2020</t>
  </si>
  <si>
    <t>itri-j-132710</t>
  </si>
  <si>
    <t xml:space="preserve">tres bon service et rapide                                                                      .disponible meme aux heures tardives quand les autres bureaux d assurancessont fermees </t>
  </si>
  <si>
    <t>analat06-97637</t>
  </si>
  <si>
    <t xml:space="preserve">Assurer depuis peu chez SantéVet et déjà très déçu! 
Assurance mensongère , lors de l’ouverture de dossier on nous vend du rêve pour au final être remboursé seulement 50€ par ans. </t>
  </si>
  <si>
    <t>SantéVet</t>
  </si>
  <si>
    <t>20/09/2020</t>
  </si>
  <si>
    <t>bob-87158</t>
  </si>
  <si>
    <t>a pres de nombreuses années chez harmonie, je ne reprendrai pas de mutuelle chez eux celle ci se dégrade a la vitesse de la lulière</t>
  </si>
  <si>
    <t>14/02/2020</t>
  </si>
  <si>
    <t>01/02/2020</t>
  </si>
  <si>
    <t>andrefar-72243</t>
  </si>
  <si>
    <t>Beaucoup trop chère.</t>
  </si>
  <si>
    <t>18/03/2019</t>
  </si>
  <si>
    <t>kanica-p-127947</t>
  </si>
  <si>
    <t xml:space="preserve">Je suis satisfait du service car le Service est rapide  et efficace. Et très compréhensif.
Répond au besoin des clientèles.
Les démarches sont simple </t>
  </si>
  <si>
    <t>14/08/2021</t>
  </si>
  <si>
    <t>jeremy-r-115119</t>
  </si>
  <si>
    <t>Rapide, peu cher, bien renseigné par le conseillé très courtois.
pour l'instant très satisfait.
j'espere qu'il y a une appli mobile pour gérer encore plus facilement</t>
  </si>
  <si>
    <t>tony-88097</t>
  </si>
  <si>
    <t xml:space="preserve">Succession non réglée depuis des mois malgré de nombreux appels et courriers. Comportement scandaleux </t>
  </si>
  <si>
    <t>Afer</t>
  </si>
  <si>
    <t>07/03/2020</t>
  </si>
  <si>
    <t>valerie-p-135238</t>
  </si>
  <si>
    <t xml:space="preserve">Merci pour votre aide et votre réactivité à bientôt plus qu'à télécharger les documents et pouvoir rouler avec ma moto. Mais pourquoi faut-il ecrit autant pour valider mon assurance moto c'edt dingue </t>
  </si>
  <si>
    <t>30/09/2021</t>
  </si>
  <si>
    <t>papillon-80063</t>
  </si>
  <si>
    <t xml:space="preserve">Je suis nouvelle adhérente j'ai eu à plusieurs reprises besoin d'aide j'ai eu Sara M qui m'a très bien conseillé sur mes démarches à faire très pro chaque fois leur disponibilité est irréprochable vraiment j'espère continuer comme ça </t>
  </si>
  <si>
    <t>15/10/2019</t>
  </si>
  <si>
    <t>01/10/2019</t>
  </si>
  <si>
    <t>les-affranchis-60671</t>
  </si>
  <si>
    <t xml:space="preserve">Attention au contrat sur cet assureur ! Il y a des clauses abusives !!!  Qu’on ne vous prévient pas au moment de la signature du contrat ! 
Je pensais que c’était une franchise, mais en fait  j’ai découvert que c’est une pénalité ! Alors faites attention ne pas prêter  votre voiture si vous êtes chez EUROFIL 
Une pénalité (amende) de 3'000 euros si vous prêtez votre véhicule à quelqu'un qui a son permis depuis moins de 5 ans 
J’ai prêté mon véhicule à mon fils qui a eu un sinistre dont les torts sont reconnus  partagés par Eurofil. (Je ne rentrerai pas dans les détails, car je conteste les tords, plusieurs courriers avec photos à l’appuies) Je comprends mieux pourquoi Eurofil  ne fait pas l’effort de contacter l’assureur adverse, c’est plus intéressant pour eux de gagner 3000 euros.
De ce fait une pénalité de 3000 Euros s'applique
.Ci-dessous le courrier reçu par EUROFIL : Votre responsabilité étant partiellement engagée, la moitié de vos dommages chiffrés par l'expert à 561,84 euros et réglés par la partie adverse sera déduite de cette somme. En conséquence, la somme restant à votre charge pour ce sinistre s'élève à 2438,16 euros
1. Je suis surpris du calcul par Eurofil, cela voudrait dire que si les dégâts de ma voiture aurait été plus élevée. J'aurais moins à payer ???
 2. Je ne trouve pas honnête de EUROFIL de récupérer de l'argent sur le dos des assurés ! (Les travaux de la partie adverse ne dépasserais pas 500 €) 
Que le montant total des dégâts des 2 voitures soit divisé et payé par les assurés ça parait plus logique. 
C'est une clause abusive !! Je n'avais pas compris cela sur leur contrat. Une franchise de 3000 € oui, mais une pénalité de 3000 euros NON !
Même un avocat met en garde les assurés : https://www.opinion-assurances.fr/eurofil-assurance-auto-avis-71945.html
</t>
  </si>
  <si>
    <t>25/01/2018</t>
  </si>
  <si>
    <t>gege-82199</t>
  </si>
  <si>
    <t xml:space="preserve"> Personnel de plus en plus incompétent recruté sur des diplômes qui il y a 30 ans avaient une valeur , 
une garantie de capacités , mais aujourd'hui sont distribués à la pelle et n'ont plus de sens .
 La Mgen est " dirigée par un cercle d'institutrices qui n'a rien à faire dans une entreprise privée .
  Les jeunes prof n'adhèrent plus .
 </t>
  </si>
  <si>
    <t>22/12/2019</t>
  </si>
  <si>
    <t>vge75012-70788</t>
  </si>
  <si>
    <t>Je regarde actuellement la concurrence 1169 euro pour une FJR de 2016 avec le plus de 50% de bonus</t>
  </si>
  <si>
    <t>30/01/2019</t>
  </si>
  <si>
    <t>nassirov-v-115400</t>
  </si>
  <si>
    <t xml:space="preserve">Super serviable , service rapide , explique très bien prend le temp qu’il faut , les prix sont abordable , l’application en ligne et facile d’accès , bravo </t>
  </si>
  <si>
    <t>31/05/2021</t>
  </si>
  <si>
    <t>isabelle-h-138522</t>
  </si>
  <si>
    <t>le prix est très intérèssant vu les prestations de services fournies très bon rapport qualité prix démarche simple et rapide très bien expliquée je recommande April moto</t>
  </si>
  <si>
    <t>29/10/2021</t>
  </si>
  <si>
    <t>saida--e-126012</t>
  </si>
  <si>
    <t>Je suis satisfais du prix et des services proposés par rapport aux autres concurrents. Ma famille est cliente chez vous et elle m'a conseillée de m'assurer chez vous.</t>
  </si>
  <si>
    <t>adam-a-137037</t>
  </si>
  <si>
    <t>je suis satisfait du service, la personne au téléphone très agréable.
Le prix est satisfaisant pour mon véhicule, je reprendrai contacte pour mon autre véhicule pour fin d'année</t>
  </si>
  <si>
    <t>11/10/2021</t>
  </si>
  <si>
    <t>regaibi-k-130933</t>
  </si>
  <si>
    <t xml:space="preserve">Moins cher que chez les concurrents, service client à l’écoute et professionnel. 
Ils répondent aux questions et aident pour les démarches. Je recommande </t>
  </si>
  <si>
    <t>nono-17830</t>
  </si>
  <si>
    <t>Déçue des tarifs pratiqué pour avoir 2 contrat chez eux</t>
  </si>
  <si>
    <t>Mutuelle des Motards</t>
  </si>
  <si>
    <t>20/04/2020</t>
  </si>
  <si>
    <t>01/04/2020</t>
  </si>
  <si>
    <t>herve-i-133341</t>
  </si>
  <si>
    <t xml:space="preserve">je suis satisfait de la rapidité et la simplification de votre plate forme,
a bientôt pour l assurance habitation  , je pense diffuser chez mes amis cette expérience  .
</t>
  </si>
  <si>
    <t>18/09/2021</t>
  </si>
  <si>
    <t>pasteur-58884</t>
  </si>
  <si>
    <t>J'ai été radié de mon contrat habitation,après plus de 5 ans sans aucune explication valable sauf celle défendue, par la Direction, de l'intérêt de leurs souscripteurs !!</t>
  </si>
  <si>
    <t>16/11/2017</t>
  </si>
  <si>
    <t>pioupiou-57565</t>
  </si>
  <si>
    <t xml:space="preserve">Bonne assurance, jusqu'à aujourd'hui pas de soucis avec eux, j'ai récemment eu à faire à eux pour un bris de glace et aucune franchise à payer alors que d'autres assureurs font payer une grosse partie assistance ok dépannage ok pour l'instant seul bémol la franchise de 250e lorsque quelqu'un vous accroche et qu'il part et qu'il y a de gros travaux à faire sur le véhicule alors que l'on est pas en tord et aussi le tarif de l'assurance en tout risque que je trouve un peu élevé sinon pour l'ensemble des garanties c'est pas trop mal </t>
  </si>
  <si>
    <t>Pacifica</t>
  </si>
  <si>
    <t>24/09/2017</t>
  </si>
  <si>
    <t>frederic-g-106823</t>
  </si>
  <si>
    <t>Je suis satisfait du service, par contre le prix n'est plus le meilleur pour prestation équivalente. J'aurai bien aimé être contacté par un attaché client pour me proposer une offre concurrente.
Dommage.
Le marché de l'assurance est agressive.</t>
  </si>
  <si>
    <t>romarick-a-108508</t>
  </si>
  <si>
    <t>Très bon accueil et de très bon renseignements par Guillaume ce jour a L'accueil téléphonique                                                                     
MERCI</t>
  </si>
  <si>
    <t>30/03/2021</t>
  </si>
  <si>
    <t>helene-85988</t>
  </si>
  <si>
    <t xml:space="preserve"> Mr Gwendal s'est avéré très efficace, réactif, sympathique et surtout très professionnel mais que dis-je !!!! lorsque l'on possède toutes ces qualités c'est forcément du professionnalisme</t>
  </si>
  <si>
    <t>16/01/2020</t>
  </si>
  <si>
    <t>alexyz-74630</t>
  </si>
  <si>
    <t xml:space="preserve">J'ai souscrit à AXA assurance à Choisy-le roi, je vous les déconseille , ils ont des méthodes plus que  douteuses...pour ma part, 
Je souscrivais à une assurance habitation AXA à CHOISY LE ROI dirigé par M.eric HUARD. J'ai fait une demande de résiliation pour déménagement chez mon mari.
J'ai donc fourni comme justificatif mon état des lieux ainsi qu'une lettre  de résiliation en recommandé accusé réception, 10 mois après, ils refusent encore de résilier et  la conseillère Angelique Duguet, contestent maintenant avoir reçu mes justificatifs à l'intérieur même de ma lettre en accusé réception en me demandant si j'ai pris des photos du contenu de ma lettre et me somme de payer 250 euros. Mon dossier à été  envoyé à l'huissier...
</t>
  </si>
  <si>
    <t>liamlisa-76623</t>
  </si>
  <si>
    <t>informations précise, mise en place direct, aucune démarche de ma part</t>
  </si>
  <si>
    <t>10/06/2019</t>
  </si>
  <si>
    <t>01/06/2019</t>
  </si>
  <si>
    <t>maelle-t-124614</t>
  </si>
  <si>
    <t>je suis satisfait du services, acceuil agréable, personnel chaleureux, rapidité des manoeuvres, simplicité via internet. en revanche le prix est differents  entre internet et par telephone.</t>
  </si>
  <si>
    <t>24/07/2021</t>
  </si>
  <si>
    <t>pr-104281</t>
  </si>
  <si>
    <t xml:space="preserve">Délai d’attente avant la prise en compte de mon appel téléphonique a été très court. La dame qui m’a renseigné a été très agréable et très claire. Contact efficace et professionnel. </t>
  </si>
  <si>
    <t>16/02/2021</t>
  </si>
  <si>
    <t>01/02/2021</t>
  </si>
  <si>
    <t>geolib-50813</t>
  </si>
  <si>
    <t>Accueil téléphonique lamentable, vous appelez sur une hotline mais ce n'est pas là qu'ils traitent les dossier, c'est à Lyon je crois, donc vous avez à faire à des interlocuteurs relais qui ne comprennent pas l'issue du dossier..
Avant de fusionner, c'était partéo, ça fonctionnait parfaitement avec des personnes au téléphone qui géraient directement les dossiers....on a été obligé de changer (mutuelle entreprise) pour atterrir dans cette galère.
J'ai envoyé une demande par courrier le 18/11 pour me répondre le 30/12 qu'il fallait un autre papier.....on dirait que c'est fait exprès  !! j'espère me tromper, mais en tout cas, encore un truc comme ça et je quitte cette mutuelle !!! A fuir !</t>
  </si>
  <si>
    <t>31/12/2016</t>
  </si>
  <si>
    <t>davidcartier-80616</t>
  </si>
  <si>
    <t>Personnel qualifier,  à l'écoute du client, aimable, réactif, serviable, disponible, et compréhensible pour le client , attentif aux besoins du client</t>
  </si>
  <si>
    <t>andre-j-131060</t>
  </si>
  <si>
    <t xml:space="preserve">Je suis satisfait  de vos services, malheureusement les tarifs se trouvent
 encore un peu élevés.
Je suis également très satisfait des explications données par vos agents et de l'aide qu"ils apporte pour résoudre les problèmes
                            </t>
  </si>
  <si>
    <t>laurent-m-114435</t>
  </si>
  <si>
    <t xml:space="preserve">Je suis satisfait de tous les services , offres proposées.
Fidèle depuis plusieurs années , je le resterai si vos maintenez vos garanties, prix , services </t>
  </si>
  <si>
    <t>21/05/2021</t>
  </si>
  <si>
    <t>a178964-51531</t>
  </si>
  <si>
    <t>A fuir !!! En litige depuis 4 mois avec la MAIF, dossier non suivi, laissez à l'abandon (la personne était partit en congés!), demande incessante de papiers inutiles, impossible à joindre, conseillé désagréable et sans empathie : je suis choquée par cette assurance absolument non professionnelle.
Et je parle d'un sinistre à moins de 1500 euros !
Scandaleux</t>
  </si>
  <si>
    <t>24/01/2017</t>
  </si>
  <si>
    <t>mendes-d-121582</t>
  </si>
  <si>
    <t xml:space="preserve">Je suis satisfait du service le prix un peu élevé mais vue mon bonus je comprends,  je pourrais probablement maitre mon assurance habitation si le prix et intéressent.  </t>
  </si>
  <si>
    <t>29/06/2021</t>
  </si>
  <si>
    <t>maumau-64844</t>
  </si>
  <si>
    <t xml:space="preserve">Se permet de vous radier sans préavis ni justificatif.
Ne rembourse pas les actes de "Vandalismes" qui sont pourtant indiqués comme pris en charge, a éviter </t>
  </si>
  <si>
    <t>18/06/2018</t>
  </si>
  <si>
    <t>01/06/2018</t>
  </si>
  <si>
    <t>bab-132236</t>
  </si>
  <si>
    <t>assez curieusement ,je ne rentre dans aucune garantie couverte par cette mutuelle santé
A chaque dépense de santé ,je ne suis jamais remboursé ,et quand je demande le tableau des garanties ,on ne me l'envoie pas !!malgré une cotisation de 233 € par mois pour 2</t>
  </si>
  <si>
    <t>10/09/2021</t>
  </si>
  <si>
    <t>emelyne-t-114952</t>
  </si>
  <si>
    <t>Pour le moment très satisfaite du service. et des tarifs Tant qu'on a pas de sinistre tout va bien! après, attention à l'augmentation de cotisation spectaculaire...</t>
  </si>
  <si>
    <t>26/05/2021</t>
  </si>
  <si>
    <t>oubouzid-m-107644</t>
  </si>
  <si>
    <t>Je suis satisfait du et le prix me convient je recommande l'olivier assurance a tout mon entourage Merci det bien tôt.''''''''''''''''''''''''''''''''</t>
  </si>
  <si>
    <t>23/03/2021</t>
  </si>
  <si>
    <t>delphine-g-132907</t>
  </si>
  <si>
    <t xml:space="preserve">très bonne assurance 
rapidité / prix 
je n'ai pas encore testé la prise en charge en cas de sinistre car pas de sinistre pour l'instant.  donc je ne peu juger de l'efficacité de cette assurance </t>
  </si>
  <si>
    <t>yapuka17-101226</t>
  </si>
  <si>
    <t>Maif depuis 41 ans, et ayant perdu mon bonus de 50% a la suite d'un simple accrochage, très fâchée par le manque de dialogue, je décide de me tourner vers la concurrence.</t>
  </si>
  <si>
    <t>10/12/2020</t>
  </si>
  <si>
    <t>m3ab-98950</t>
  </si>
  <si>
    <t xml:space="preserve">Au départ un simple contrat, puis sans signature d'aucun contrat papier je me suis retrouvée avec d'autres contrats toujours plus chers par simple appel téléphonique. 
J'ai envoyé un recommandé pour tout annuler à date mais maintenant ils exigent une lettre manuscrite signée. On rêve. Pas compliqué pour ouvrir mais impossible à fermer... </t>
  </si>
  <si>
    <t>20/10/2020</t>
  </si>
  <si>
    <t>pascal-b-109981</t>
  </si>
  <si>
    <t xml:space="preserve">prix interressant par rapport à la concurence , en service equivalent .
Maintenant à voir en cas de probleme.
je ne peux pas me prononcer par rapport au service vu que je viens d'arriver, on verra plus tard.
</t>
  </si>
  <si>
    <t>11/04/2021</t>
  </si>
  <si>
    <t>mallo-98860</t>
  </si>
  <si>
    <t xml:space="preserve">Je bénéficie d'une assurance nomade dans le cadre de mon assurance habitation, ma fille se fait voler son portable  Huawei mate 10 pro valeur achat il y a 2 ans 799€.
Indemnisation matmut:
Valeur actuelle  prise en compte 280€(que je conteste facture/devis à l'appui)  déduction 40% de vétusté sur ce tarif (et non sur la valeur d'achat) et déduction franchise 140€ indemnisation 29€.
Je conteste et la on remet en cause ma déclaration et le code IMEI qui ne correspondrait pas, (alors que ce n'etait pas le cas) finalement apres échange de courriers plus de réponse ni de suivi sur ce courrier de contestation de ma declaration mais ils remettent en cause la couverture de ma fille (qui est assuree depuis plusieurs annees  et pour laquelle je paie cette cotisation nomades chaque mois) sans concertation en évoquant qu'elle exerce une profession et qu'elle ne serait pas à ma charge alors que ces éléments sont erronés, finalement en ayant contesté l'indemnisation ils ont cherché à remettre tout en question sur mon dossier, je suis déconcerté par le manque de confiance de mon assureur MATMUT envers son assuré, sans parler des délais de réponses (le vol a eu lieu il y a 8 mois), j'ai déjà laissé un avis afin que ce litige soit traité équitablement mais pour le momment j'en suis au même stade.
La matmut assure avec des tarifs préférentiels mais au niveau indemnisation (tout au moins pour mon sinistre) je ne suis pas satisfait de leur traitement des sinistres et de leur indemnisation je mets donc objectivement 1 etoile.
 </t>
  </si>
  <si>
    <t>17/10/2020</t>
  </si>
  <si>
    <t>ndoudi-y-131275</t>
  </si>
  <si>
    <t>Très bien. Surtout au niveau de la rapidité.
Tout ce fait en ligne et facilement. Le contrat est précis et transmis par mail.
La signature numérique est un plus apprécié.</t>
  </si>
  <si>
    <t>04/09/2021</t>
  </si>
  <si>
    <t>rachelle-n-135158</t>
  </si>
  <si>
    <t>Prix et conditions intéressants. 
Espère ne pas avoir à utiliser ces services d’indemnisation ou de remboursement!
Mais en attendant, simple et efficace.</t>
  </si>
  <si>
    <t>menendez-e-135105</t>
  </si>
  <si>
    <t>Nouveau client, je ne peux pas encore évaluer les services des assurances l'Olivier
Contacts téléphoniques sympathiques et clairs (assez réactifs)....</t>
  </si>
  <si>
    <t>jerome-61340</t>
  </si>
  <si>
    <t>Pour avoir subit 3 sinistres non responsable durant les 2 derniers années à mon domicile, je me suis radié, par un courrier recommandé. Alors que j'étais client depuis plus de 20 ans sans aucun sinsitre...</t>
  </si>
  <si>
    <t>11/02/2018</t>
  </si>
  <si>
    <t>01/02/2018</t>
  </si>
  <si>
    <t>noarc-99951</t>
  </si>
  <si>
    <t>Refuse de prendre en compte la demande de résiliation, malgré plusieurs demandes, impossible de contacter le Service Contentieux pour régler le problème.</t>
  </si>
  <si>
    <t>10/11/2020</t>
  </si>
  <si>
    <t>aloge-64816</t>
  </si>
  <si>
    <t>Suite cambriolage, je n'ai aucune réponse de AXA sur les modalités de remboursements et de réparations 58 jours après déclaration  - ( 40 jours après passage expert) -Tous les jours, je vois les dégradations du cambriolage, je suis dans l'attente des réparations, portes cassées ..</t>
  </si>
  <si>
    <t>16/06/2018</t>
  </si>
  <si>
    <t>myriam-100430</t>
  </si>
  <si>
    <t>Au mois de septembre 2020. ma chienne fait une grosse crise d'epilepsie, je l'amène chez le vétérinaire, qui doit la conserver 72h, car entre temps refait des crises, jai assuré ma chienne a ses 3 mois chez ECA, à part quelques petits problèmes, elle n'a jamais dépassée le smontant de la prime annuelle chez eux car un vaccin est remboursé 25 pa an et bien ils ont refusé la prise en charge me disant que la crise d'épilepsie ne rentrait pas dans le contrat, j'avais souscrit la formule confort</t>
  </si>
  <si>
    <t>Eca Assurances</t>
  </si>
  <si>
    <t>21/11/2020</t>
  </si>
  <si>
    <t>fabienne-107279</t>
  </si>
  <si>
    <t>J'ai envoyé un devis pour me refaire une dent fin octobre et je suis toujours en attente. J'ai fais plusieurs demandes et rien. S'ils sont débordés qu'ils embauchent !!! Ras le bol d'attendre !</t>
  </si>
  <si>
    <t>20/03/2021</t>
  </si>
  <si>
    <t>amandine-b-112066</t>
  </si>
  <si>
    <t>Je suis satisfait du prix et du devis , ainsi que de la prestation rapide et efficace qu'offre Direct Assurance. Meilleur rapport qualité-prix pour une assurance</t>
  </si>
  <si>
    <t>29/04/2021</t>
  </si>
  <si>
    <t>merwan-k-130331</t>
  </si>
  <si>
    <t xml:space="preserve">Je suis satisfait du service et les prix me conviennent. 
Le service est plus que satisfaisant.
La GMF est un vrai partenaire par sa polyvalence et sa compétitivité. </t>
  </si>
  <si>
    <t>31/08/2021</t>
  </si>
  <si>
    <t>martin-j-125579</t>
  </si>
  <si>
    <t>Concerne le siège :Formalisme Administratif très compliqué, Lenteur dans le traitement des dossiers Vous feriez bien de voir ce qui se fait par ailleurs Plutôt que de vouloir à tout prix rencontrer les clients vous ferez mieux de vous doter d’un back-office plus conséquent, plus réactif qui traite les dossiers et reponde rapidement</t>
  </si>
  <si>
    <t>Carac</t>
  </si>
  <si>
    <t>22/07/2021</t>
  </si>
  <si>
    <t>guylaine-l-113114</t>
  </si>
  <si>
    <t xml:space="preserve">Je ne suis pas très satisfaite, je ne trouve pas tous les critères dont j'ai besoin  dans mes choix et mes besoins, je préfère m'entretenir avec un conseiller qui saura répondre à mes questions </t>
  </si>
  <si>
    <t>08/05/2021</t>
  </si>
  <si>
    <t>eligonne--99460</t>
  </si>
  <si>
    <t>J ai toujours été très satisfaite de la maif. A chaque fois j' ai eu à faire à des gens charmants et compétents. Merci à cette belle équipe qui fait tout pour aider ses clients</t>
  </si>
  <si>
    <t>31/10/2020</t>
  </si>
  <si>
    <t>garance1166-105264</t>
  </si>
  <si>
    <t>Fuyez!! A toutes jambes!! Si je pouvais je mettrais des points négatifs!
Notre fils a eu un accident grave il y a plusieurs années. Nous avions voulu faire des économies en nous assurant chez eux, les prix étaient attractifs, au téléphone on nous a conseillé de .. ne pas faire de déclaration !! Parce tout ce qui était proposé, c'était des cours particuliers, inutiles, c'était les vacances..
C'est une recherche de profit et voilà tout. Ce ne sont pas des assureurs, ils n'y connaissent rien, ne remboursent pas, n'assistent pas. C'est une banque. Point. Fuyez ailleurs.</t>
  </si>
  <si>
    <t>Crédit Mutuel</t>
  </si>
  <si>
    <t>caromc-79938</t>
  </si>
  <si>
    <t>Très bonne assurance que je recommande. Satisfaite des garantis, des remboursements et du service. J'ai souscrits également à l'assurance maison et n'ai jamais eu de soucis de remboursement lorsque j'ai eu des sinistres. Toujours rapides et efficaces</t>
  </si>
  <si>
    <t>11/10/2019</t>
  </si>
  <si>
    <t>mathilde-p-121829</t>
  </si>
  <si>
    <t>Je viens de récupérer ma voiture suite à un sinistre. Les réparations ont pris 2 semaines. C'est très long pour changer un pare-chocs. Ma voiture a été immobilisée tout la première semaine uniquement dans l'attente du passage de l'expert, qui a rendu son rapport 7 jours après le dépôt de ma voiture au garage. C'est extrêmement long. J'apprécierais une meilleure organisation afin que je puisse déposer ma voiture le jour ou la veille du passage de l'expert.</t>
  </si>
  <si>
    <t>30/06/2021</t>
  </si>
  <si>
    <t>wilfus--104349</t>
  </si>
  <si>
    <t xml:space="preserve">Simple et efficace ! 
Ils mettent tout en œuvre pour vous apporter une réponse le plus rapidement possible, les opérateurs/opératrices sont à l'écoute et réactifs.
Globalement satisfait depuis que j'y suis. </t>
  </si>
  <si>
    <t>17/02/2021</t>
  </si>
  <si>
    <t>daniel-103666</t>
  </si>
  <si>
    <t>Je suis passé mardi à  l'agence pour faire un point sur les contract et afin de les revoir avec madame Allais de l'agence dumesnil à angers, qui  est très à  l'écoute et avec qui ont à échanger de manière concluante et positive je suis ressorti satisfait et recommande aux assurées de ce déplacé  régulièrement pour faire la même chose merci ps : moins de pud à la télévision  et plus de contact avec vos clients vous fera pérennisé deux fois plus. Cordialement Nr Neau</t>
  </si>
  <si>
    <t>04/02/2021</t>
  </si>
  <si>
    <t>thierry-g-115911</t>
  </si>
  <si>
    <t>Parfait le suivi a été sans problème le conseil aussi et bien entendu le prix est au rendez-vous je le conseillerai à mes amis sans aucun problème merci</t>
  </si>
  <si>
    <t>caroline-78623</t>
  </si>
  <si>
    <t>J'ai perdu 12% de mon capital en 2018, et vous ???????????????????</t>
  </si>
  <si>
    <t>22/08/2019</t>
  </si>
  <si>
    <t>dazas-d-130547</t>
  </si>
  <si>
    <t>je suis très satisfait, simple , rapide, concret, facile d utilisation, tarif très competitif, discrétion totale,  pas de perte de temps, explication detaillee</t>
  </si>
  <si>
    <t>triste-afer-89930</t>
  </si>
  <si>
    <t>Désolé d'en arriver à donner un avis...
Mais je suis désœuvré, face à l'absence de  service client de ce groupe. J'attends en vain le règlement de l'assurance vie suite au décès de ma mère le 2 Janvier 2020.
J'ai rempli le dossier fourni par le gestionnaire de patrimoine au plus vite dont le retour des impôts, pour la non exigibilité.
J'ai envoyé des mails, lus mais pas de réponses. 
J'ai appelé pour joindre le service "succession", barrage de l'accueil "nous avons transféré vos coordonnées le service succession va vous rappeler  d'ici peu". 
Mon gestionnaire de patrimoine me dit qu'ils ont tous les éléments et que le versement devrait se faire.
Bref, il y a rien de pire qu'un "service client" muet et c'est certain, volontairement  absent.</t>
  </si>
  <si>
    <t>26/05/2020</t>
  </si>
  <si>
    <t>01/05/2020</t>
  </si>
  <si>
    <t>rochon-b-138156</t>
  </si>
  <si>
    <t>Très pro et agréable prix très abordable il vous accompagne pour bien remplir votre devis et trouver les meilleur tarif pour ma part j'ai assurer une mercedes pour 1000euro tres satisfait je recommande vivement</t>
  </si>
  <si>
    <t>24/10/2021</t>
  </si>
  <si>
    <t>missakian-m-124944</t>
  </si>
  <si>
    <t>Satisfaite du devis, pour un jeune conducteur étudiant le prix est raisonnable, la souscription est simple et rapide, rien a redire pour le moment....</t>
  </si>
  <si>
    <t>sylviederambt-66493</t>
  </si>
  <si>
    <t>Pacifica est une bonne assurance...mais si comme moi vous avez 3 sinistres en 5 ans (non responsable)...il vous vire comme une pestiférée!
Rien à faire, leur décision est définitive et sans appel...</t>
  </si>
  <si>
    <t>30/08/2018</t>
  </si>
  <si>
    <t>nicolas-k-131883</t>
  </si>
  <si>
    <t>Je suis satisfait, les prix me conviennent ainsi que les garanties, moins cher que les devis effectués chez d'autres assureurs
Différents packs ajoutables à notre guise en fonction de nos besoins</t>
  </si>
  <si>
    <t>08/09/2021</t>
  </si>
  <si>
    <t>chamil-92414</t>
  </si>
  <si>
    <t>Très satisfait. Toute l’information est disponible. La démarche est très facile. Le devis est envoyé par mail. Les options proposées sont claires. Merci</t>
  </si>
  <si>
    <t>benjamin-m-122850</t>
  </si>
  <si>
    <t xml:space="preserve">Très bien qualité prix je vraiment aime suis prêt à recommander a d’outre personne parce que je vue d’outre me niveau  prix et le niveau d’assistance et vraiment  très bien </t>
  </si>
  <si>
    <t>08/07/2021</t>
  </si>
  <si>
    <t>madona-91106</t>
  </si>
  <si>
    <t>J'ai fais une demande de devis sur lefuret.com. Après avoir visionné chaque proposition d'assurance,  j'ai été satisfaite du devis que m'a envoyé Actives assurance. Cependant, je les ai au téléphone pour valider le devis, la dame me communique le numéro de mon dossier du devis qui correspond très bien avec mon devis envoyé par mail. Suite à ça, je réponds aux questions qu'elle me pose, on finalise presque le dossier. Je lui demande de me faire un récapitulatif du devis. Et là ! Rien à voir avec le devis du mail.</t>
  </si>
  <si>
    <t>16/06/2020</t>
  </si>
  <si>
    <t>saturnin-90258</t>
  </si>
  <si>
    <t>Tout est ambigu ! Ce qui est assuré ainsi que les exclusions. A lire absoluement les CG avant de signer. Il faut attendre un an avant de résilier. Hélas !</t>
  </si>
  <si>
    <t>05/06/2020</t>
  </si>
  <si>
    <t>olivia2612-54925</t>
  </si>
  <si>
    <t xml:space="preserve">A fuir, je suis bénéficiaire d'une assurance vie déjà 3 semaines que jattend le dossier pour renvoyer des pièces ! 
Délais très longs et le service client donne différentes versions a chaque appel. Terrible de faire sa avec l'argent des autres !!!! </t>
  </si>
  <si>
    <t>31/05/2017</t>
  </si>
  <si>
    <t>fayen-p-108310</t>
  </si>
  <si>
    <t xml:space="preserve">je suis satisfait du contrat et du tarif appliquer personne compétant et de bon explications reponse a mes questions rapide et non évasif je recommande l olivier assurance  </t>
  </si>
  <si>
    <t>28/03/2021</t>
  </si>
  <si>
    <t>lolo34-51260</t>
  </si>
  <si>
    <t>Suite aux intemperies et attentats survenus en 2016,
 l' ensemble des compagnies d'assurance a décidé une hausse tarifaire des cotisations de 1  à 2,5% en moyenne.
D' ailleurs ,si moins d'intemperies en 2017 ,on pourra legitimement exiger une baisse de la cotisation annuelle....
En attendant ,la compagnie Direct assurance,elle, se permet de mettre en place une hausse de 14% de ses tarifs pour ses adhérents.
Bien entendu aucune comunication claire n' accompagne cette hausse.
A l'heure de l' echéance annuelle ,j' éspere qu'un maximum d' adhérents de cette compagnie prendra la sanction que merite  ce type de comportement meprisant.
vivent les comparateurs d' assurance....</t>
  </si>
  <si>
    <t>13/01/2017</t>
  </si>
  <si>
    <t>acre95-98156</t>
  </si>
  <si>
    <t xml:space="preserve">Assureur à fuir !
Suite à renégociation prêt Crédit Foncier : baisse du taux et de la durée de 2,5 années, MetLife augmente mes mensualités de 27% sans aucune explication.
Ne répond à aucun courrier : LR/AR, courriels, ou alors à côté de la plaque. Même le Crédit Foncier me dit avoir des difficultés pour obtenir des réponses !!!!
Médiateur de l'assurance saisi, malgré cela toujours aucune réponse à mes questions.
J'ai trouvé un autre assureur, un peu moins cher et qui j'espère aura une meilleure communication. Résiliation envoyée en LR/AR fin août et toujours aucune réponse au 30 septembre. Situation ubuesque !!!!
</t>
  </si>
  <si>
    <t>30/09/2020</t>
  </si>
  <si>
    <t>nick28117-103926</t>
  </si>
  <si>
    <t xml:space="preserve">Delai de traitement hyper hyper longs , j'attends depuis plus de 3 semaines un remboursement de soins dentaires, prix plus cher que la moyenne des autres mutuelles 
malheureusement je ne peux pas changer , mutuelle imposée par mon employeur, sinon je l'aurais fais depuis longtemps </t>
  </si>
  <si>
    <t>10/02/2021</t>
  </si>
  <si>
    <t>emilie0304-50356</t>
  </si>
  <si>
    <t xml:space="preserve">Délai inadmissible pour récupérer un placement. 
Depuis le 25/11 j'attends un virement suite à une clôture de contrat, nous sommes le 16/12 et toujours rien. Le commercial m'avait certifié que j'aurai l'argent avant le 15 comme demandé. Je suis obligée de demander à ce que l'on me prête de l'argent car SL dort. </t>
  </si>
  <si>
    <t>16/12/2016</t>
  </si>
  <si>
    <t>francois-p-109858</t>
  </si>
  <si>
    <t>j'ai téléphoné ce matin et j'ai eu une conseillère très agressive cela a conforte le fait de résilier mon contrat d'assurance chez vous. en vous remerciant</t>
  </si>
  <si>
    <t>09/04/2021</t>
  </si>
  <si>
    <t>bebezen84-62344</t>
  </si>
  <si>
    <t xml:space="preserve">Attention cela ne concerne que la mutuelle entreprise mais jamais eu de problème mais le seul bémol est que lorsque l'on arrive à la retraite nous n'avons aucun privilège en terme de tarif ou de garanties </t>
  </si>
  <si>
    <t>pierre-l-102745</t>
  </si>
  <si>
    <t xml:space="preserve">JE SUIS TRES SATISFAITE
MERCI DE VOTRE RAPIDITE
BRAVO ET JE NE MANQUERAIS PAS DE VOUS RECOMMANDE POUR VOS COMPETENCE ET DILIGENCES ET VOTRE RAPIDITE  MERCI </t>
  </si>
  <si>
    <t>16/01/2021</t>
  </si>
  <si>
    <t>romain-d-123983</t>
  </si>
  <si>
    <t xml:space="preserve">Je suis globalement satisfait, c'est par contre injuste de payer une franchise lorsqu'on subit un délit de fuite avec dépôt de plainte alors qu'on y est pour rien et cela représente une sacré somme parfois au pire moment. C'est une double peine. </t>
  </si>
  <si>
    <t>20/07/2021</t>
  </si>
  <si>
    <t>nadplum-123110</t>
  </si>
  <si>
    <t>FUYEZ GENERALI QUI NE RESPECTE PAS SES CLIENTS
Compagnie ni fiable, ni sérieuse. 
Mon contrat épargne retraite arrive à terme après plus de 20 ans et résultat, cela fait plusieurs mois que je réclame la liquidation de ce compte, qui, au demeurant ne m'a rien rapporté, car frais de gestion élevés, et mauvaise gestion tout court. Un livret A à 0,5% aurait rapporté davantage. 
On ne peut joindre personne par tél. Le répondeur=robot vous ballade en vous donnant une adresse mail de réclamation. La réclamation n'aboutit jamais et on reçoit une réponse automatique par mail. Toujours la même !!
FUYEZ GENERALI QUI NE RESPECTE PAS SES CLIENTS</t>
  </si>
  <si>
    <t>Generali</t>
  </si>
  <si>
    <t>11/07/2021</t>
  </si>
  <si>
    <t>jf-osny-54645</t>
  </si>
  <si>
    <t>Accueil client téléphonique nul. A fuir.</t>
  </si>
  <si>
    <t>12/05/2017</t>
  </si>
  <si>
    <t>david-r-128932</t>
  </si>
  <si>
    <t xml:space="preserve">Je suis satisfait du tarif
Le prix me convient 
Facilité de fonctionnement du site et la souscription en ligne est rapide 
Les options rese cher à mon goût </t>
  </si>
  <si>
    <t>21/08/2021</t>
  </si>
  <si>
    <t>valerie-c-109737</t>
  </si>
  <si>
    <t>Je suis satisfaite du prix et du conseiller très à l'écoute. Les garanties ont été acceptées par ma banque sans problème. Seul l'espace client n'est pas très intuitif.</t>
  </si>
  <si>
    <t>duval-n-122916</t>
  </si>
  <si>
    <t>Très bonne assurance a prix très compétitifs
 service client très professionnel et a l'écoute et réponse très rapide et claire je recommande chaudement cette assurance</t>
  </si>
  <si>
    <t>09/07/2021</t>
  </si>
  <si>
    <t>pierre-r-133630</t>
  </si>
  <si>
    <t>Les prix mon conviennent, pour le service nous verront bien.
J'attend que mon ancien assureur me rembourse le paiement de la cotisation 2022.
Inscription rapide</t>
  </si>
  <si>
    <t>20/09/2021</t>
  </si>
  <si>
    <t>dan-63283</t>
  </si>
  <si>
    <t>Macif Assistance n'a pas fait son travail .
Ils ont oubliés de prévenir le dépanneur pour rapatrier mon véhicule dans le garage pour mes réparations.Aucune personne de macif assistance au tel après 1 h d'attente.
Je RESILIE après 20 ans comme client</t>
  </si>
  <si>
    <t>15/04/2018</t>
  </si>
  <si>
    <t>cris-88394</t>
  </si>
  <si>
    <t>Mon fils es assuré depuis juillet l année d dernière en tant que jeune permis  il viens de recevoir son appel a cotisation = plus cher que l annee dernière pas de diminution de la surprime soit 1800 euros l annee , assurance a déconseiller ...</t>
  </si>
  <si>
    <t>dorinef92-94945</t>
  </si>
  <si>
    <t>Les prix sont très abordables, le contact avec le service est très rapide, personnels très sympathiques.
mon conjoint est très satisfait de direct assurance alors ce jour je décide de souscrire également.</t>
  </si>
  <si>
    <t>23/07/2020</t>
  </si>
  <si>
    <t>philippe-p-125665</t>
  </si>
  <si>
    <t>Je suis entièrement satisfait du service.
Les tarifs sont raisonnables, les garanties accordées sont satisfaisantes.
L'accès au site est instinctif et pratique.</t>
  </si>
  <si>
    <t>30/07/2021</t>
  </si>
  <si>
    <t>hlnz-58200</t>
  </si>
  <si>
    <t>Pas de commentaire.</t>
  </si>
  <si>
    <t>19/10/2017</t>
  </si>
  <si>
    <t>vincent--g-127025</t>
  </si>
  <si>
    <t>Très bien et rapide 
Je suis très content c est très simple et rapide merci je recommande aucun souci de puis que je suis chez eux un grand merci à vous</t>
  </si>
  <si>
    <t>glpb-60030</t>
  </si>
  <si>
    <t>un prix competitif pour un service de qualité</t>
  </si>
  <si>
    <t>29/12/2017</t>
  </si>
  <si>
    <t>rabah-b-126475</t>
  </si>
  <si>
    <t>JE SUIS SATISFAIT   A VOIR LA SUITE DE L ASSUREURE ...MAIS très pratique merci  comptent agréablement  , ne pas avoir de variation de tarif   qu on reste bien sur 31.,99  merci pour cette rapidité ,,,,</t>
  </si>
  <si>
    <t>04/08/2021</t>
  </si>
  <si>
    <t>sylvain-c-113147</t>
  </si>
  <si>
    <t>les tarifs sont convenables mais en faisant une etude comparative d' assurances auto sur un site internet , D irect   A ssurance se situe en moyenne  position.</t>
  </si>
  <si>
    <t>09/05/2021</t>
  </si>
  <si>
    <t>peter-91300-137129</t>
  </si>
  <si>
    <t xml:space="preserve">Depuis que je suis à la mutuelle santé de santiane ,je n'ai rien a  leur reprocher que ce soit au niveau  du délai de remboursement ou de contacter le service clientèle.continuez comme cela </t>
  </si>
  <si>
    <t>12/10/2021</t>
  </si>
  <si>
    <t>berthurel-j-116685</t>
  </si>
  <si>
    <t>je suis très satisfait du service qualité
les prix sont très attractif et me conviennent
ils sont très simple et pratique
et en quelque minute on peut etre assuré</t>
  </si>
  <si>
    <t>regis-r-106601</t>
  </si>
  <si>
    <t xml:space="preserve">Le prix me convient en tout cas que ce véhicule que je viens d'assuré, mais bizarement, un vehicule français coute plus cher chez vous que là ou je suis assuré!!!!!!
</t>
  </si>
  <si>
    <t>bernard-f-110829</t>
  </si>
  <si>
    <t>je suis satisfait des services,documents tres clairs accueil et rapidité d,intervention,documents  trés transparents,rapport qualité et prix interessants</t>
  </si>
  <si>
    <t>18/04/2021</t>
  </si>
  <si>
    <t>thommerot-r-135851</t>
  </si>
  <si>
    <t xml:space="preserve">Je suis satisfait du service. Grande rapidité d’adhésion, conseillers performants et donnant de bons conseils. Tarifs tres attractifs en comparaison des autres compagnies </t>
  </si>
  <si>
    <t>04/10/2021</t>
  </si>
  <si>
    <t>hjyf84-104208</t>
  </si>
  <si>
    <t>Je trouve la formule un peu couteuse par rapport à certaines prestations, comparativement à d'autres mutuelles.
Mais le service est bien assuré, et le contact avec les conseillers est tout à fait efficace.</t>
  </si>
  <si>
    <t>15/02/2021</t>
  </si>
  <si>
    <t>nicolas-d-131890</t>
  </si>
  <si>
    <t xml:space="preserve">Pratique simple et rapide, personnel sympa au téléphone , prix intéressant  les plus bas du marché  sur les comparateurs  très bon  conseillé je recommande </t>
  </si>
  <si>
    <t>braud-e-132461</t>
  </si>
  <si>
    <t>A la souscription rien a dire. Prix en rapport avec mon attendu. Simple a l’utilisation. A évaluer dans 1 an en onction des événements et l’evolution des tarifs appliqués.</t>
  </si>
  <si>
    <t>12/09/2021</t>
  </si>
  <si>
    <t>marie-laure-w-106225</t>
  </si>
  <si>
    <t xml:space="preserve">Ravie d'être arrivés chez Direct assurance
un service  un prix et un accompagnement au top
Je recommanderais sans aucune hésitation à mes proches. 
</t>
  </si>
  <si>
    <t>11/03/2021</t>
  </si>
  <si>
    <t>hercule-k-107194</t>
  </si>
  <si>
    <t>Je suis satisfait du service bon travail!! Qualité-prix je suis satisfait je les recommande des employés sont sympathiques tu es compréhensive au téléphone</t>
  </si>
  <si>
    <t>lemasson-k-127728</t>
  </si>
  <si>
    <t>Tarif intéressants et économiques
Espace perso très fluide, compréhensible et simple d'utilisation
Interlocuteur très pro répondant à toutes mes demandes</t>
  </si>
  <si>
    <t>12/08/2021</t>
  </si>
  <si>
    <t>emilie-c-114336</t>
  </si>
  <si>
    <t>Je suis satisfaite du service
les tarifs sont attractifs et la rapidité du service aussi 
je proposerai vos services à mes amis 
ainsi qu'à ma famille aussi</t>
  </si>
  <si>
    <t>20/05/2021</t>
  </si>
  <si>
    <t>rom2a-80078</t>
  </si>
  <si>
    <t>Obligé d'attendre la date anniversaire pour résilier un contrat qui augmente chaque année assureur à fuir !!!</t>
  </si>
  <si>
    <t>timour91-96706</t>
  </si>
  <si>
    <t xml:space="preserve">Énorme blague, aucune réponse à aucune questions sur les remboursements ni aux demandes de changement d'adresse suite a un déménagement... Du coup cela fais plus d'un ans pour certain messages (et qui sont toujours marqués comme "en attente de traitement) et cela fais maintenant 8 mois que j'ai demandé le renvoi de ma carte de mutuelle à ma nouvelle adresse et toujours rien... Je paye 30e par mois pour un service dont je ne peux pas profiter... Pire mutuelle a bannnnnnnnniiiiiiiiiiiir, vous y trouverez plus de problèmes que de solutions à ceux que vous aviez déjà..
Hâte d'arriver a ma date anniversaire pour pouvoir resilier.. </t>
  </si>
  <si>
    <t>26/08/2020</t>
  </si>
  <si>
    <t>encolere-89908</t>
  </si>
  <si>
    <t>Bonjour,
Ne prenait surtout AG2R, cette mutuel a des temps de  traitement stratosphérique, elle ne répond pas a 
ses clients et raccroche au téléphone  après vous avoir fait poirauté pendant une demi-hieure  parce
que c'est  16H00 et le service doit fermé;
Je viens de le vivre, me faite pas confiance à l'AG2R
qui sur ce site prêtent qu'elle va apporter une réponse complète dans les prochain jour, c'est de la com ...</t>
  </si>
  <si>
    <t>25/05/2020</t>
  </si>
  <si>
    <t>thomas-g-111030</t>
  </si>
  <si>
    <t>je suis satisfait du service globalement
Une réduction suite au covi aurait été la bienvenue sachant que j'ai bcp moins utilisé mon véhicule du fait de la crise sanitaire du covid et le teletravail effectué en plus</t>
  </si>
  <si>
    <t>ignace-100576</t>
  </si>
  <si>
    <t xml:space="preserve">Tant que vous n'avez aucun souci et aucune demande, cette assurance est adaptée. En revanche, dès que vous avez besoin de les solliciter pour un sujet, c'est la politique de l'autruche. Aucune écoute pour aucune solution. 
De plus, je me rends compte que leurs prix ne sont nullement compétitifs....je résilie !
Et ce malgré avoir un service exemplaire chez Crédit Agricole qui sont tout le contraire.
A bon entendeur....
</t>
  </si>
  <si>
    <t>25/11/2020</t>
  </si>
  <si>
    <t>aramis-64889</t>
  </si>
  <si>
    <t>A fuir, si vous avez besoin de renseignement avis après avoir souscrit un soit disant contrat haut de gamme.</t>
  </si>
  <si>
    <t>19/06/2018</t>
  </si>
  <si>
    <t>baptiste-g-134244</t>
  </si>
  <si>
    <t xml:space="preserve">Satisfait du services des prix et tou ce qui va avec. Je recommande direct assurance a mon entourage………… j’aimerais un prix sur mon prochain achaT bonne journée </t>
  </si>
  <si>
    <t>adem-c-113643</t>
  </si>
  <si>
    <t xml:space="preserve">Je suis satisfait du service, ca c'est passé rapidement en 2-3 clis j'étais assuré pour mes 2 voitures c'est rapide et pas cher par rapport aux autres assurances </t>
  </si>
  <si>
    <t>13/05/2021</t>
  </si>
  <si>
    <t>tisseo-64311</t>
  </si>
  <si>
    <t xml:space="preserve">victime dun accident en étant piéton jai recu des nouvelles que par lassuance voiture de la personne qui ma percuté par contre axa qui mon assurance rien obliger de me déplacés a lagence et aucun courier donc je comprends pas pourquoi le suivi nest pas la </t>
  </si>
  <si>
    <t>16/04/2019</t>
  </si>
  <si>
    <t>roux-52458</t>
  </si>
  <si>
    <t>Bjr mon père a souscrit une assurance décès dont je suis la bénéficiaire et ce malgré son de nombreux courrier jamais de réponse pour nous communiquer si les pièces manquantes au dossier dernier courrier envoyer en ar le 23 janvier 2017 et pas de réponse je saisi le médiateur car mon père est décédé depuis septembre 2016 et toujours rein à ce jour pourtant avec l assurance il y a un capital obsèques qui prend en charge les frais obsèques il disent qu il verse le capital sous 72 h pour régler les frais obsèques et à ce jour toujours rein soit 8 mois après le décès c est plus 72h alors qu au tel on nous dit depuis des mois le dossier est complet une honte de jouer avec le décès des gens comme cela</t>
  </si>
  <si>
    <t>02/05/2017</t>
  </si>
  <si>
    <t>lecomte-c-113694</t>
  </si>
  <si>
    <t xml:space="preserve">Le prix est tout à fait correct
J'espère être satisfaite à 100% dans la durée du contrat et ne pas être déçu. En espérant que les tarifs n'augmentent pas chaque année  </t>
  </si>
  <si>
    <t>francois-p-117808</t>
  </si>
  <si>
    <t>Je n'ai pas eu de sinistre.... si j'en ai un , je pourrai juger . pour le moment l’intérêt est financier .Une dificulté, c'est trouver votre adresse mail pour vous envoyer un courrier.</t>
  </si>
  <si>
    <t>64buz92-59220</t>
  </si>
  <si>
    <t>Après visite du site pour avoir les informations qui m’intéressaient, mon inscription a été faite par Internet en totalité, sans problème pour l'envoi des documents (numérisés) et pour faire la signature (électronique). Très bonne assistance par téléphone en cas de besoin (détails d'explication des garanties, interface Web, etc).
Très satisfait de ce premier contact pour mon assurance auto.</t>
  </si>
  <si>
    <t>29/11/2017</t>
  </si>
  <si>
    <t>steph84-131045</t>
  </si>
  <si>
    <t xml:space="preserve">Je lis pas mal d'avis négatifs sur cette assurance et me sens obligée d'apporter le témoignage de mon expérience pour modérer ces propos qui me semblent injustes. J'ai un contrat privilège depuis 10 ans. Le véto à diagnostiqué une maladie grave à mon chien de presque 11 ans, il y a 3 mois. Il doit prendre un traitement extrêmement coûteux à vie et là, la panique. On entend souvent que les assureurs vous donnent un parapluie quand il fait beau pour vous le reprendre quand il pleut. L'assurance prend en charge 80% de son traitement et je ne rencontre aucune difficulté dans les remboursements. De plus, la carte bleue fournie m'évite d'avancer les frais et je suis remboursée avant le prélèvement sur mon compte. Le contrat est respecté et les conseillers que j'ai eu au téléphone ont tous été très pros et très aimables voire même empathiques. Convaincue par le sérieux de la compagnie, je viens d'assurer chez eux mon nouveau chien. </t>
  </si>
  <si>
    <t>bakari-d-122734</t>
  </si>
  <si>
    <t xml:space="preserve">Je suis satisfait en general le prix me semble un peu élevé ,mais lheure du traitement de dossier et la rapidité du contrat rattrape tout et c’est bon </t>
  </si>
  <si>
    <t>07/07/2021</t>
  </si>
  <si>
    <t>bidochons-125729</t>
  </si>
  <si>
    <t>Adhérente avec mon mari depuis 1975 , les tarifs de cette mutuelle ont explosé (320€/mois) et pas toujours à la hauteur pour les remboursements . Très moyennement satisfaite au vu des prix pratiqués</t>
  </si>
  <si>
    <t>31/07/2021</t>
  </si>
  <si>
    <t>richard-81516</t>
  </si>
  <si>
    <t xml:space="preserve">ce ne sont que de beaux parleurs!!!  le bonus a vie n existe pas!! c est du bluff car PLUSIEURS CLIENTSont ete  jetés de la maaf car ils avaient eu 2 sinistres  ( meme petit!!  et ensuite la maaf osent se dre proche de ses clients!!  perso je pars le mois prochain j enleve les deux voitures et l appart  ! qd au service client  n e parlons meme pas! enfin bref ..la maaf ce n est que du vent  de belles paroles mais pas d actes!! </t>
  </si>
  <si>
    <t>fermoir-57277</t>
  </si>
  <si>
    <t>Mon père avait souscrit une assurance dépendance pour ses vieux jours  il a cotisé pendant plus de vingt ans  lorsqu’il est devenu dépendant  nous avons contacté AG2R afin de récupérer son dû  cela est devenu un combat  j’ai même subis des menaces par téléphone  car j’ai insisté  je n’ai jamais lâché car mon père était dans son bon droit  mais quelle bataille imaginez que cela arrive à un couple de personnes âgées qui n’auront jamais la force et les moyens de se battre cela serait bénéfique pour AGR2R</t>
  </si>
  <si>
    <t>19/12/2019</t>
  </si>
  <si>
    <t>vincent-p-134903</t>
  </si>
  <si>
    <t xml:space="preserve">Tres satisfait des prix et du service direct assurance. Super assurance,  je recommande vraiment. Toujours au top quand on a un problème ou une panne. </t>
  </si>
  <si>
    <t>olivier-b-130392</t>
  </si>
  <si>
    <t>Je suis satisfait du service qui est rapide et sûre, de plus j'ai toujours été bien accueilli au téléphone et mes sinistres déclarés ont été très bien gérés.</t>
  </si>
  <si>
    <t>kimberley-b-127640</t>
  </si>
  <si>
    <t xml:space="preserve">Je suis satisfaite de la rapidité de la prise en charge pour l’assurance de ma voiture , Et le site a étais bien expliqué, et les tarifs sont très raisonnable </t>
  </si>
  <si>
    <t>11/08/2021</t>
  </si>
  <si>
    <t>rousse-l-127391</t>
  </si>
  <si>
    <t xml:space="preserve">Très sympathique et explications très bien et sérieuse et l écoute à votre appelle je conseille à mes proche de vous appeler pour vous avoir des devis de votre part </t>
  </si>
  <si>
    <t>10/08/2021</t>
  </si>
  <si>
    <t>nat-103587</t>
  </si>
  <si>
    <t xml:space="preserve">Disponibilité conseiller pacifica aucune impossible de les joindre hormis 1 sinistre !!
Prix augmenté ts les ans beaucoup alors que si on est nouveau client  ss être au crédit agricole ni rien c est moins cher !! Alors que pour ns c est 20 et 5 % de réduction cherchez l erreur.. Pour réponse Ben c est allez ailleurs !!! </t>
  </si>
  <si>
    <t>03/02/2021</t>
  </si>
  <si>
    <t>elisa-g-112828</t>
  </si>
  <si>
    <t>Je suis très satisfaite du service client, réactifs et très sympathiques. Cependant, je trouve que les formules ne sont pas assez adaptées aux étudiants, en effet, je n'ai clairement pas 12 000 € de mobilier à assurer...</t>
  </si>
  <si>
    <t>06/05/2021</t>
  </si>
  <si>
    <t>aourkem-100820</t>
  </si>
  <si>
    <t xml:space="preserve">Cette assurance fait appel à des Experts incompétents et condescendants. Litige avec nos propriétaires pour 2 sinistres dégâts des eaux et électricité qui ne veulent pas faire les travaux correspondant aux dégâts qui ne sont pas de notre fait. Nous avons demandé à l'assurance de faire intervenir des experts : un plombier est venu et a fait un bon rapport de fuite...mais l'expert en électricité ??? aucun constat, aucun rapport en notre possession par contre il s'est permis de contacter l'agence et les propriétaires pour leur dire qu'il y avait juste des fils qui dépassaient et qu'il fallait arranger ça !? Cette blague, URBANIS un service de l'ARS sur le logement est passé une semaine après, notre logement est considéré comme "indécent", l'installation électrique doit être entièrement revue.. un second expert vient faire un état des lieux en présence des propriétaires et donne raison à ceux-ci jusqu'à ce qu'on lui dise qu'un rapport a été écris par l'ARS et que les ALS vont être supprimé au vue de l'état de l'appartement. Ils n'avaient pas envie d'engager des procédure via la protection juridique. Résultat on a pris une avocate. Incompétents, ne connaissent pas les lois et ne nous aident pas du tout alors qu'on paye un service 
à Fuir!!!!! </t>
  </si>
  <si>
    <t>fabienne-s-130044</t>
  </si>
  <si>
    <t>Rapide et simple pour choisir et souscrire une assurance
Tarifs competitifs.
J attends de voir dans le temps si la reputation est a la hauteur de mes attentes</t>
  </si>
  <si>
    <t>29/08/2021</t>
  </si>
  <si>
    <t>lionel-m-111860</t>
  </si>
  <si>
    <t>Tarif trop élevé. Moitié prix pour un nouveau arrivant alors que je suis client depuis plusieurs années chez vous avec plusieurs contrats. Malgrés mes différents contacts téléphoniques, aucun gestes commerciales.  Dommage que vous ne faites pas d'effort pour garder vos fidèles clients. Donc je résilie mon contrat.</t>
  </si>
  <si>
    <t>27/04/2021</t>
  </si>
  <si>
    <t>ruben-a-125790</t>
  </si>
  <si>
    <t>Satisfait , les prix me conviennent ................. le souscription aux services est simple et intuitive. Les offres sont intéressantes ..............</t>
  </si>
  <si>
    <t>hatem-a-117244</t>
  </si>
  <si>
    <t xml:space="preserve">Je ne suis pas du tout satisfait, on ne m'a pas parlé de franchise de 50 km pour l'assistance et là on m'oblige à payer les frais d'assistance alors que j'ai souscrit à un contrat tout risque </t>
  </si>
  <si>
    <t>16/06/2021</t>
  </si>
  <si>
    <t>dimitri-a-125033</t>
  </si>
  <si>
    <t xml:space="preserve">Je suis satisfait du service en tant que jeune conducteur j'ai su trouver le contrat qui me convenait le plus à un prix très abordable est l'assistance téléphonique très efficace très à l'écoute </t>
  </si>
  <si>
    <t>lydia-104789</t>
  </si>
  <si>
    <t>Je reçois mon avis d’échéance 2021 avec une augmentation des cotisations de 17,50% (cotisations de base 514,33€ en 2020 et 604,33€ en 2021) pour ma moto bmw 1200 avec 50% de bonus et que je nai pas eu d’accident a tort depuis plusieurs années et comme tout le monde avec la Covid je roule peu depuis 1 an.
Je suis très tres en colère +++ j’ai appelé le service des reclamations et il m’a été repondu que cette augmentation était justifiée !!!! compte tenu de l’inflation et l’évolution des sinistres graves !!!! Je vais étudier les autres compagnies pour partir très vite de là ! Très déçu++++!!!!</t>
  </si>
  <si>
    <t>25/02/2021</t>
  </si>
  <si>
    <t>salvatella-a-111054</t>
  </si>
  <si>
    <t>Je suis très satisfait , l'accueil très professionnelle, le prix imbattable, très bonne garanties, les options de l'assurance et très bien personnalisé.</t>
  </si>
  <si>
    <t>annoyed2020-103489</t>
  </si>
  <si>
    <t>Jusqu'à présent, il a fallu plus de 9 mois pour annuler une assurance auto après avoir fourni le certificat de transfert daté de mai 2020. J'ai dû appeler plus de 20 fois et chaque fois qu'ils promettent de résoudre la situation, rien ne se passe. Ils l'ont finalement annulé, mais seulement à partir de la mi-août! ... Maintenant, je dois les appeler ENCORE, et probablement UNE AUTRE 20 fois pour obtenir ce remboursement correctement. J'ai passé environ 7 heures à essayer de régler ce problème ... Absolument inutile et une perte de vie !!! ... Je comprends que Covid a posé des problèmes pour les entreprises, mais c'est totalement inacceptable.</t>
  </si>
  <si>
    <t>maurice59-62731</t>
  </si>
  <si>
    <t xml:space="preserve">Interiale propose aux collectivités locales et dans le cadre d'une reponse à un groupement de commande, un maintien de salaire dont l'assiette est basée au choix de l'agent sur son traitement ou son traitement plus les primes.
J'ai choisi de couvrir aussi mes primes.
Comme par principe la majorité des primes sont proratisées au temps de présence je comprends qu'elles ne soient plus versées par la collectivité lors d'un congé longue maladie
Donc je cotise sur mes primes pendant des années pour la couverture d'un risque et quand le risque survient , la collectivité supprime les primes parce que je ne peux plus travailler et l'assurance s'exonere de la couverture du risque parce que la collectivité ne verse plus les primes.
Bien sur Interiale indemnise  la moitié des primes "par pure bonté d'ames mais le principe est surprenant.
A quoi sert l'assurance sur les primes ? </t>
  </si>
  <si>
    <t>27/03/2018</t>
  </si>
  <si>
    <t>marvinious-107534</t>
  </si>
  <si>
    <t>Mon avis est très bon sur la garantie habitation  qui de plus ai ils interviennent rapidement par contre leurs protection juridique est à déplorer, une avocate qui a travaillée pour eux ma 
affirmer que les avocats n’étudier pas leurs dossiers, ils faisaient le minimum un point c'est tout.
Voilà pour qu'elle raison je suis parti.</t>
  </si>
  <si>
    <t>22/03/2021</t>
  </si>
  <si>
    <t>paul-103150</t>
  </si>
  <si>
    <t>Pour un contrat dont l'échéance est le 1°Février et qui est réglée par carte bancaire, on essaie de prélever sur mon compte dès le 29/12! Comme ACTIVE ASSURANCE n'a pas mon RIB , le prélèvement revient impayé !
Et je reçois une mise en demeure.
Par téléphone on me confirme que les prélèvements sont systématiquement présentés 1 Mois avant l'échéance!?! 
Je vous laisse en tirer les conclusions.</t>
  </si>
  <si>
    <t>24/01/2021</t>
  </si>
  <si>
    <t>philippe-f-112630</t>
  </si>
  <si>
    <t>Je viens de signer mon contrat, le prix est intéressant ainsi que les différentes garanties proposées pour le logement. Les options concernant le dépannage plomberie et hôtel en cas de sinistre sont un plus</t>
  </si>
  <si>
    <t>04/05/2021</t>
  </si>
  <si>
    <t>phisamat13-105991</t>
  </si>
  <si>
    <t>Le niveau des prix est très élevé, surtout si on le met en rapport avec le niveau de couverture. Il n'est pas normal je ne jamais bénéficier d'un remboursement complet sur les dépassements d'honoraires, sur les lunettes ou le dentaire alors que je cotise au niveau maximum de vos formules.</t>
  </si>
  <si>
    <t>astel-76286</t>
  </si>
  <si>
    <t>Après un site en maintenance durant trois jours, mon opticien envoie le devis optique par mail. Celui ci est refusé mais sans motif. De mon côté et mon opticien on contacte le service dédié, une réponse super professionnel (ironie) digne des enfants de 4ans : "ce n'est pas moi qui ai géré le dossier c'est ma collègue qui n'est pas la aujourd'hui et elle n'a pas mis le motif. Rappelez lundi !" Au dernier appel : "désolée madame mais le site ne fonctionne pas je ne peux pas vous dire le motif!" Alors je paye plus de 90euros par mois cette mutuelle imposée par mon entreprise où il est dit que j'ai un remboursement de verres plus montures qu'on me refuse et sans motif???? C'est juste dingue! Plus de 10jours qu'on me balade .... Et au dernier appel, même pas un aurevoir, la personne me raccroche au nez car je lui ai simplement dit que ce n'est pas normal de ne pas être professionnelle à ce point.</t>
  </si>
  <si>
    <t>28/05/2019</t>
  </si>
  <si>
    <t>christian-d-127146</t>
  </si>
  <si>
    <t>Excellente réactivité de GMF et cordialité des contacts.
A chaque échange je reçois des informations très utiles pour ma vie quotidienne. Je suis client depuis plus de 40 ans et me félicite de cette fidélité.</t>
  </si>
  <si>
    <t>09/08/2021</t>
  </si>
  <si>
    <t>steven-c-107685</t>
  </si>
  <si>
    <t>Aucune réduction suites aux différents confinements et service client à revoir. Empathie zéro suite à une ouverture de dossier avec l'assurance. Je pense quitter cette assurance.</t>
  </si>
  <si>
    <t>coucou-137794</t>
  </si>
  <si>
    <t>Bonjour
J'ai demandé des renseignements ce matin à Santiane. j'ai été renseigné par Aya 
Celle m'a trés bien renseigné et m'a aussi la marche à suivre pour me connecter directement au site et voir ainsi ou en sont mes remboursements.</t>
  </si>
  <si>
    <t>19/10/2021</t>
  </si>
  <si>
    <t>rannou-c-113333</t>
  </si>
  <si>
    <t>Très bonne assurance, je la recommande vivement. Pas cher et efficace le service client très aimable, très courtois, agréable et à l'écoute. Rien a redire</t>
  </si>
  <si>
    <t>11/05/2021</t>
  </si>
  <si>
    <t>blanc81-89294</t>
  </si>
  <si>
    <t xml:space="preserve">Une horreur... avant de changer d assurance habitation ou auto assurez vous que ce ne soit pas matmut  car à cause d eux j ai payé double cotisations pendant 3 mois...et vous savez ce qu.on m a répondu """"chez nous l.envoi de la résiliation à été envoyé et réceptionné en RAR.. bref ce n est pas de résoudre le.probleme et quand vous faites une réclamation on vous dit """on doit étudier le dossier """ ça fait 10 jours sans réponse de leur part... ce qui n ont pas compris est que.mon compte bancaire n est pas flexible pour payer en doublon </t>
  </si>
  <si>
    <t>30/04/2020</t>
  </si>
  <si>
    <t>ginou-101150</t>
  </si>
  <si>
    <t xml:space="preserve">Je n'ai jamais constaté de problèmes de remboursements.
Je pense que l'assurance reste onéreuse et qu'elle devrait en ce qui concerne mon corps de métier proposer par exemple le remboursement de jour de carence lors d 'arrêt maladie au moins 3 à l'année.
A chaque contacts téléphoniques établis, j'ai eu réponse à mes questions avec des interlocuteurs très professionnels, à l'écoute et en plus sympathiques.
Merci
</t>
  </si>
  <si>
    <t>09/12/2020</t>
  </si>
  <si>
    <t>lb-62112</t>
  </si>
  <si>
    <t xml:space="preserve">Si je pouvais je mettrais aucune etoile. C est une honte cette assurance. Voila 10 mois que je me suis fais cambriole. J ai change moi meme les verroux, la porte fenetre refus de prendre en charge quant au remboursement des biens voler et des frais engage j attends toujours. L assurance ne veut rien rembourse pour l instant même pas une estimation de faites. Je regrette amerement d avoir pris cette assurance pour faire quelques economies. En cas de problemes vous serez livre a vous même. Et n attendez pas reparation....... </t>
  </si>
  <si>
    <t>08/03/2018</t>
  </si>
  <si>
    <t>kolation-55976</t>
  </si>
  <si>
    <t>bonjour ne surtout pas regarder les offres alléchantes ce ne sont pas des professionnels du tous il mieux vaut aller en agence au moins vous avez un interlocuteur plutôt que des personnes qui répète un texte déjà écrit a fuir.je n'imagine même pas en cas de sinistre!</t>
  </si>
  <si>
    <t>12/07/2017</t>
  </si>
  <si>
    <t>elias-49936</t>
  </si>
  <si>
    <t>J'ai ete victime du vol de ma moto. Entre le stress que j'ai vecu apres le vol et les commentaires que j'ai lu sur les assurances en general et leur tentatives d'evader les indemnisations, j'avais pas trop confiance. Finalement, au contraire, au bout d'un mois a peu pres, AXA m'avait indemnise. Donc globalement je suis tres satisfait de cette assurance. (Il faut toujours penser a garder les documents et factures concernant la moto)</t>
  </si>
  <si>
    <t>06/12/2016</t>
  </si>
  <si>
    <t>rescape42-113074</t>
  </si>
  <si>
    <t xml:space="preserve">Mon pousser a une tentative de suicide . J’ai eu le covid il m’ont rendu en plus malade que le covid ne veulent pas indemniser joue avec le temps deux mois sans indemnité rien à manger deux enfants à charge . A FUIR </t>
  </si>
  <si>
    <t>Gan</t>
  </si>
  <si>
    <t>10/05/2021</t>
  </si>
  <si>
    <t>jaali-132749</t>
  </si>
  <si>
    <t xml:space="preserve">Je n’ai jamais vue une assurance aussi nuuuuulll que celle ci ! C’est grave ! Ça fait 4 mois que j’attend mon virement de ma moto et toujours sans réponse et la gestionnaire ce permet de me dire « ça ferra bientôt 5 mois en rigolant » ! C’est INSULTANT ! Une assurance a FUIIIIRR !! N’assurez surtout pas vos véhicules chez eux ! Pour les prélèvements ils sont présent mais pour les remboursements y’a plus personne ! JE NE RECOMMANDE SURTOUT PAS CETTE ASSURANCE MÊME À MON PIRE ENNEMI ! </t>
  </si>
  <si>
    <t>14/09/2021</t>
  </si>
  <si>
    <t>kiki-107062</t>
  </si>
  <si>
    <t>Les salariés des agences sont super sympas mais le siège est injoignable.....répondeur permanent!
L'espace perso ne permet pas de joindre le juridique. Trois fois 40 mn en 3 jours...
Mutuelle fantôme et de plus en plus chère !!
N'hésitez pas à faire fonctionner la concurrence, il y a de bonnes surprises .</t>
  </si>
  <si>
    <t>nfrouin-70952</t>
  </si>
  <si>
    <t>LE PLUS MAUVAIS. AXA est une structure technocratique où aucun humain n'est capable de prendre son téléphone pour expliquer que cette année c'est x 2,5 fois plus cher!!!</t>
  </si>
  <si>
    <t>04/02/2019</t>
  </si>
  <si>
    <t>01/02/2019</t>
  </si>
  <si>
    <t>carla37-126815</t>
  </si>
  <si>
    <t>Mon père est décédé du Covid-19 en avril 2021. Depuis malgré tous les documents qu'ils demandent (des trucs hallucinants comme une attestation à faire tamponner par la sécurité sociale pour indiquer les arrêts maladies depuis 10 ans alors qu'il était à la retraite, c'est écrit sur son dossier), des comptes rendus d'hospitalisations, des lettres et questionnaires pour son médecin traitant... j'en passe ... Leur contrat nécessite un questionnaire médical avant souscription, tout est indiqué et signé par un médecin. Ils acceptent la souscription suite à ce questionnaire. Puis vous décédez de cette maladie, le Covid-19 et ils cherchent la petite bête pour se soustraire à leur obligation. C'est une honte !!! 4 mois maintenant et ils continuent à demander des documents alors que le cause du décès est le Covid-19 !!! Un conseil : à fuir avant souscription, à dénoncer à Ufc Que Choisir et prendre un avocat.</t>
  </si>
  <si>
    <t>Afi Esca</t>
  </si>
  <si>
    <t>06/08/2021</t>
  </si>
  <si>
    <t>lorenzo-s-122311</t>
  </si>
  <si>
    <t xml:space="preserve">J’ai adhéré grace à un comparateur d’assurance, le prix était le plus intéressant. C’est très simple de souscrire au contrat, c’est très bien expliqué. </t>
  </si>
  <si>
    <t>04/07/2021</t>
  </si>
  <si>
    <t>gigi-132991</t>
  </si>
  <si>
    <t>Je remercie Sokhna pour son accueil, sa gentillesse, sa patience et pour avoir répondu à toutes mes questions. Elle mérite 5 étoiles sur 5. Encore une fois merci beaucoup Sokhna.</t>
  </si>
  <si>
    <t>dosne-jean-d-107542</t>
  </si>
  <si>
    <t>je ne suis pas très content d'une augmentation de tarif importante sur mon contrat en 2020.  Après échange commercial et email à l'appui de votre part, je devais avoir une remise de 50€ à cette époque, de plus vu l'année passée ou je ne que très très peu roulé, j'attends toujours ce geste commercial très minimal, qui n'a toujours pas été appliqué et aucune compréhension sur des frais de cotisation de 92€ n'existant pas l'année précédente, cela donne envie de résilier ce contrat. En pré retraite, je ne suis pourtant pas un fou du volant. Cordialement,</t>
  </si>
  <si>
    <t>kamii-51273</t>
  </si>
  <si>
    <t xml:space="preserve">Je suis très satisfaite de l'olivier assurance auto car au niveau du qualité/prix ils sont parfait. Ce sont les moins chers c'est ce qu'on recherche et en plus la qualité est là. Perso, je l'ai conseillé à mon amis qui est devenu client également et il est satisfait. </t>
  </si>
  <si>
    <t>florelucasmrl-94776</t>
  </si>
  <si>
    <t>Pas satisfaite du tout de ce service YOUDRIVE.
Le service ne fonctionne pas et le tableau de bord n'est jamais à jour.
Je vais contacter le service client.</t>
  </si>
  <si>
    <t>hmh-133069</t>
  </si>
  <si>
    <t>Communication désastreuse de la part de Neoliane, qui ne disent pas qui ils sont dans un 1er temps mais qui vous proposent tout de suite une "couverture santé" pour pallier "aux éventuels frais d'hospitalisation avec dépassements d'honoraires",  je devait juste confirmée ce qu'elle disait, mais elle avait toutes mes infos : le nom de ma Compmementaire Santé, mon nom, prénom, date de naissance et RIB, (ce qui est complètement abberents et scandaleux), je me rends compte une fois le message de confirmation reçu, qu'il s'agit en faite d'une souscription à pour assurance prévoyance santé à 35.70€/mois... vous êtes vraiment malhonnêtes, bande de malfaiteurs, vous n'avez pas honte de vouloir dépouiller les gens qui n'ont déjà pas beaucoup de revenus et galèrent à la fin du mois ?! Revoyez vos méthodes pour démarcher et arrêtez de tromper  les gens ! dites qui vous êtes réellement. Le pire c'est que l'interlocuteur insiste en me disant que c'est une simplement couverture vraiment du foutage de g***le ! Je n'étais pas du tout contenté et je lui ai bien fait comprendre au téléphone, qu'en aucun cas je ne souhaitais souscrire, oui le mensonge ça paye pas Madame, si je vois le moindre prélèvement de leurs part je leur fait scandale, +33221650225 voici leur numéro de téléphone, ne décrochez jamais !!!</t>
  </si>
  <si>
    <t>16/09/2021</t>
  </si>
  <si>
    <t>jacky-g-124692</t>
  </si>
  <si>
    <t>Les prix me conviennent, satisfait des prises en compte des sinistres survenu jusqu'à ce jour !
Pourquoi ne pas créer des remise supplémentaires pour un pack exemple : plusieurs véhicules + maison etc. ;</t>
  </si>
  <si>
    <t>25/07/2021</t>
  </si>
  <si>
    <t>didier30-75850</t>
  </si>
  <si>
    <t>Franchise et surtout super franchise inconnue délirante de 1500 euros à ajouter à la franchise de base.</t>
  </si>
  <si>
    <t>miig94-65660</t>
  </si>
  <si>
    <t xml:space="preserve">À fuire,service commercial,service client incompétents, j 'ai u affaire a 2 personne différente le même jour, et aucune des 2 n 'on su me répondre sur mon contra,le pire l une d'elle fuit même mes question et j 'ai l'impression de la déranger, je voulez juste être rassurer sur mes garantie mais là c'est sur je m'en vais de suite, c'est vraiment honteux d'avoir des personne aussi incompétente et désagréable au téléphone, vraiment a fuir après  avoir assurer mes 2 voiture chez eux pendant 8 mois je retourne ver mon ancien assureur, bien plus professionnel ! </t>
  </si>
  <si>
    <t>20/07/2018</t>
  </si>
  <si>
    <t>farah-s-113032</t>
  </si>
  <si>
    <t xml:space="preserve">Je suis très satisfait du prix proposé et du niveau de couverture.
Je suis très satisfait du service et de l'assistance téléphonique
Je recommenderai l'Olivier à des proches </t>
  </si>
  <si>
    <t>07/05/2021</t>
  </si>
  <si>
    <t>jelissa-49470</t>
  </si>
  <si>
    <t>Client de chez vous j'était en concubinage je me suis séparé de mon ex copain. Je veux partir de sa mutuelle de boulot donc harmonie mutuelle quand j'appel ont me dit de voir avec sont travaillé quand j'appel sont travaillé ont me dit que ses a lui de faire la lettre hors je n'ai toujours pas de nouvelle j'ai un enfant en bas âge et j'aimerais bien assuré mon fils a la couzen gros je n'ai pas de réponse sa me fou dans la crotte comme pas possible... je recommande pas harmonie mutuelle car il ne savent jamais quoi faire pour les mutuelle de travaille!:@</t>
  </si>
  <si>
    <t>23/11/2016</t>
  </si>
  <si>
    <t>maxence-b-132862</t>
  </si>
  <si>
    <t xml:space="preserve">Simple et rapide !!! Meilleur tarif sur le marcher des assurance auto. Le service client sobt de bons conseil et n'hésite pas à aider à choisir l'assurance qui vous conviendra le mieux. Je recommande. </t>
  </si>
  <si>
    <t>reynal-b-124689</t>
  </si>
  <si>
    <t>Facile et pratique.
Prix intéressant
Pas utilisé vos services , car pas de sinistre.
Pour mon assurance principale, je vous ai sollicité deux fois , mais pas placé à chaque fois</t>
  </si>
  <si>
    <t>laurence-79547</t>
  </si>
  <si>
    <t xml:space="preserve">Je ne vais pas m'étendre les concernant.
Nous avons eu besoin d'eux une seule fois en dix ans. Nous sommes locataires, il y avait une fuite chez nos voisins du dessous. Fuite occasionnée par l'ensemble des appartements du dessus, le nôtre compris en raison d'une usure des canalisations. 
Les propriétaires et copropriétaires étaient responsables bien entendu pas les locataires, malgré tout Pacifica a eu l'audace de nous menacer à plusieurs reprises par oral jamais par écrit. Ils ne se présentaient pas aux réunions de constats de dégâts ou bien en retard avec le mauvais dossier. 
On nous a finalement indiqué deux ans après le dégât qu'on ne serait indemnisé en rien. 
Lamentable 
Rebecca en charge de notre dossier a été particulièrement désagréable et menaçante 
N'allez pas chez eux quitte à payer plus cher. </t>
  </si>
  <si>
    <t>27/09/2019</t>
  </si>
  <si>
    <t>benjamin-s-115646</t>
  </si>
  <si>
    <t>Satisfait de la prise en charge des sinistres et du prix.
Service tel client à l'écoute, sans attentes.
Interfaces / applications trés bien faites
Un point d'amélioration : le dépôt des documents par l'appli iphone.</t>
  </si>
  <si>
    <t>02/06/2021</t>
  </si>
  <si>
    <t>betpierre-54801</t>
  </si>
  <si>
    <t>Il ne respect plus les dates de prélèvement et du coup pénalités de refus ce depuis que j'ai eu un soucis en début d'année que je suis en maladie j'aimerais comprendre mais jamais on me répond au tel.si vous être malade mutuel a fuire pour votre bien il te prendrons en otage sinon</t>
  </si>
  <si>
    <t>19/05/2017</t>
  </si>
  <si>
    <t>selim-77084</t>
  </si>
  <si>
    <t>Si vous êtes à la recherche d'une assurance pour votre animal de compagnie passer votre chemin.</t>
  </si>
  <si>
    <t>25/06/2019</t>
  </si>
  <si>
    <t>sergio-t-123742</t>
  </si>
  <si>
    <t xml:space="preserve">je suis satisfait du service et de la disponibilité et célérité des opérateurs.
pouvoir contacter les équipes le samedi matin ou le soir tard est un plus </t>
  </si>
  <si>
    <t>18/07/2021</t>
  </si>
  <si>
    <t>nathalie--b-137263</t>
  </si>
  <si>
    <t xml:space="preserve">Satisfaite de la rapidité ravie de cette rapidité et de se système mis en place en ligne je pense être satisfaites des prestations que j ai choisi pour mes enfants et moi </t>
  </si>
  <si>
    <t>p45-69774</t>
  </si>
  <si>
    <t>Service client nul et inexistant. Ne vous reverse pas votre argent pour votre PEERP et efface toutes les données sur votre espace client concernant votre contrat concerné par le versement de votre argent. De plus, vous pose des problèmes quand vous voulez changer de mutuelle santé.</t>
  </si>
  <si>
    <t>31/12/2018</t>
  </si>
  <si>
    <t>01/12/2018</t>
  </si>
  <si>
    <t>said-o-137875</t>
  </si>
  <si>
    <t>Le prix me paraît un petit peu excessif!
le point positif est la rapidité et l'accueil téléphonique, très bon rapport client.
La franchise est également un peu chers</t>
  </si>
  <si>
    <t>20/10/2021</t>
  </si>
  <si>
    <t>sauvagnat-v-116402</t>
  </si>
  <si>
    <t>Je suis très satisfait de la facilité d'utilisation du site ainsi que de la rapidité pour assurer ma voiture et obtenir la carte verte. Les tarifs sont également particulièrement attractifs. Merci à vous!</t>
  </si>
  <si>
    <t>08/06/2021</t>
  </si>
  <si>
    <t>jvuibert-67615</t>
  </si>
  <si>
    <t>L'olivier assurance à une très bonne communication :
Appel quelques jours après la souscription du contrat pour savoir si tout c'est bien passer ( bon point )
Remise lors de la reconduction du contrat car l'augmentation était trop élever.
Fidélisation de ses clients rare de nos jours.
Accueil téléphonique toujours courtois.</t>
  </si>
  <si>
    <t>12/10/2018</t>
  </si>
  <si>
    <t>didier-a-105872</t>
  </si>
  <si>
    <t>Transmission des documents très pénible, de nombreux appels nécessaires malgré des interlocuteurs toujours polis et serviables.  l'application pour portable ne fonctionne pas pour l'apaise de photos du véhicule.</t>
  </si>
  <si>
    <t>08/03/2021</t>
  </si>
  <si>
    <t>cottereau-j-117845</t>
  </si>
  <si>
    <t>Je suis satisfait du service, assurance simple et rapide pour un nouveau contrat. 
L'opérateur a été à l'écoute de ma demande et m'a bien expliqué mon assurance</t>
  </si>
  <si>
    <t>pam-90387</t>
  </si>
  <si>
    <t xml:space="preserve">Bonjour  j ai eu un accident en septembre 2019 j attend encore le remboursement j ai eu mon gestionnaire une seul  fois par téléphone il a plus de 2 semaine il ma dit que j allais être indemniser et je n ai toujour rien. J ai rendez vous à 18h avec un conciliateur de justice en n excluant pas une demande d indemnisation supplémentaire pour le préjudice et les frais que j ai du fait du non remboursement dans un délai normale. 
Cordialement. </t>
  </si>
  <si>
    <t>10/06/2020</t>
  </si>
  <si>
    <t>bizouard-m-114375</t>
  </si>
  <si>
    <t>Je suis satisfait de la recherche d'une nouvelle assurance. C'est rapide et le prix est intéressant pour mon véhicule. La gestion de la souscription ets très simple.</t>
  </si>
  <si>
    <t>pascal-d-109491</t>
  </si>
  <si>
    <t xml:space="preserve">bonjour, je ne suis pas du tout satisfait de votre service , il doit être très bien pour gérer les sinistres 
mais pour gérer une inscription avec un bonus correspondant ça devient tout de suite compliqué.
j'ai souscrit un contrat d'assurance auto chez vous . J'ai un bonus .50 depuis 12/ 2009 chez PACIFICA 
j'ai eu ces trois dernières années un véhicules de location longue durée. j'ai décider de l'acheter avec un relever d'information précisant que je n'ai pas eu de sinistre.
aujourd hui DIREC ASSURANCE déclare que je n'ai plus mon bonus .50 . 
et me propose de garder mon bonus moto de .72 ou de recommencer avec un coef 1 jeune conducteur. donc j'ai été voir ma banque qui me réassure mon nouveau véhicule. avec mon bonus .50 .
c'est  pourquoi je souhaite resilier mon assurance chez vous et je pourrai voir si je suis rembourser au prorata .
car je suis un conducteur qui n'a pas eu de sinistre depuis 20 ans au moins je ne comprend pas votre optique.        </t>
  </si>
  <si>
    <t>07/04/2021</t>
  </si>
  <si>
    <t>gabriela-sara-d-131789</t>
  </si>
  <si>
    <t>Je trouve que c'est trop cher, après les offres sont intéressants, mais ça reste camem une fortune, je suis nouvelle mais on verra bien, je cherche toujours</t>
  </si>
  <si>
    <t>laurent-j-132963</t>
  </si>
  <si>
    <t xml:space="preserve">Excellent service merci à direct assurance pour son efficacité je recommande vivement pour l'achat d'un véhicule neuf ou d'occasion.  Un large panel de garanties. </t>
  </si>
  <si>
    <t>brice-m-131880</t>
  </si>
  <si>
    <t>Je suis satisfait du service. Les prix sont bien. Tout est très bien pour moi rien à redire pour le moment. Je conseillerai cette assurance à mes proches</t>
  </si>
  <si>
    <t>chrys-57001</t>
  </si>
  <si>
    <t>Assurance a fuir. Contrat auto payé à l'année. Après avoir fait plusieurs devis en ligne pour trouver une autre assurance -cher je retrouve direct assurance avec une différence de prix de 250 € j'appelle et la elle me dit que c'est du à l'acquisition d'un garage c'est pour cela que notre nouveau devis etait moins cher.  J'ai souhaité quand même resilie car pour garanties identiques ont a trouvé bcp moins cher.  Apres la resiliation de mon contrat Direct assurance m'envoye une lettre avec A.R. en me réclament 22€95 car ils ont pris en compte notre garage que sur le devis bien sur et il me menace d'être résilié  pour non paiement et que mon contrat auto sera suspendu dès le 23 septembre or je ne suis plus chez depuis plus 1 mois mais de quel garanties parle t'il???</t>
  </si>
  <si>
    <t>31/08/2017</t>
  </si>
  <si>
    <t>emily--p-124825</t>
  </si>
  <si>
    <t>Je m'inscris chez vous je donnerai mon avis plus tard avec du recul mais je pense n'avoir aucun souci connaissant des personnes qui sont déjà inscrit chez vous et ma mère a été inscrite chez vous il y a plusieurs années et pendant longtemps</t>
  </si>
  <si>
    <t>26/07/2021</t>
  </si>
  <si>
    <t>kyra-99481</t>
  </si>
  <si>
    <t xml:space="preserve">Bonjour, 
Je suis surprise de recevoir un courrier de la MAIF dans lequel il est mentionné que cette dernière a décidé de mettre un terme à notre contrat pour raison de “l’altération de nos relations commerciale!!! “Je serais surprise de savoir ce que l’on me reproche!! agent de la collectivité territorial je n’hésiterais pas à faire votre pub auprès de mes collègues assurés chez vous!! Et également sur tous les réseaux sociaux vous pourrez alors justifier de l’alteration de notre relation! </t>
  </si>
  <si>
    <t>pasdepseudo-130556</t>
  </si>
  <si>
    <t>Extrêmement déçue de cette Mutuelle qui devait selon mon interlocutrice être vraiment une très bonne Mutuelle elle !!!
Zéro reste à charge sur les soins dentaires ! sauf qu'aucun dentistes de ma ville ne prodiguent ces fameux soins zéro reste à charge !!!!! 
Pour mon Ophtalmo, j'attends toujours mon complément  pour être remboursée de mes examens !!! rdv fait le 17 aout 2021 et toujours rien de CEGEMA !!! de plus il ne rembourse que 3 centimes sur les verres !!! youpiii !!!! je suis ravie !!!
aucun interlocuteur quand on les appels et encore quand leur numéro marche !!!
Je souhaite partir de cette Mutuelle , je regrette vraiment d'y avoir souscrit 
j'ai mis une étoile car on ne peut pas mettre zéro étoile 
Mutuelle à fuire !!!</t>
  </si>
  <si>
    <t>marthe-67111</t>
  </si>
  <si>
    <t>mon tarif a été augmenté de 55 euros en 3 ans sans sinistre!!!!!!pour l'assurance dépendance idem ma cotisation est passée de 44 euros à 72 euros alors que la retraite baisse !!!!</t>
  </si>
  <si>
    <t>26/09/2018</t>
  </si>
  <si>
    <t>01/09/2018</t>
  </si>
  <si>
    <t>elkeke-80381</t>
  </si>
  <si>
    <t xml:space="preserve">Jeune motard a l'époque, il s'agissait de l'assurance la moins chère, donc cela m'avait attiré. J'ai été assuré pendant plus de 10 ans chez eux, puis un jour, lors d'un stationnement de mon véhicule sur un emplacement moto, celle ci a était percuté. Constat en bonne et due forme, ou la partie adverse avait reconnu ses torts a 100%, cette assurance a fait des pieds et des mains pour ne pas me rembourser. (genre il me fallait 10 témoins ). A FUIR !!!  </t>
  </si>
  <si>
    <t>Euro-Assurance</t>
  </si>
  <si>
    <t>24/10/2019</t>
  </si>
  <si>
    <t>caroline-74584</t>
  </si>
  <si>
    <t>Honteux!!!!!si vous souscrivez à l olivier assurance je vous souhaite de ne jamais tomber en panne. Assurance tous risques confort plus avec option 0-50 kms pour 90 euros par mois. Nous sommes tombés en panne à 350 kms de chez nous, seule solution proposée...un taxi pour un montant de 50 euros. Pas de prise en charge d'hôtel, il est 00h00. Nous payons un taxi 634 euros!!!!! pour rentrer chez nous. Aujourd hui nous appelons pour obtenir le prêt d'un véhicule pour aller chercher notre véhicule réparé, à 3h de notre domicile, eh bien malgré le tarif onéreux de notre assurance, nous n'avons pas droit à un véhicule de prêt....car ce n'est pas un sinistre. Europe assistance avec qui ils sous traitent sont d'un manque de professionnalisme, de respect, que l'image de l olivier en est fortement entachée. Décision est prise que nous ne verserons pas 1 euro de plus à cette assurance qui s'engraissent bien sur ses mensualités mais qui n'offre aucune garantie, d'aide et d'assistance à ces usagers. Vous m'avez dégouté. Nous sommes donc obligés de louer nous-même un véhicule, à NOS frais pour aller chercher notre véhicule personnel au garage. Travailler avec si peu de valeurs...1 journée de location, 1 journée....sur 90 euros payés par mois sans jamais avoir fait appel à vos services. Vos concurrents sont bien plus prévenants que vous.</t>
  </si>
  <si>
    <t>29/03/2019</t>
  </si>
  <si>
    <t>jean-sebastien-a-134710</t>
  </si>
  <si>
    <t>Je suis satisfait de la simplicité de changement et de la prise en charge de l'administratif ainsi que du tarif le plus compétitif que j'ai pu trouvé...</t>
  </si>
  <si>
    <t>27/09/2021</t>
  </si>
  <si>
    <t>krykran-76631</t>
  </si>
  <si>
    <t>Compétence, amabilité, disponibilité, efficacité.
Accueil sympathique.les conseils donnés sont très pertinents. Je recommande cette assurance.</t>
  </si>
  <si>
    <t>didou-137761</t>
  </si>
  <si>
    <t>Suite a mon appel téléphonique du 18 octobre, Mariama à été très gentille et patiente, j'ai eu entièrement  satisfaction concernant ma demande. 
Très peu d'attente au téléphone.</t>
  </si>
  <si>
    <t>alexia-98591</t>
  </si>
  <si>
    <t xml:space="preserve">Aucun service client, impossible de les avoir par téléphone d'après les attentes très très longues, ne répondent pas aux mails non plus. Les devis restent sans estimation de prise en charge malgré une urgence d'une hospitalisation. 
Très déçu 
</t>
  </si>
  <si>
    <t>10/10/2020</t>
  </si>
  <si>
    <t>mathieu-l-106635</t>
  </si>
  <si>
    <t>Interlocutrice clair et sympathique. Les informations m'ont bien étés expliquées. Les prix sont attractifs, reste à voir dans le concret d'une prise en charge lorsque le besoin se présentera.</t>
  </si>
  <si>
    <t>lydiamrs1-62027</t>
  </si>
  <si>
    <t xml:space="preserve">A fuire ! les prix sont attractifs mais ne vous faites pas avoir autant payer plus cher chez une autre assurance plus sérieuse car si vous avez une problème ne comptez pas sur cette assurance. 
Mauvaise expérience avec cette assurance, mon véhicule a été accidenté dans une rue, j'ai fais une déclaration de sinistre auprès de Direct Assurance, qui m'a recommandé un garage partenaire, je tiens à souligner le manque de professionnalisme des garages partenaires de cette assurance, mon véhicule de prêt était dans un état lamentabe. J'ai du attendre 2 semaine pour avoir un retour de la décision de l'expert, celui-ci a estimé que j'étais fautive, malgré ma déclaration. Etant assurée en tous risques depuis 2016 au sein de cette assurance, on a décidé de ne pas prendre en charge les réparations de ma voiture ... décision scandaleuse, on m'a demandé de faire une contre expertise, chose que j'ai refusé sachant que les réparations de mon véhicules coutent mois cher que l'expertise. 
J'ai pu constater avec cette assurance que leur services sont vraiment de mauvaise qualité, l'échange avec les conseillers et les délais de traitement sont déplorables. Pour ma part je compte repartir chez mon ancienne assurance plus chère mais plus serieuse.  </t>
  </si>
  <si>
    <t>05/03/2018</t>
  </si>
  <si>
    <t>gilles-s-137829</t>
  </si>
  <si>
    <t xml:space="preserve">Je suis satisfait du service de la plateforme . C'est assez simple et très bien expliqué. Pour les services en tant qu'assurance , je ne connais pas encore. </t>
  </si>
  <si>
    <t>de-gail-p-131954</t>
  </si>
  <si>
    <t xml:space="preserve">Je suis très satisfaite des échanges téléphoniques que j'ai pu avoir lors de la souscription pour une assurance automobile, le conseiller à été à l'écoute et très réactif. </t>
  </si>
  <si>
    <t>lea-crl-101784</t>
  </si>
  <si>
    <t>J'ai contacté la MAAF par téléphone suite à une simulation d'un devis sur un site de comparateurs, afin d'assurer mon nouveau scooter 125. En disant que c'était mon 1er véhicule et que je n'avais jamais été assurée, on m'a rétorqué alors qu'on ne pouvait pas m'assurer et qu'il était important de s'assurer dès l'obtention du permis de conduire (la personne ne m'avait même pas demandé ma date d'obtention du permis, si bien que j'aurais pu l'avoir depuis seulement 3 semaines). Si toutes les assurances se débarrassaient des jeunes conducteurs ainsi, personne ne serait assuré. C'est une pratique scandaleuse. Qu'ils soient surs que jamais je n'irais m'assurer chez eux pour quoi que ce soit.</t>
  </si>
  <si>
    <t>23/12/2020</t>
  </si>
  <si>
    <t>nab-hill-101189</t>
  </si>
  <si>
    <t xml:space="preserve">AU BOUT DE 20 ANS J'AI ENFIN TROUVER UNE ASSURANCE OU LE TARIF ET LE SERVICE SONT AU NIVEAU
et ce sont dans les moments difficiles que l'on voit la qualité d'un contrat
J'AI EU UN PROBLÈME A L'ETRANGER AVEC MA VOITURE
LA REACTIVITE ET LE SERVICE ETAIT AU NIVEAU </t>
  </si>
  <si>
    <t>fortier-k-136951</t>
  </si>
  <si>
    <t>je suis très satisfait des conseillers mis en relation pour le moment. rapide et efficace, ils savent répondre à toutes questions posées. je recommande cette assurance.</t>
  </si>
  <si>
    <t>bagongui-101324</t>
  </si>
  <si>
    <t>clients depuis plus de 30 ans à la Maaf, ayant 4 contrats auto sans  AUCUN sinistre depuis....des années, Bonus 50%+ 8%+bonus à vie , contrats - de8000km, + contrat Habitation principale et autre. (Deux des vehicules ne roulent quasiment pas)
cette année augmentation INJUSTIFIEE sur TOUS les contrats, alors que TREEES peu de KM (on est tous les 2 retraités)
Seul sinistre: un cambriolage ou la Maaf a indemnisé...TRES MAL surtout sur les bijoux (prennent en compte valeur d un bijou OR 18cts , à sa valeur facturée il y a a 30 ans, correspondant meme pas à sa valeur en POIDS d'or actuel!)
ON EN A MARRE!  on va resilier la majorité des contrats!</t>
  </si>
  <si>
    <t>11/12/2020</t>
  </si>
  <si>
    <t>christophe-l-115272</t>
  </si>
  <si>
    <t>Les démarches de résiliation auprès de mon ancien assureur n'ont pas été faites comme indiqué sur le site au moment de la souscription.
Dommage le tarif était bien placé mais je viens de perdre deux mois de cotisation en double :(
Cordialement.</t>
  </si>
  <si>
    <t>29/05/2021</t>
  </si>
  <si>
    <t>monia-128356</t>
  </si>
  <si>
    <t>Cela fait plus de 3 mois que j'ai envoyé un dossier pour simulation rente  PERP. Aucune réponse de leur part, impossible à joindre au téléphone.Nul à éviter absolument.Si c'était à refaire ce n'est pas là que j'irai placer mes économies.</t>
  </si>
  <si>
    <t>Sogecap</t>
  </si>
  <si>
    <t>41danielle-105124</t>
  </si>
  <si>
    <t>J'ai souhaité contacter la MGP suite aux informations de piratage des dossiers santé dans le Loir et Cher où je demeure.
Le libellé d'un prélèvement bancaire m'interpellait et je voulais contrôler avec les prélèvements de la MGP.
Après très peu d'attente téléphonique, Lucie me prend en ligne et après les contrôles d'usage, me rassure quand à mon prélèvement normal de la MGP et "découvre" que celui qui m'inquiétait était normal également.
Entretien courtois et professionnel.
Je reste satisfaite de la MGP Santé
Respectueusement</t>
  </si>
  <si>
    <t>02/03/2021</t>
  </si>
  <si>
    <t>christian-m-107945</t>
  </si>
  <si>
    <t>Bonjour
des prix très compétitifs et des démarches administratives simples et efficaces. Reste à tester le service en cas de sinistre mais je ne suis pas pressé.</t>
  </si>
  <si>
    <t>25/03/2021</t>
  </si>
  <si>
    <t>mighi-49874</t>
  </si>
  <si>
    <t>quand je vois les commentaires négatifs je ne comprends pas car cela fait bien des années que je suis à la MAIF qui couvre mes véhicules et mon habitation. J'ai eu un degâts des eaux, des réparations à effectuer mais cela s'est toujours bien déroulé.</t>
  </si>
  <si>
    <t>04/12/2016</t>
  </si>
  <si>
    <t>coume-y-116064</t>
  </si>
  <si>
    <t>TRES SATISFAISANT PRIX COHERENT 
FACILITE DE MISE EN PLACE DU CONTRAT
ETAPES ASSEZ SIMPLE
JE RECOMMANDE L'OLIVIER ASSURANCE
..........................</t>
  </si>
  <si>
    <t>05/06/2021</t>
  </si>
  <si>
    <t>jean-jean--90905</t>
  </si>
  <si>
    <t>Service non encore teste  mais le prix semble raisonnable, j’ai choisi l’option tous risques pour être assuré en cas de bris de glace, vandalisme, etc.</t>
  </si>
  <si>
    <t>15/06/2020</t>
  </si>
  <si>
    <t>justicette-98755</t>
  </si>
  <si>
    <t>N'importe laquelle sauf celle là. 
Impossible de faire machine arrière. Les délais sont très long pour un remboursement partiel. Explications foireuses.</t>
  </si>
  <si>
    <t>14/10/2020</t>
  </si>
  <si>
    <t>millard-m-109115</t>
  </si>
  <si>
    <t>Très satisfaite, à l'écoute, répond bien aux questions, très rapide, je recommanderais à 100 %. Très bonne assurance auto et habitation. Très sérieux.</t>
  </si>
  <si>
    <t>04/04/2021</t>
  </si>
  <si>
    <t>ebedue-67167</t>
  </si>
  <si>
    <t>dans le 44, de moins en moins d'agence physique et un numéro unique pour les joindre. C'est une catastrophe pour etre mis en relation avec un conseillé au téléphone et quand vous vous déplacez il y a 3/4 d'heure de fils d'attente, même en semaine. obligation de prendre rdv juste pour une petite opération</t>
  </si>
  <si>
    <t>28/09/2018</t>
  </si>
  <si>
    <t>jean-pierre-90519</t>
  </si>
  <si>
    <t xml:space="preserve">Je suis satisfait les prix sont corrects et le devis est pratique à renseigner.
Je n’ai pas encore eu l’occasion de comparer avec la concurrence mais je pense que direct assurance doit être bien positionné </t>
  </si>
  <si>
    <t>12/06/2020</t>
  </si>
  <si>
    <t>brigitte-t-106832</t>
  </si>
  <si>
    <t xml:space="preserve">tres bien à tout niveau
la personne qui m'a recue a été tres gentille et tres compétente, je pense que je vais assurer tous mes vehicules et les assurances habitation
</t>
  </si>
  <si>
    <t>societairedecue-64330</t>
  </si>
  <si>
    <t>Une prise en charge scandaleuse. Un agent m'a dit au tél "si vous ne comprenez pas je finis la conversation" Je suis une très fidèle sociétaire. Ils ont changé</t>
  </si>
  <si>
    <t>31/05/2018</t>
  </si>
  <si>
    <t>01/05/2018</t>
  </si>
  <si>
    <t>laurence-97195</t>
  </si>
  <si>
    <t>Prix moyens mais service après-vente très mauvais ex en panne à 150 km de mon domicile il me propose un retour en taxi à hauteur de 50 euros ....le reste du parcours je le fait en stop?</t>
  </si>
  <si>
    <t>09/09/2020</t>
  </si>
  <si>
    <t>persyn-c-126071</t>
  </si>
  <si>
    <t xml:space="preserve">Parfait, j'espere que la reduction avec le code multidays sera réellement effective et que les garanties seront efffectives
merci 
trop long a rediger l'avis </t>
  </si>
  <si>
    <t>magdut-55698</t>
  </si>
  <si>
    <t>Personnes incompétentes donne de fausses informations</t>
  </si>
  <si>
    <t>28/06/2017</t>
  </si>
  <si>
    <t>01/06/2017</t>
  </si>
  <si>
    <t>leveque-l-115153</t>
  </si>
  <si>
    <t>très bon service 
bonne écoute et relationnel 
prix très raisonnable pour jeune conducteur et le paiment annuel est très intéressant..................</t>
  </si>
  <si>
    <t>seb-124786</t>
  </si>
  <si>
    <t>J ai mis 1 étoile parce que je suis obligé pour publier, mais ça vaut ZERO!!  Si vous avez un crédit Immo au CREDIT MUTUEL ou CIC   FUYEZ !!!!
Ça fait 1 an que je suis en incapacité temporaire et il ne m ont toujours pas indemnisé et même en utilisant la MEDIATION DES ASSURANCES.
Bon courage à tous ceux qui sont en galère comme moi avec leur assurance ACM VIE.</t>
  </si>
  <si>
    <t>savaris-t-115993</t>
  </si>
  <si>
    <t>SATISFAIT DES TARIFS POUR UN JEUNE CONDUCTEUR-DE PLUS INTERLOCUTEUR TRES GENTIL LORS DE MES DIVERSES DEMANDES AU TELEPHONE.MERCI BEAUCOUP-JE RECDOMMANDE POUR L INSTANT</t>
  </si>
  <si>
    <t>annette-100131</t>
  </si>
  <si>
    <t>Simple, pratique et rapide, en deux minutes j'ai tout changé, habitation, assurance scolaire et automobile. C'est assez clair. Seule interrogation pour laquelle je vais devoir appeler c'est de savoir si Direct assurance se charge de résilier les anciens contrats</t>
  </si>
  <si>
    <t>catencolere-113963</t>
  </si>
  <si>
    <t>Je reprends la main sur les dossiers de mes parents qui commencent à être âgés et perdus dans les méandres des démarches administratives en tout genre !!
Concernant le dossier de leur mutuelle chez Humanis prévoyance, les bras m'en tombent !!
Suite à l'hospitalisation d'un mois de mon papa, l'hôpital me demande sa carte de tiers payant. Je découvre alors qu'il n'en a pas... Pourquoi ? et bien je me renseigne, j'appelle la mutuelle à 15 centimes d'euros la minute + le prix d'un appel (ça aussi c'est scandaleux), Une dame charmante m'informe que le contrat de mes parents est trop vieux et que vu leur âge avancé rien ne pourra être modifié, me précisant qu'à partir de 70 ans plus rien n'est modifiable. Je demande à parler à quelqu'un d'autre, mais évidemment barrage ! Cette dame me précise qu'en effet c'est sur décision des assureurs que ces vieux contrats pourraient être revus et moderniser, mais qu'ils ne l'ont pas fait ! Nous sommes en 2021 et le tiers payant ne fonctionne pas pour certains contrats, c'est totalement hallucinant. Mes parents vont donc devoir avancer la somme d'un mois d'hospitalisation avec un passage en réanimation à 4000 euros la journée ??!!! Mais qui détient des sommes pareilles ? Faire un emprunt ? Ah mais non où ai-je la tête?  ils sont trop vieux ! 
Pour résumer, je n'ai plus qu'a essayer de faire une réclamation sur le site internet. Inutile de préciser que je n'aurai pas réponse et si par hasard j'en avais une, je pense que qu'une fois de plus on va me dire qu'on ne peut rien faire. 
Bref, fuyez cette mutuelle !!</t>
  </si>
  <si>
    <t>Malakoff Humanis</t>
  </si>
  <si>
    <t>17/05/2021</t>
  </si>
  <si>
    <t>frohlicher-t-136923</t>
  </si>
  <si>
    <t>Les prix sont intéressant, en espérant ne pas avoir besoin d'utiliser les services promis (éviter un accident). 
Par contre j'ai eu beaucoup de mal à créer mon compte (sur android), j'ai du passer par un pc fixe et faire plus de 5 tentatives car la page de paiement s'affichait en erreur a chaque fois...</t>
  </si>
  <si>
    <t>cnous95-56910</t>
  </si>
  <si>
    <t>Responsable d'un accrochage, mon dossier a été traité rapidement : Prise en charge du véhicule par un garage agréé proche de mon domicile, prêt d'un véhicule toute la durée de la réparation, pas de paperasse inutile.</t>
  </si>
  <si>
    <t>28/08/2017</t>
  </si>
  <si>
    <t>alainroger-81901</t>
  </si>
  <si>
    <t>Viré 10000 euros sur mon compte en octobre et toujours rien sur mon compte crédité ,pas normal mauvaise gestion depuis un moment</t>
  </si>
  <si>
    <t>13/12/2019</t>
  </si>
  <si>
    <t>chouteau-d-130633</t>
  </si>
  <si>
    <t>Simple et pratique même par téléphone. 
Accueil très sympathique et professionnel du conseillé.
A voir dans le temps, si le prix est en rapport avec le service.....</t>
  </si>
  <si>
    <t>bouraiou-n-111480</t>
  </si>
  <si>
    <t xml:space="preserve">Bonne accueil et conseillère très professionnelle. Proposition tarifaire meilleur du marché. Expérience très satisfaisante. Je recommande cet assureur </t>
  </si>
  <si>
    <t>23/04/2021</t>
  </si>
  <si>
    <t>vitaa-59376</t>
  </si>
  <si>
    <t>Je suis sociétaire à la macif depuis plus de 24 ans.Il y a encore quinze jour, je n'avais jamais eu d'accident.Mais voilà, un automobiliste me grille la priorité, et je me retrouve avec ma voiture à la casse. N'étant pas responsable, je pensais naïvement que mon véhicule (que j'avais acheté neuf 18 mois plus tôt )serait remboursé au prix d'achat. Mais voilà, la macif me précise que le remboursement au prix d'achat est en option (valeur majorée) et que je n'ai pas opté pour cette option.
Je pense qu'il s'agit là d'un cas flagrant de DEFAUT DE CONSEIL, étant donné qu'on ne m'a jamais proposé cette option.
Je suis allé en agence pour assurer cette voiture neuve, et visiblement, le conseiller macif était plus interressé par la vente du crédit auto que par son devoir de conseil. Je ne connais même pas le tarif de cette option, mais ce que je sais, c'est que je n'aurai pas hésité une seconde à la prendre si j'en avais eu connaissance.
Je ne sais pas comment cette histoire va finir, mais je ne fais pas trop d'illusion sur une prise en charge de la macif.</t>
  </si>
  <si>
    <t>05/12/2017</t>
  </si>
  <si>
    <t>cfam92-71817</t>
  </si>
  <si>
    <t>Les délais de remboursement sont juste devenus hallucinants. L'année dernière, pour la même visite d'orthodontie, j'étais remboursée sous 10 jours ouvrés. Cette année au bout de 10 jours, toujours rien. Je téléphone, on m'annonce alors un délai de 20 jours ... juste énorme ! Je rappelle 5 jours plus tard car c'est quand même 500 euros que j'attends et là le délai est passé à 25 jours. Je n'ai jamais vu des délais aussi longs. Ils nous prennent vraiment pour des idiots et en attendant, c'est pas eux qui payent des frais bancaires. Et ils sont encore à l'âge de pierre pour l'envoi de courrier et de devis, ne soyez pas pressés... ils ne connaissent pas le mail, ils les envoient encore par courrier et au tarif extra lent histoire que vous le receviez le plus tard possible. Tout est long chez eux.</t>
  </si>
  <si>
    <t>04/03/2019</t>
  </si>
  <si>
    <t>natrib-54429</t>
  </si>
  <si>
    <t>Je suis toujours en attente de remboursements de frais orthodontiques pour mon fils depuis un mois. Aujourd'hui j'ai encore téléphoné et la conseillère était désolée de pas pouvoir me répondre pour cause de panne informatique. ... 
C'est  sans doute la dernière excuse à diffuser pour abréger les conversations. ...</t>
  </si>
  <si>
    <t>03/05/2017</t>
  </si>
  <si>
    <t>marief-115147</t>
  </si>
  <si>
    <t>Très bon service de cette mutuelle : rapidité de prise en charge et des remboursements 
L’application web est très simple d’utilisation
Je conseille cette mutuelle</t>
  </si>
  <si>
    <t>celine-104454</t>
  </si>
  <si>
    <t xml:space="preserve">Assurance au top!
J’y suis depuis 6 ans que ce soit pour nos voitures et notre maison ils ont toujours été très réactif et les conseillers au téléphone toujours très agréables et professionnels. Et pourtant j’ai eu plusieurs problèmes avec nos voitures et la maison.. 
Prise en charge très rapide ainsi que les remboursements. Vraiment top top top. </t>
  </si>
  <si>
    <t>18/02/2021</t>
  </si>
  <si>
    <t>jbony-79753</t>
  </si>
  <si>
    <t>Depuis le 01 octobre 2019 blocage des retraits partiels
pas de délai de fonctionnement correct
C'est très gênant
les retraits permettent d'augmenter une petite retraite</t>
  </si>
  <si>
    <t>05/10/2019</t>
  </si>
  <si>
    <t>jean-bart-l-116730</t>
  </si>
  <si>
    <t xml:space="preserve">Je trouve qu'avec les confinements et les bénéfices records enregistrés par les assureurs auto alors que le pays se serre la ceinture, un effort sur l'abonnement aurait été le bienvenu. 
Sinon le service est correct. </t>
  </si>
  <si>
    <t>11/06/2021</t>
  </si>
  <si>
    <t>thomas-c-127693</t>
  </si>
  <si>
    <t>Le rapport qualité/prix a l'air intéressant. 
Dommage que le devis ne soit pas facile a lire sur le site internet (beaucoup d'options, second conducteur, plusieurs prix affichés) - J'espère avoir choisi le contrat que je souhaitais réellement.</t>
  </si>
  <si>
    <t>navez-m-139735</t>
  </si>
  <si>
    <t xml:space="preserve">Je suis satisfaite de cette assurance, surtout pour le prix et raisonnable et correct. Je la conseille à plusieurs de mes proches. Et vous pouvez également obtenir un parrainage </t>
  </si>
  <si>
    <t>16/11/2021</t>
  </si>
  <si>
    <t>dolly-56487</t>
  </si>
  <si>
    <t xml:space="preserve">Service client délocalisé et certainement à l'étranger .Ce service ne comprend aucunement les demandes de client car il ne fait que répéter bêtement un texte et retranscrit nos demandes sans même les comprendre.  Par contre pour souscrire le contrat nous avons à faire à une personne localisée en france et dont la compréhension et rapide pour encaisser l'acompte. J'ai été assurée 2 mois inutilement suite à une mauvaise compréhension du services clients , mon contrat a été résilié le 28/07 pour un véhicule que j'ai finalement acheté au 29/ 07. </t>
  </si>
  <si>
    <t>04/08/2017</t>
  </si>
  <si>
    <t>hamza09-95855</t>
  </si>
  <si>
    <t xml:space="preserve">Très bonne conseillère, sympathique et professionnelle. Elle a su résoudre toutes mes doutes/problèmes. Très satisfait du service client.
</t>
  </si>
  <si>
    <t>03/08/2020</t>
  </si>
  <si>
    <t>edem-w-110409</t>
  </si>
  <si>
    <t>je ne suis pas satisfait du tout de mon appel pour un changement d'adresse, le 14/04/2021 à 17h08 précise, mon interlocutrice à été très insolente.
revoir la formation de vos collaborateur.</t>
  </si>
  <si>
    <t>14/04/2021</t>
  </si>
  <si>
    <t>sofia-b-107689</t>
  </si>
  <si>
    <t>tarif correct a la souscription, conseilles a l'ecoute quand on les appelle,seule point negatif  pour plusieurs vehicules ils pourraient faire un petit geste car ayant eu 3 vehicules assurer chez vous aucune reduction effectué sauf là le parrainage proposé en fevrier 2021 alors que vous le fesiez bien avant</t>
  </si>
  <si>
    <t>toubib-06-113740</t>
  </si>
  <si>
    <t>Adhérer à ce truc est la dernière chose à faire. Fuyez si vous ne voulez pas galerer, ne pratique aucun remboursement. Ne répond pas au téléphone et même aux courrier en AR.</t>
  </si>
  <si>
    <t>dragon-sarah-137768</t>
  </si>
  <si>
    <t>je suis satisfaite que Balde , le conseiller que j'ai eu en ligne téléphonique aujourd'hui , réponde et comprenne , (enfin...) , ma demande concernant un document que j'ai envoyé à plusieurs reprises à Néoliane , par différents biais (mail , à différentes adresses , service client...) , et en téléphonant à 6 reprises à d'autres conseillers qui n'ont pas compris la teneur de ma demande , à savoir de remplir la partie d'un document de la CPAM , que j'ai transmis , dont une partie à remplir par Néoliane , et de me renvoyer ce document remplis par vos soins , afin que je puisse renvoyer ce même document à la CPAM , afin que je puisse percevoir l'aide socile qu'elle m'accorde , dans le but de m'aider à payer , la mutuele santé que j'ai souscris chez Néoliane à partir du 01/01/2022 , car je n'ai plus droit à l'ASS , à partir de cette date  , raison pour laquelle , j'ai souscris une complémentaire santé chez Néoliane.
Balde , au contraire de mes autres interlocuteurs , à enfin compris ma demande , et a effectué des recherches auprès des autres services , pour savoir quand , et comment ma demande serait traitée.
J'ai donc , pu avoir une réponse , et il m'a informé que mon courrier sera rempli et renvoyé à mon adresse en fin de semaine.
Il était très aimable , sympathique et très serviable , et je suis très satisfaite de cet échange téléphonique avec ce dernier.</t>
  </si>
  <si>
    <t>ppn-67470</t>
  </si>
  <si>
    <t>Contrat AV souscrit en Aout. Depuis 2 mois,  l accès a mon compte sur le site de Cardif ne fonctionne pas. Je ne suis malheureusement pas. Service clientèle totalement incapable de résoudre le problème.</t>
  </si>
  <si>
    <t>08/10/2018</t>
  </si>
  <si>
    <t>cousins55-65851</t>
  </si>
  <si>
    <t>Bonsoir et bravo AlohaWave et les collègues !!! les échanges montrent bien les limites de la MAIF, la démagogie et l'hypocrisie dont elle sait faire preuve. Les "sbire" de la MAIF sont envoyés sur le forum avec la même démarche : amener les auteurs des mauvais commentaires à échanger en privé afin d'essayer d'étouffer la liberté de parole. Ils ont peur que d'autres sociétaires ouvrent les yeux... Courage à ceux qui argumentent pour mettre au jour les dysfonctionnement de la MAIF !!</t>
  </si>
  <si>
    <t>30/07/2018</t>
  </si>
  <si>
    <t>ddd-88852</t>
  </si>
  <si>
    <t>Déçue par un sinistre non pris en compte. Franchise trop importante. Vu le risque, cotisation bien trop élevée. N'ayant pas de compte internet, étant obligé de demander, merci de contacter par téléphone ou courrier</t>
  </si>
  <si>
    <t>12/04/2020</t>
  </si>
  <si>
    <t>bouchikhi-j-121276</t>
  </si>
  <si>
    <t xml:space="preserve">Accueil parfait explications parfait très à l'écoute je conseille pour le qualité prix il décroché tous de suite pas d'attente pas mis de côté parfait. </t>
  </si>
  <si>
    <t>26/06/2021</t>
  </si>
  <si>
    <t>sainthubert-87947</t>
  </si>
  <si>
    <t xml:space="preserve">Generali est incapable de gérer les identifiants de ces clients . A fuir ! </t>
  </si>
  <si>
    <t>04/03/2020</t>
  </si>
  <si>
    <t>sdfsf-55819</t>
  </si>
  <si>
    <t>Résiliation quasi impossible chez eux. Documents peu lisibles et explications vagues. Réception des documents très en retard pour limiter les réactivités de résiliation.</t>
  </si>
  <si>
    <t>05/07/2017</t>
  </si>
  <si>
    <t>anar-n-133124</t>
  </si>
  <si>
    <t xml:space="preserve">J’en suis satisfait de l’offre le prix est intéressant pour ma demande je vous en remercie                                                   V.       V </t>
  </si>
  <si>
    <t>francoise-b-105110</t>
  </si>
  <si>
    <t>Je suis satisfaite des prix proposés - le contrat signé me convient
Début de contrat mars 2021
Je  suis en train de terminer mon dossier qui débute  le 8 mars 2021.</t>
  </si>
  <si>
    <t>serieuxuoi-63552</t>
  </si>
  <si>
    <t>SITE COMPLETEMENT PÉTÉ ET AUCUNE REPONSE DE LEUR PART. JE N'ARRIVE PAS A ACCEDER A MON ESPACE PERSO ET JE NAI MEME PAS D'ERREUR, IMPOSSIBLE DE MODIFIER MON MDP CAR LA j'OBTIENS "Notice: Trying to get property of non-object in eui_usuarios_resetear_contrasena_form_submit() (line 1553 of /opt/www/vhosts/xpromhdrupal01/mon-espace/profiles/eui/modules/custom/eui_usuarios/eui_usuarios.module)."
ET PERSONNE NE REPOND!</t>
  </si>
  <si>
    <t>25/04/2018</t>
  </si>
  <si>
    <t>david-b-104227</t>
  </si>
  <si>
    <t>je suis satisfait
les prix sont correct, l'inscription en ligne est rapide
la construction du dossier est facile, j'ai pu envoyer mes documents facuilement
je recommande ce service
merci</t>
  </si>
  <si>
    <t>grosset-r-111705</t>
  </si>
  <si>
    <t>Je suis satisfait du service.
J'ai pu trouver une assurance qui rentre dans mes moyens financiers en tout risque. Etant jeune conducteur il est difficile de s'assurer sans que cela nous coûte trop cher.</t>
  </si>
  <si>
    <t>byron95-55731</t>
  </si>
  <si>
    <t>A éviter absolument,Mon fils a été victime d'un accident de voiture avec trauma cranien grave. Les expertises ont été favorables mais April a bloqué le dossier depuis plus d'un an, refusant de payer (après 17 ans de cotisations sans souci ). Une mauvaise foi sans borne (deni de lettre recommandée malgré les accusé de réception, pas de transmission des rapports d'expertise à la victime) un comportement scandaleux qui poussent les victimes à judiciariser les dossiers (réponse du service client : assignez nous, nous épuiserons toutes les voies de recours, vous serez indemnisés dans 20ans ) Un assureur à éviter absolument !</t>
  </si>
  <si>
    <t>30/06/2017</t>
  </si>
  <si>
    <t>lecharentais-103571</t>
  </si>
  <si>
    <t xml:space="preserve"> C est effrayant de lire autant d absurdités sur assur o poil 
l incompétence de certain qui ne savent pas lire leur contrat ou il y a un règlement celon la formule qui est choisie 
je suis chez assur o poil depuis 12 ans je n ai jamais rencontré un problème 
sauf quand mon chien a eu 10 ans j ai trouvé que les mensualités étaient trop élevées j ai été mis en relation avec une autre personne et nous sommes tombés d accord sur 47€ mois 
pour un bichon 
depuis ce jour  mes remboursements se font sans aucun problème  adhérent n°18543692 
</t>
  </si>
  <si>
    <t>02/02/2021</t>
  </si>
  <si>
    <t>herve-le-bruchec-98229</t>
  </si>
  <si>
    <t xml:space="preserve">Je reproche surtout a APRIL un niveau de sécurité des mots de passe de l'espace abonné beaucoup trop faible. Je n'ai pas envie quand cas de piratage des informations me concernant soient divulguées. </t>
  </si>
  <si>
    <t>gabriel-h-132023</t>
  </si>
  <si>
    <t xml:space="preserve">Très satisfaite depuis plusieurs années avec 3 contrats 
Tarif très appréciable 
je recommande Direct  Assurance à tous mes proches 
j'espère qu'ils continueront a être aussi intéressant niveau prix </t>
  </si>
  <si>
    <t>09/09/2021</t>
  </si>
  <si>
    <t>abdoo-86097</t>
  </si>
  <si>
    <t xml:space="preserve">Sav incompétent du faite que l'on ne fait pas réparer avec ses partenaires exemple carglass et compagnie </t>
  </si>
  <si>
    <t>20/01/2020</t>
  </si>
  <si>
    <t>ramangalahy-f-112750</t>
  </si>
  <si>
    <t>Je suis satisfait avec le prix qui m'est proposé ainsi que le service rendu., que l'accueil très convivial, que la  célérité réservés à mon dossier, et ce, depuis mon adhésion auprès de l'établissement.</t>
  </si>
  <si>
    <t>alain83470-68432</t>
  </si>
  <si>
    <t>Sinistres déclarées dans les 5 ans non responsables, et je viens de recevoir leur résiliation. Donc une assurance qui n'assure rien!  Ce sont les bons conducteurs non responsables qui trinquent!!! Une honte!! Et maintenant j'ai en plus du mal à trouver une assurance qui veut me prendre, a cause de celà!!</t>
  </si>
  <si>
    <t>08/11/2018</t>
  </si>
  <si>
    <t>seb-60046</t>
  </si>
  <si>
    <t>Après une opération avec dépassements d'honoraires les services ont été incapable de me réaliser un devis papier (malgré tous les documents fournis) juste un chiffre indiqué oralement en agence. En réponse écrite juste une photocopie avec 2 possibilités sont surlignées. Ensuite c'est la bataille pour reconnaître le CAS désormais appelé Optam. Il faut faire les démarches à leur place pour comprendre la situation qu'eux même semblent ne pas comprendre. On ne vous rappelle pas. Les réponses sont tout juste binairse et au compte goutte. C'est à vous de batailler éventuellement avec le chirurgien qui exercerait dans 2 lieux différents dont un où n’apparaîtrait pas le CAS. Même problème si vous avez un enfant atteint d'une surdité où le 100% est des plus compliqué à appliquer par leurs services.</t>
  </si>
  <si>
    <t>03/01/2018</t>
  </si>
  <si>
    <t>lahcen-52823</t>
  </si>
  <si>
    <t xml:space="preserve">Résiliation pour UN SEUL accident responsable ! </t>
  </si>
  <si>
    <t>27/02/2017</t>
  </si>
  <si>
    <t>01/02/2017</t>
  </si>
  <si>
    <t>bernard-j-117909</t>
  </si>
  <si>
    <t xml:space="preserve">Cher par une observation rapide du marché. Aprés avoir fais un devis comme le ferais un prospect, je m'aperçois qu'aprés 10a sans sinistre ( 2 remorquages) je paye plus cher qu'un nouveau client.
Je contacte et bla bla bla, rien de concret, pas de négo possible.
Et bien, je pars </t>
  </si>
  <si>
    <t>fred-82030</t>
  </si>
  <si>
    <t>Une honte !!! A fuir absolument... nous avons été obligés de prendre l'assurance de notre crédit par notre conseillère de l'agence de cluses, malgré une proposition équivalente d'un autre assureur !! Aujourd'hui la banque nous bloque la résiliation malgré notre demande qui date de plus de 8 mois et qui est largement dans les délais de la loi hamon !! Le lcl ne répond que 2 mois après nos courriers et nous impose une résiliation à échéance !! Malgré nos diverses relances personnes ne bougent !! Notre conseillère ne peut rien faire soit disant car c'est le siège qui gère les résiliations.. elle nous dis maintenant qu'elle nous a pas imposé cette assurance alors qu'elle voulait aussi nous imposer l'assurance habitation .. Attention à cette banque ce sont des menteurs ...</t>
  </si>
  <si>
    <t>LCL</t>
  </si>
  <si>
    <t>17/12/2019</t>
  </si>
  <si>
    <t>fibleuil-w-134539</t>
  </si>
  <si>
    <t>Je suis satisfait du prix mais c’est dommage que devoir donner un avis devient une obligation surtout quant on a pas grand chose à dire on est obligé d’innover ??</t>
  </si>
  <si>
    <t>26/09/2021</t>
  </si>
  <si>
    <t>patrick-g-106211</t>
  </si>
  <si>
    <t>Service client vraiment nul et ne c'est pas répondre aux questions . Mon nouveau assureur à écrit pour changer l'assurance auto et vous m'avez enlevé l'assurance appartement , je me suis retrouvé sans assurance appartement pendant un ans et vous avez prélevé 673.43 euros que vous devez me rembousser au plus vite voir message !</t>
  </si>
  <si>
    <t>mag57540-71496</t>
  </si>
  <si>
    <t xml:space="preserve">Bonjour, je suis contente d'être passée par le standard téléphonique car mon problème a été résolu en 5mn contrairement à internet où au bout de 3 semaines je n'avais toujours pas eu de nouvelle .Merci à la standardiste Erika qui m'a bien réglé le problème </t>
  </si>
  <si>
    <t>20/02/2019</t>
  </si>
  <si>
    <t>kotegashi-52767</t>
  </si>
  <si>
    <t>Je viens de changer de voiture, passage d'un captur a une clio, même moteur, même finition...pour les même garanties, mon contrat passe de 300 a 450€!
P.S. J'ai un Bonus 50% et un "sur bonus", je sois donc être un client importun pour la macif</t>
  </si>
  <si>
    <t>25/02/2017</t>
  </si>
  <si>
    <t>didi-98837</t>
  </si>
  <si>
    <t xml:space="preserve">Merci à Julien d,avoir répondu efficacement lors de notre entretien  ce jour pas trop d,attente ,et des réponses à toutes mes questions on se sent plus rassurés </t>
  </si>
  <si>
    <t>16/10/2020</t>
  </si>
  <si>
    <t>quetard-a-107238</t>
  </si>
  <si>
    <t>Bonne communication et rapide
tarif correct et facile a comprendre
a voir dans le temps si sinistre ou autres demande au près du l'assureur pour sa réactivité</t>
  </si>
  <si>
    <t>pottier-a-119106</t>
  </si>
  <si>
    <t>Content du service seule lacune le manque de connaissances de la part des conseillers sur les prestations des différents contrats proposés.
Il reste à uniformiser la compétence techniques des différents conseillers.</t>
  </si>
  <si>
    <t>jma-102666</t>
  </si>
  <si>
    <t xml:space="preserve">Assuré récemment à la MGP, je suis satisfait dans l'ensemble lors des contacts avec cet organisme. Bonne disponibilité des personnels. Le seul regret que j'exprime est l'arrêt de la prise en charge des médicaments (dans le cadre de l'auto-médicamentation ou prescrits) dont la TVA s'élève à 5.5% ou 20%. Je ne comprends pas cette modification dans les statuts de la MGP alors que j'avais souscrit à cette mutuelle pour notamment ce type de prise en charge. </t>
  </si>
  <si>
    <t>14/01/2021</t>
  </si>
  <si>
    <t>joubert-a-123493</t>
  </si>
  <si>
    <t>J suis satisfait du prix des produits et de la qualité des services pour ma première Année chez l Assurance Olivier  en espérant payer moins cher l an prochain .</t>
  </si>
  <si>
    <t>15/07/2021</t>
  </si>
  <si>
    <t>emiliem-123494</t>
  </si>
  <si>
    <t>Vous êtes professionnel de santé libéral? Alors fuyez!!! Pourquoi?
- aucune empathie, on vous laisse réellement dans la m...
- aucune compréhension (ni désir de compréhension) de notre réalité professionnelle
- aucune réponse concrète, ni par téléphone, ni par mail
Avec l'Allianz/UNIM, à chaque arrêt maladie, vous serez obligés de:
- téléphoner 50 fois sans vous permettre d'avancer sur votre dossier
- écrire 1 mail qui restera sans réponse
- relancer 30 fois par mail...qui resteront eux aussi sans réponse
- pleurer après avoir raccroché, de rage, de désespoir, au choix...
- prévenir tous vos créanciers de suspendre vos mensualités jusqu'à...on ne sait pas..
- prendre rendez-vous avec votre banquier qui sera plus réactif qu'Allianz/UNIM, c'est un comble j'avoue.
Je vous le dis, fuyez!!!</t>
  </si>
  <si>
    <t>georges99-101683</t>
  </si>
  <si>
    <t>Les tarifs sont élevés,mais les contrats sont respéctés.Ce n'est pas toujours évident de joindre un coseiller,c'est même parfois impossible....mais une foi joint ils font leur travail corréctement.
Vus l'argent économisé a cause du covid,je ne comprends pas les augmentatios de cette année,elles sont injustifiées....</t>
  </si>
  <si>
    <t>20/12/2020</t>
  </si>
  <si>
    <t>kafmen-78121</t>
  </si>
  <si>
    <t>Un grand merci a Erika pour ces conseil et renseignement qui mon été d'une grande aide si d'aventure je me retrouvais à nouveau avec un problème j'espère sincèrement retomber sur un conseiller autant investi que Erika .</t>
  </si>
  <si>
    <t>soto-g-109587</t>
  </si>
  <si>
    <t>Je ne peux pas encore donné d'avis car je suis un nouveau client , je peux juste avancer que le service client est assez réactif donc pour le moment c'est positif</t>
  </si>
  <si>
    <t>08/04/2021</t>
  </si>
  <si>
    <t>drisben-79888</t>
  </si>
  <si>
    <t>Le 06.09.2019, un tiers a percuté mon véhicule (BMW X3) en stationnement et il a endommagé, entre autres, le parchoc avant ainsi que la direction du véhicule. J'ai aussitôt contacté l'olivier Assurance pour déclarer le sinistre pour une prise en charge des réparation étant assuré en tous risque. J'ai été désagréablement surpris de découvrir que l'olivier assurance n'a pas mis en place de convention avec les concessions allemandes et qu'il faut passer par leur réseau de garagiste pour une prise en charge des réparations sinon le client doit avancer les frais et ensuite demander le remboursement.Dans mon cas, les frais des réparations sont estimés à 4500 euros et la franchise est à approximativement à 500 euros.
Suite à la déclaration du sinistre, l'olivier assurance m'a communiqué les cabinet d'expertise.En effet, c'est à l'assuré de contacter l'expert pour  prendre un rendez-vous  et communiquer le créneau de son passage au garagiste.
Bien évidemment, l'expert a très peu de disponibilité et il m'a proposé un rendez-vous le 24.09.2019 pour un sinistre déclaré le 06.09.2019 (17 jours calendaires). Compte tenu de ce délai, le garagiste ne peut pas réceptionner le véhicule très longtemps avant le passage de l'expert.
Je me suis retrouvé dans l'obligation de laisser mon véhicule en panne garé dans la rue au même endroit pendant plus de deux semaines.
Ensuite, le 22.09.2019, j'ai pris un RTT et j'ai contacté Europe Assistance mandaté par l'olivier assurance pour remorquer le véhicule jusqu'au garage.Dans mon contrat, Europe Assitance doit me mettre à disposition un véhicule de prêt pendant  7 jours calendaires. Dans ce sens, Europe Assistance réserve une Fiat 500 3 portes, très pratique pour une famille qui a un bébé, dans une agence de location à 40 km du garage. Normalement, un taxi devait venir me chercher au garage pour m'emmener à l'agence de location. Au bout d'1h30 d'attente dans le garage et après plusieurs  appels de relance sans succès,j'ai du prendre un Uber pour rentrer chez moi, épuisé par ce qui vient de se passer,, je ne suis pas allé chercher la Fiat 500, je n'ai pas souhaité me rajouter d'autres démarches autres que celles déjà engagées.
Après le passage de l'expert le 23.09.2019, Olivier assurance m'a confirmé dans un premier temps qu'on aura le rapport d'expertise une semaine après son passage c'est-à-dire le 30/09. Le 24.09.2019 l'expert me demande d'envoyer des infos complémentaires : Contrôle technique et carte grise.Bien évidemment, j'ai envoyé les éléments le jour même. Ensuite mon dossier est resté bloqué, le cabinet d'expertise attend la déclaration du sinistre que l'Olivier assurance n'a pas transmis. J'ai du insister auprès de l'olivier Assurance pour débloquer la situation en envoyant la déclaration du sinistre. Le 04.10.2019, le cabinet d'expertise me confirme que le rapport est finalisé et qu'on va le recevoir bientôt... 
Le 10.10.2019, le cabinet d'expertise nous communique que le rapport n'est pas encore finalisé et qu'il faut attendre encore au moins une semaine.
Bilan depuis le 06.09.2019, mon véhicule est non roulant et immobilisé chez mon garagiste qui me relance régulièrement. Je pris contact avec d'autres cabinets d'expertise privés le cout moyen est entre 300 et 400 euros.Je m'interroge si je peux faire appel a une assistance juridique pour prendre le relais, le préjudice moral causé par cette affaire me coute très cher et je suis prêt a engagé des frais pour trouver une issue. Aujourd'hui, je suis pris en otage par le manque de professionnalisme des parties prenantes et je vous invite à poser les bonnes questions cavant de vous engager dans un contrat avec un assureur.</t>
  </si>
  <si>
    <t>10/10/2019</t>
  </si>
  <si>
    <t>lucien-d-109746</t>
  </si>
  <si>
    <t>Bonjour Madame, Monsieur,
Je suis très satisfait du prix, du contact téléphonique, de tout concernant l'assurance.
Merci pour votre professionnalisme.
Cordialement.</t>
  </si>
  <si>
    <t>laetitia-m-129266</t>
  </si>
  <si>
    <t>?? Super rapide très bien devis je recommande par i ternet
En attente de recevoir carte verte définitive
Devis rapide paiement rapide mail rapide
Pour le moment satisfaite</t>
  </si>
  <si>
    <t>nicolas-117314</t>
  </si>
  <si>
    <t>Assurance pas chère mais on comprend vite pourquoi, communication inexistante (mail de type automatique au bout de 3 à 5 jours).
Refus de résiliation d assurance sauf à date anniversaire (loi Hammon ?)
Prélèvement farfelux....Bref amis motard, passez votre chemin.</t>
  </si>
  <si>
    <t>17/06/2021</t>
  </si>
  <si>
    <t>mcvp-104356</t>
  </si>
  <si>
    <t>Bonjour, 
Pendant plus de 9 ans nous avons souscrit à une assurance pour nos voitures.  Nous n'avons  eu aucun soucis, aucun retard de paiement et avons ajouté notre fille en conduite accompagnée il y a 2 ans et demi.  Et comme il se devait elle a eu le permis  le 20 janvier dernier. Très heureux pour elle, nous avons contacté Eurofil pour modifier son statut en  jeune chauffeur et la surprise Eurofil n'assure pas les jeunes chauffeurs. Cet assureur ne prend pas ce risque la.. et voilà comment nous en sommes arrivés à devoir trouver du jour au lendemain une nouvelle assurance ..comble de tout, la nouvelle assurance est moins chère même avec un jeune chauffeur..à bon entendeur. Au passage ils nous ont fait une résiliation à l'amiable. Grand seigneur.  Non?</t>
  </si>
  <si>
    <t>depaifve-c-121297</t>
  </si>
  <si>
    <t xml:space="preserve">excellent; bonne réactivité , très bon accueil téléphonique super professionnel vraiment rien à dire pourvu que ça dure ; je recommande vivement .      </t>
  </si>
  <si>
    <t>phil-99403</t>
  </si>
  <si>
    <t>Un sinistre eau responsable en 5 ans et hop dehors.
ELLE ASSURE LA MATMUT ????
Franchement c’est de l’abus mais au moins je sais que je ne conseillerai jamais cette société.</t>
  </si>
  <si>
    <t>30/10/2020</t>
  </si>
  <si>
    <t>lorang-l-134772</t>
  </si>
  <si>
    <t>Satisfaits des services. 
Les tarifs nous conviennent. 
Clarté du site. 
Navigation lisse et intuitive. 
Service client réactif. 
Plusieurs choix intéressants.</t>
  </si>
  <si>
    <t>pierbrou-100495</t>
  </si>
  <si>
    <t>Au niveau des prix, ils ne sont pas au bas de l'échelle.
Au point de vue satisfaction aucun problème. Déclaration par internet pour un accident ou autre avec envoi de photos à l'expert. On ne s'occupe de rien sans se déplacer à l'agence.</t>
  </si>
  <si>
    <t>23/11/2020</t>
  </si>
  <si>
    <t>amado-m-115592</t>
  </si>
  <si>
    <t xml:space="preserve">nous avions besoin d'une assurance très rapidement. L'olivier assurance a été parfait pour nous. Rapide, accessible, simple et efficace. En quelques clics, c'est réglé.
</t>
  </si>
  <si>
    <t>elrep-139407</t>
  </si>
  <si>
    <t>Nouvelle moto neuve assurée. L interlocuteur l a assurée au tiers alors que je lui ai demandé tout risque. Sur le contrat, rien n est clair. J ai glissé sur des feuilles, donc tout est pour moi ! April refuse de reconnaître son erreur. Assurance que je ne recommanderai pas</t>
  </si>
  <si>
    <t>10/11/2021</t>
  </si>
  <si>
    <t>jano-99600</t>
  </si>
  <si>
    <t xml:space="preserve">bonsoir chez cardif leur boite à lettre est une poubelle !!! vous pouvez envoyez des courriers à tout les coups perdu !! , pour ma part transmis directement par ma conseillère BNP PARIBAS  , une assurance vie qui ne respecte pas nos morts !!! courrier perdu comme par magie !! pensez à bien envoyé vos courriers en accusé de réception ca aide par la suite pour  une action en justice , après cette affaire je ferme mon compte bnp et tout ce qui va avec ; les conseillés bnp sont au courant que cet assureur est un mauvais !!! à méditer !! client depuis 30 ans chez bnp pas un an de plus ..................................je vous fait suivre l'affaire pas à pas, cordialement à toutes les victimes de cardif et bnp paribas  jrd  merci à cardif de ne pas me demandé mon no de contrat pour régler ce litige  la justice va vous le transmettre rapidement ........ </t>
  </si>
  <si>
    <t>03/11/2020</t>
  </si>
  <si>
    <t>mathouille-103433</t>
  </si>
  <si>
    <t>Je suis chez AXA assurance pour ma voiture depuis 2 ans pour une twingo de 2002. Je me suis faite volée une roue complète (jante, pneus et boulons, sinon c'est pas drôle) sur un parking privé (je préfère le préciser), j'appelle de ce fait tout de suite mon assureur qui m'envoie tout de suite une dépanneuse. Donc, point positif, le dépannage/la réactivité du service. Mais, quand je demande la franchise... On me dit qu'elle est de 260 euros. Oui oui, 260 euros pour une roue complète. Le changement d'une jante d'occasion et de 2 pneus neuf montés et équilibrés m'est revenu à... 120 euros. Je ne trouve vraiment pas ça correct, je paie 45 euros par mois pour que quand j'ai un problème et que je ne suis en rien responsable on vienne encore pour me prélever de l'argent. de ce que je vois ici, et ce dont je n'étais pas au courant, c'est que le nombre de sinistre MEME lorsque l'on est pas responsable peut être suffisant pour être radié, je trouve ça scandaleux quand le rôle d'une assurance est d'assurer.</t>
  </si>
  <si>
    <t>frederic-c-133674</t>
  </si>
  <si>
    <t>je suis satisfait des services , prestation facile à faire sur internet , réponse immédiate et claire . Tarifs très correct pour les garanties demandées .</t>
  </si>
  <si>
    <t>riennechange-62107</t>
  </si>
  <si>
    <t>Macif, c'est, payez vous une garantie vol annuel à 350€, mais ne l'utilisez pas! Bah, de toute façon on vous en empêchera avec nos clauses abusives! 
J'explique :
J’ai souscris une assurance vol. Ma voiture est volé puis retrouvé. Verdict expert de la MACIF Proactiva, PAS D'EFFRACTION ! 
MACIF me répond donc, « ben mon amis l'a rien de cassé ta totomobile. Alors rien ta face ». Cette assurance est méprisable. Après moult demandes de révisions de décisions, rien!
Du coup après maintes refus incluant celui du service qualité, (mon dossier est très bien travaillé) le dossier passera prochainemnt l’étape du dépôt de plainte, hop tribunal.
Puis méchant que je suis, j’ajoute le fait de proposer de monter une action de groupe à l’un de nos 13 compères habilités. 
Pourtant la Macif est régulièrement condamnés pour refus d’indemnisation des victimes suite à un vol sans effraction. Malheureusement, peux de victime ont manifestement le courage de s’y opposer vu la persistance de cette infamie par cet assureur! 
A l’heure ou le web est un support de communication extrêmement efficace, c’est pas très malin.</t>
  </si>
  <si>
    <t>07/03/2018</t>
  </si>
  <si>
    <t>jm30-87723</t>
  </si>
  <si>
    <t xml:space="preserve">J'ai 66 ans et je suis sociétaire Maif depuis les années 1970. A ce titre j'ai contribué au développement de la mutuelle des instituteurs et j'ai assisté à son évolution.
Je déplore une dégradation de la relation avec les sociétaires depuis la disparition du rôle de proximité des délégations.
Dans le cas présent, malgré plusieurs sollicitations et une réclamation, je n'ai aucune nouvelle de la gestion de mon dossier en protection juridique : silence de l'avocat choisi et missionné par la responsable de mon dossier (à Rennes) et aucune réaction de sa part malgré plusieurs messages envoyés et restés sans réponse. 
Où sont passées les valeurs mutualistes d'antan (le respect du sociétaire et la défense de ses intérêts) ? Apparemment pas chez tous les gestionnaires !!!
</t>
  </si>
  <si>
    <t>27/02/2020</t>
  </si>
  <si>
    <t>phicherien-57247</t>
  </si>
  <si>
    <t>Sur les comparateurs d'assurance parmi les moins cher mais je comprends pourquoi.
Service client au abonné absent.
 Jamais de réponse au courrier électronique, donc passage obligatoire par la ligne téléphonique à 80 cts la minute.
 Dix mois dans l'attente de l'envoi de l'attestation d’assurance, après plusieurs demande mais jamais reçu (imprime à domicile sur une feuille blanche pour avoir un justificatif en cas de contrôle).
Des oursins dans les poches pour le remboursement lors de la clôture d'un contrat  (vente du véhicule) , je viens de clôturé mon deuxième contrat chez eux le remboursement devrait être d'environ 1/6 de la cotisation j'en doute
Impossible de faire glisse une contrat d'assurance d'un véhicule (vendu) à un autre en cas de remplacement de celui-ci  création d'un nouveau contrat avec les même pièces a fournir (permis relevé d'information . . .)
chacun est libre mais je déconseille très fortement active assurance</t>
  </si>
  <si>
    <t>11/09/2017</t>
  </si>
  <si>
    <t>leker-54441</t>
  </si>
  <si>
    <t>Service disponible et facilité de souscription. Tarif compétitif mais les franchises sont élevés.. Le service téléphonique est très accessible avec des temps d'attente courts.</t>
  </si>
  <si>
    <t>06/03/2021</t>
  </si>
  <si>
    <t>chloe-chloe-103141</t>
  </si>
  <si>
    <t>Je déconseille fortement cette assurance, il n'étais pas vraiment d'accord de me prendre en tant qu'assuré chez eux car j'avais du malus et ensuite une fois assuré chez eux,  j'ai eu un sinistre non responsable il m'ont envoyé un gentil courrier pour me dire qu'il ne voulait plus m'assuré</t>
  </si>
  <si>
    <t>23/01/2021</t>
  </si>
  <si>
    <t>suzy-102182</t>
  </si>
  <si>
    <t xml:space="preserve">Je suis très mécontente car j'attends toujours mes remboursements depuis plusieurs années. Ils ne répondent jamais au téléphone ce sont de gros menteurs. Ils m'ont jamais déclaré à la caisse primaire. Quand je leur envoyer les papiers pour me faire rembourser ils me disent que il manque chaque fois un papier. Ils ne répondent jamais aux courriers. Fuyez de cette assurance. </t>
  </si>
  <si>
    <t>05/01/2021</t>
  </si>
  <si>
    <t>mischocos59-65455</t>
  </si>
  <si>
    <t xml:space="preserve">J'ai contacter l'olivier assurance aujourd hui pour un renseignement si on Mettais un 2eme conducteur combien sa revenait. Vivant en concubinage on m'a annoncer que ma situation changer par rapport à des statistique on augmenter ma prime de 24e et en plus de ça on me facture l avenant de 15e. Je trouve tout ça forcer car à la base j appeler juste pour un renseignement. Je me suis renseigner auprès d autre assureur et trouve trouve n'importe quoi se facturer parce que je passe de célibataire à concubinage. </t>
  </si>
  <si>
    <t>12/07/2018</t>
  </si>
  <si>
    <t>telle59-92039</t>
  </si>
  <si>
    <t>Actuellement cliente chez eux plus pour très longtemps car j'attends toujours ma franchise qu'on me la paie car mon sinitre en août sa fera 1 ans je trouve da très très long surtout quand on a du avancer les frais très très déçu de cette assurance.</t>
  </si>
  <si>
    <t>24/06/2020</t>
  </si>
  <si>
    <t>taha-b-132806</t>
  </si>
  <si>
    <t>Le service est simple et rapide. Les prix sont les moins cher sur le marché, même si je trouve que le prix que je dois payer est tout de même assez élevé pour mon véhicule.
Par contre il n'est pas possible d'ouvrir une autre session dans un deuxième onglet, ce qui est dommage car c'est pas pratique pour comparer deux devis avec des options différentes.</t>
  </si>
  <si>
    <t>celine77-62569</t>
  </si>
  <si>
    <t>Suite au vol et à la dégradation de notre deux roues, la macif refuse de nous indemniser au prétexte d’une clause de non détérioration du système de démarrage.</t>
  </si>
  <si>
    <t>22/03/2018</t>
  </si>
  <si>
    <t>freecat-89778</t>
  </si>
  <si>
    <t>un grand merci a KADI de m avoir débloquer mon compte monsantiane car je ne pouvais pas activer mon compte depuis quelques moins.</t>
  </si>
  <si>
    <t>20/05/2020</t>
  </si>
  <si>
    <t>mic-99247</t>
  </si>
  <si>
    <t>J'attends depuis plus d'un an le règlement du capital de l'assurance vie de mon épouse décédée.Des lettres sans réponse, des informations demandées qui ne viennent pas.
 J'attends depuis le 20 janvier 2020, le courrier du service satisfaction des adhérents du GIE AFER ,courrier qui m'a été annoncé par le secrétaire général de l'association, Jack Lequertier.
Je précise qu'une autre compagnie d'assurance la GMF m'a le 11 juin 2020 réglé le capital de l'assurance de mon épouse.La demande a été déposée en même temps.
Pendant ce temps je suis privé du réemploi de ce capital. Il est évident que je ne reviendrai pas vers AFER.</t>
  </si>
  <si>
    <t>26/10/2020</t>
  </si>
  <si>
    <t>laurent-b-115635</t>
  </si>
  <si>
    <t>Je suis suffisamment satisfait pour ne pas chercher à changer d'assureur..Facile d'accès, modification rapide et prix raisonnable même si on attend encore plus d'effort pour les véhicules.</t>
  </si>
  <si>
    <t>gilles-t-125876</t>
  </si>
  <si>
    <t>Je suis satisfait de vos services au plaisir de partager a des amis cordialement gilles tupinier d'argeles sur mer merci beaucoup pour les personnes qui répond au téléphone rapidement</t>
  </si>
  <si>
    <t>evelina-138988</t>
  </si>
  <si>
    <t xml:space="preserve">Depuis DEJA 3 mois j'arrive toujours pas de contacter l'assurance pour changer mon adresse, car comme j'avais compris ils ont envoyé ma carte verte, et elle est partie dans l'autre bout de la France ( dans ma ancien adresse) ... Et le soucis ce que la je peux plus utiliser ma voiture car j'ai pas carte verte ( en sachant que je travail dans une autre ville) .Je suis vraiment "dégoûte" car je les essayé de contracter par tout, gmail, numéro.... Bref je vais changer de l'assurance si ça va pas s'arranger.... </t>
  </si>
  <si>
    <t>04/11/2021</t>
  </si>
  <si>
    <t>yahia-g-107664</t>
  </si>
  <si>
    <t>Tout est très bien, le seul vrai point noir c'est la fluctuation des devis qui instaure le doute ... Dès qu'on refait un devis on a l'impression que cela change, il faudrait espacer les paliers pour une meilleure lisibilité de l'offre tarifaire.</t>
  </si>
  <si>
    <t>delaunay-f-123374</t>
  </si>
  <si>
    <t xml:space="preserve">Je suis pour le moment satisfait la personne que j'ai eu au téléphone ma bien expliqué jai bien reçu mes documents par mail je vous  recommanderais sinple et rapide merci encore </t>
  </si>
  <si>
    <t>14/07/2021</t>
  </si>
  <si>
    <t>chipolata-30457</t>
  </si>
  <si>
    <t xml:space="preserve">Beaucoup plus cher que la moyenne ! Site déplorable.  Le SAV est à éviter. </t>
  </si>
  <si>
    <t>03/05/2019</t>
  </si>
  <si>
    <t>val45-122141</t>
  </si>
  <si>
    <t xml:space="preserve">Cette assurance auto PACIFICA est effectivement plus chère que les autres assureurs mais les garanties sont de loin TRES TRES supérieures.
J'ai eu deux sinistres (vitre conducteur brisée et rupture du câble d'embrayage) et je ne peux que dire PARFAIT : accueil, SAV, prise en charge, remorquage véhicule, rien à payer ... etc.... 
Les garanties et la protection du conducteur ainsi que des passagers sont quand même plus importantes qu'une question de 5 ou 10e par mois. </t>
  </si>
  <si>
    <t>wpinottik-50363</t>
  </si>
  <si>
    <t xml:space="preserve">Très satisfait de la rapidité pour avoir une conseillère et être assuré, un accueil vraiment exellent par la conseillere, très gentille et efficace qui à su répondre à mes questions et m'expliquer très clairement les démarches et marche à suivre. </t>
  </si>
  <si>
    <t>crespo-helene2707-59590</t>
  </si>
  <si>
    <t xml:space="preserve">C'est une honte de voir comment ils font croire aux malades que leur cas va être étudié par l expert médical en cabinet, ou après on envoye un gros dossier pour réclamation pour le médecin du cardif, et au médiateur cardif. Le médiateur ne répond pas. Et le médecin de cardif répond bien trop vite, pour avoir tout lu mon gros dossier.
C est une honte de traiter les gens comme ça. </t>
  </si>
  <si>
    <t>25/01/2019</t>
  </si>
  <si>
    <t>michael-b-107669</t>
  </si>
  <si>
    <t>Prix très compétitifs, même sans la réduction. Mais je n'ai pas déclaré de sinistre donc je ne peux pas juger complètement. YouDrive est sans doute la meilleure option pour quelqu'un qui n'a jamais été assuré, le temps de constituer son bonus.</t>
  </si>
  <si>
    <t>allezfrance-102510</t>
  </si>
  <si>
    <t xml:space="preserve">Excellent accueil, irréprochable , même lorsqu’il y a du monde, que ce soit dans leurs bureaux ou au téléphone. Aimable et courtois toujours disponibles pour accueillir ou chercher des solutions à nos problèmes . Je suis inscrite depuis mon entrée dans la police comme gardien de la paix le 1er mars 1983. Je n’ai jamais été déçue, ils ont toujours répondu présent !!! Bravo à vous tous qui ont représenté et où qui représente encore la MGP , depuis ces 38 ans passés avec eux la mutuelle générale de la police, oui je la recommande fièrement , sachant que la vie n’a pas toujours été facile avec 5 enfants et 2 divorces , oui je peut le dire c’est une mutuelle qui vous épaule à chaque instant douloureux de la vie , je ne mettrais pas de point car ce n’est pas fini, j’aurais le plaisir de vous Temoigner et vous répondre avec plaisir </t>
  </si>
  <si>
    <t>12/01/2021</t>
  </si>
  <si>
    <t>jerome-s-115229</t>
  </si>
  <si>
    <t>très mauvaise gestion d e mon sinistre non responsable : le garage proposé ne répare pas les véhicules hybride !  moi de trouver qui voudra bien réparer pour le prix indiqué par le garage (non habilité à le faire !)
L'option pack tranquillité est sans doute pour l'assurance mais pas pour l'assuré. 
Et les augmentation : 5 à 6% tous les ans !!!!!!! + de 25% en 4 ans - sans commentaires.
Je ne me sers plus de mon véhicule pour les "trajets travail" : je fais une simulation pour l'annuler et c'est plus cher... de qui se moque t'on ?</t>
  </si>
  <si>
    <t>miranda-c-131468</t>
  </si>
  <si>
    <t xml:space="preserve">Je trouve que la cotisation annuelle est trop élevée par rapport aux services proposées3
De plus le tarif augmente chaque année alors que nous sommes clients depuis plusieurs années et que nous n'avons jamais eu de sinistre.
Je réfléchi sérieusement à étudier la concurrence.
</t>
  </si>
  <si>
    <t>06/09/2021</t>
  </si>
  <si>
    <t>gaelle-49951</t>
  </si>
  <si>
    <t xml:space="preserve">Temps quond paye pas de souci mes si il vous arrive un problème d'argent la plus personne on vous traité comme un chien et en plus il me soi-disant fait un arrangement (huissier a la maison ) alors que j'ai tout essayer pour payer mon du après 10ans sans problème je suis vraiment déçu il sont inhumain </t>
  </si>
  <si>
    <t>tom56-59761</t>
  </si>
  <si>
    <t xml:space="preserve">Ma mère décédée le 14/05/2019 a souscrit en novembre 2015 un contrat avec Swiss Life via un courtier. Deux mois et demi après le décès le versement de son capital n'est toujours pas parvenu à la succession. Les contacts que j'ai pu prendre avec Swiss Life et le courrier ne mènent à rien. On me mène en bateau : une fois , on me dit que la demande de solde du contrat n'est pas arrivée (on est fin juin), une autre fois (3 semaines après la 1ère) on me dit que je vais recevoir n document à faire signer aux impôts (toujours pas reçu à ce jour). Le service succession pour lequel on m'a communiqué une adresse mail, ne répond pas et n'ouvre même pas les mails....
un vrai panier de crabe. 
Je suis certain que maintenant on va me dire : c'est les vacances....
Je me pose la question de porter ce dossier devant la juridiction compétente....pour dénoncer les pratiques de Swiss Life et du courtier.
</t>
  </si>
  <si>
    <t>31/07/2019</t>
  </si>
  <si>
    <t>pigeon-60962</t>
  </si>
  <si>
    <t>Assurée depuis 50 ans alors que cela s'appelait différemment, cette mutuelle est devenue nulle sous tous les points! Ils n'ont pas tenu compte de ma résiliation et ne réponde pratiquement jamais malgré mes relances. La résiliation a été faite en bonne et du forme et malgré la résiliation envoyé en LRAR, c'est un dialogue de sourds! Fuyez !!!</t>
  </si>
  <si>
    <t>mehdi-71792</t>
  </si>
  <si>
    <t>Pour avoir une estimation sur un devis, j'ai appelé le service client après 2 semaines et demi pour la première fois mais j'ai eu comme réponse "le délai de traitement est de 3 semaines alors on est dans les délai". Après 3 semaines, j'ai appelé plusieurs appels (payants) j'ai eu comme réponse "on vient de relancer votre dossier, le nouveau délai de traitement est entre 2 et 3 semaines, bonne journée monsieur". J'ai alors demandé le service de réclamations et j'ai eu comme réponse "même si c'est bien le numéro de téléphone du service de réclamations qui est affiché sur le site, je ne peux pas prendre votre réclamation et vous devez faire vos réclamations uniquement par mail".
Pour résumer, très mauvais service.. à fuir</t>
  </si>
  <si>
    <t>rajae-50697</t>
  </si>
  <si>
    <t xml:space="preserve">Assurance à fuir. Les prix sont exorbitants. Les garanties sont minimales. J'ai résilié mon contrat depuis le 4/11/2016 et ils ne m'ont toujours pas remboursés des mois restants. A fuir fuir !Le service client est injoignable à leur soit disant numéro en 08 qui est hors de prix pour les appeler. Par email non plus vous n'obtenez pas de réponses. </t>
  </si>
  <si>
    <t>27/12/2016</t>
  </si>
  <si>
    <t>la-science-106053</t>
  </si>
  <si>
    <t xml:space="preserve">Alors moi, c'est le pire depuis octobre 2020 ouverture de mon contrat santé! J'ai beau téléphoner et savoir des renseignements, c'est la croix et la bannière. Et en plus à ce jour ils n’ont pas mis encore le SEPA pour le prélèvement à ma banque. Depuis octobre que j'ai tous envoyé les documents. J'ai eu d'ailleurs une lettre recommandée  de mise en demeure... Oui et quand je les eux, car j'étais furieux vous savez ce qu'ils m'ont dit ! Ils envoient automatiquement le courrier. Et le pire sans aucuns prélèvements, car pour faire un prélèvement, il faut avoir l'autorisation de la banque, mais vu encore à ce jour, ils n'ont pas déposé le SEPA  à ma banque, je vais bien sûr recevoir encore une lettre recommander pour non-payement … À croire que c'est leurs butes afin de gagner de l'argent tout simplement. Et mettre le client dans une situation inconfortable et surtout bloque pour faire des examens important.    </t>
  </si>
  <si>
    <t>spyoubzh-65502</t>
  </si>
  <si>
    <t>Une catastrophe...J'ai eu 2 incidents avec eux, aucun n'a été traité...Les délais pour réparation sont supérieur a 2 mois</t>
  </si>
  <si>
    <t>15/07/2018</t>
  </si>
  <si>
    <t>sand67290-80910</t>
  </si>
  <si>
    <t>Taux fonctionnel 15 pourcent pour ne pas avoir a payer  c est deja assez difficile de se retrouver en invalidite si en plus on paye une assurance pour rien
dégoutee Je ne me laisserai pas faire  autant ne pas etre assure ayant toutes mes assurances au credit mutuel je vais toutes les resilier puisque elles ne servent a rien</t>
  </si>
  <si>
    <t>12/11/2019</t>
  </si>
  <si>
    <t>gaelle-b-125351</t>
  </si>
  <si>
    <t xml:space="preserve">Je suis content  j espère avoir vite la vignette verte 
Cordialement en attente d une réponse de votre part je suis ravis de la qualité du site et bon rapport qualité prix </t>
  </si>
  <si>
    <t>29/07/2021</t>
  </si>
  <si>
    <t>majdi-m-116143</t>
  </si>
  <si>
    <t xml:space="preserve">Rapide et claire bon rapport qualité prix 
Je chercher une assurance pas chère et rapide ils ont répondu rapidement en comparant sur le lynx ils était les moins chère </t>
  </si>
  <si>
    <t>06/06/2021</t>
  </si>
  <si>
    <t>pasmaaf-105554</t>
  </si>
  <si>
    <t>Je viens à l'instant de sortir de cette  agence et je vous la déconseille vivement.je leur demande de m'assurer un  local commercial que je dois aquerir dans quelques semaines n'étant pas passé chez le notaire encore le local ne figure pas sur le Kbis. refus de m'assurer le local sauf si j'assure chez eux  les autres bien stipulé sur le kbis c'est plus que limite avec une mention spéciale pour les deux angents qui m'ont reçus comme un chien.Je suis allé à la concurrence aussitôt sortie et problème réglé en deux minutes.Je n'irai plus jamais dans une agence MAAF de ma vie et perdez pas votre temps à celle de royan</t>
  </si>
  <si>
    <t>05/03/2021</t>
  </si>
  <si>
    <t>fiston-59819</t>
  </si>
  <si>
    <t xml:space="preserve">En invalidité 2eme catégorie depuis Octobre 2017, l'AG2R doit  me verser un complément en plus de la CRAMIF, je n'arrive pas à faire valoir mes droits, intérimaire je suis seul à faire le nécéssaire car je vis seul et suis également reconnu handicapé depuis 2016 et il n'y a toujours aucun dossier de constitué malgré mes appels périodiques . Le service client ne dit pas la même chose d'un appel à l'autre et m'a expliqué n'avoir qu'un pouvoir limité de consultation sur mon dossier. En attendant je n'ai rien de sécurisant de la part d’AG2R pour la suite de mon dossier qui est complet </t>
  </si>
  <si>
    <t>20/12/2017</t>
  </si>
  <si>
    <t>sekh-91156</t>
  </si>
  <si>
    <t>Sinistre vandalisme, véhicule de base casi neuf, cédé à la maif (car non réparable et indemnisation contrat devant se faire à la valeur d'achat) véhicule prêté 40 jours sans règlement de la situation. Durée de la décision 7 mois et demi. Remboursement du véhicule annulé car déclaration erronée( mis bon état carrosserie au lieu de moyen car petits pocs de grêle).prix du véhicule:13600€ abandon du règlement avec en plus obligation de récupérer le véhicule tel quel c'est-à-dire vandalisé.
Finalement recours en justice.</t>
  </si>
  <si>
    <t>ziouiri-n-111615</t>
  </si>
  <si>
    <t>Rapport qualité prix excellent
Des conseillers toujours au top et à l'écoute. 
Je recommande vivement l'olivier assurances à mon entourage. Merci L'olivier assurances</t>
  </si>
  <si>
    <t>25/04/2021</t>
  </si>
  <si>
    <t>pierrio86-137422</t>
  </si>
  <si>
    <t xml:space="preserve">Bonjour Madame Khadidiatou
je suis trés satisfait de notre entretien téléphonique suite au contrat que j'ai chez Neolaine.
je vous remercie pour votre aimable gentillesse pour votre écoute à ma demande. 
</t>
  </si>
  <si>
    <t>14/10/2021</t>
  </si>
  <si>
    <t>dodo-77831</t>
  </si>
  <si>
    <t>A fuir - ils invoquent que leur loi assurance n'est pas la meme que le code de la route!! quelqu'un m'est rentré par derriere, la police indique que je suis la victime, directassurance indique que c'est moi et malgres les plan google de la route etc impossible d'obtenir satisfaction il me raccroche à la figure - l'autre responsable est d'AXA je comprends apres que si accident entre direct et axa, direct aura toujours tort car axa est la maison mere.
Leur service client est déplorable c'est limite il vous insulte, et on vous raccroche à la figure</t>
  </si>
  <si>
    <t>22/07/2019</t>
  </si>
  <si>
    <t>cathy-96240</t>
  </si>
  <si>
    <t>Je suis très déçue de la Macif,  car on ne peut pas discuter avec le commercial : « c’est comme ça et pas autrement «  il est fermé et très antipathique ... Certaines assurances ont remboursé à cause du coronavirus et la baisse des accidents mais eux ne veulent pas en entendre parler, les réponses sont toutes faites et non discutables même  en étant de bons  clients, je déconseille .</t>
  </si>
  <si>
    <t>12/08/2020</t>
  </si>
  <si>
    <t>jiji-98346</t>
  </si>
  <si>
    <t>Vraiment une catastrophe cette assurance que des courtiers m on pourtant vantes aucun dialogue, ne réponde pas, SURTOUT ne rembourse pas je sortait de Neoliane pas terrible mais cegema AFFREUX...</t>
  </si>
  <si>
    <t>angry23-55935</t>
  </si>
  <si>
    <t>Je déconseille fortement direct assurance, j'ai eu un Sinistre ils ont mis 2 mois à m'indemniser ils le font par chèque et il envoie le chèque en courrier simple ce que je trouvé aberrant .... j'étais assurer tout risque loirs de mon d'insister on m'explique que je vais devoir attendre que les réparations débute sur le véhicule pour le récupérer, j'ai du attendre deux semaines pour qu'un expert soit mandaté, l'attende au téléphone est juste insupportable. ne vous fiez pas à leur site internet.</t>
  </si>
  <si>
    <t>11/07/2017</t>
  </si>
  <si>
    <t>abdelouahab-z-113205</t>
  </si>
  <si>
    <t xml:space="preserve">JE SUIS SATISFAIT JE DIRAIS MEME MIEU TRES SATISFAIT
DU SERVISE, DU PRIX DE PLUS ON PEU VOUS JOINDRE FACILEMENT (MERCI) je ne sais plus quoi dire mais on me demande 150 caractères </t>
  </si>
  <si>
    <t>caro-51030</t>
  </si>
  <si>
    <t xml:space="preserve">Moi j'ai un autre probleme, ils m'ont envoyé Mon décompte pour 2017 courant décembre... l'enveloppe (que j'ai évidemment gardé, avec les codes envoyant) est bien datée a mi décembre, alors que le décompte est daté au 24 oct, date à laquelle ils auraient dû m'informer de mes cotisations à venir, afin que je puisse me rétracter... en effet en 2013 je payais 37€ Pour 2017 on m'annonce 72€, j'ai 34 ans et n'est pas la nécessité du mutuelle à ce prix! Sans compter que l'augmentation pour 2017 est de prêt de 15%!!! Ils sont très bons au départ et ensuite c'est n'importe quoi, lors de Mon appel, courant décembre, je n'ai pas nécessairement voulu résilier mais pouvoir changer Mon contrat, hors une personne m'a affirmé un appel d'une personne compétente pour le proposer une solution, sans que jamais celle ci m'appelle... lorsque j'ai essayé de les joindre à chaque fois une voix finissait par me dire au bout de 15 mn que je serai gentille de rappeler plus tard... j'ai du tenter Ma chance 10 fois au moins! 
Ayant peur de n'avoir plus aucun recours j'ai alors voulu dennoncer Mon contrat suite à une augmentation abusive... et finalement, ils ont prélevé la cotisation de janvier, sans même répondre à Mon courrier reçu en décembre par AR... ils font traîner, pour que les délais courent, et pour que l'on n'est plus de recours possible... si jamais j'ai la même chance que M. Que quelqu'un tombe sur Mon post Mon numéro d'adhérent est 382/12. 
Bon courage à ceux qui sont dans un cas semblable au mien! </t>
  </si>
  <si>
    <t>06/01/2017</t>
  </si>
  <si>
    <t>cisse-h-116852</t>
  </si>
  <si>
    <t xml:space="preserve">Je suis très content du service. Le site est très bien fais et les démarches facile à exécuter. Je recommande fortement.  Cordialement 
Bonne journée </t>
  </si>
  <si>
    <t>12/06/2021</t>
  </si>
  <si>
    <t>samlepompier-104415</t>
  </si>
  <si>
    <t>Bonjour à la souscription en 2016 très bien par contre niveau gestion sinistre des gestionnaires incompétents et qui vous raccroche au nez tu ne réponds pas au courrier avec recommandé un gros qui néglige leur client zéro sur 10 le service client MAIF un an pour me rembourser un sinistre après de multiples expertise .</t>
  </si>
  <si>
    <t>anomie-87450</t>
  </si>
  <si>
    <t>Démarchage abusif par téléphone : sous couvert d'information sur une soi-disant modification de loi, le commercial vérifie vos infos et vous vend, l'air de rien, une nouvelle mutuelle. Commercial qui devient très agressif quand on demande un délais de vérification / réflexion, qui est quand même le minimum... Raccrochez au plus vite, ne cliquez pas sur les liens qu'ils vous envoient par texto. Ce type de démarchage commercial est HONTEUX, devrait être puni par la loi et interdit.</t>
  </si>
  <si>
    <t>21/02/2020</t>
  </si>
  <si>
    <t>veronique-q-114236</t>
  </si>
  <si>
    <t xml:space="preserve">Bien dans l'ensemble.
Rapide
Je suis très satisfait tu site internet et de l'application très bon service  je continuerai à assurer des voitures chez vous merci
</t>
  </si>
  <si>
    <t>18/08/2021</t>
  </si>
  <si>
    <t>anne-d-132384</t>
  </si>
  <si>
    <t>Je suis satisfaite du service proposé par direct assurance. La rapidité de la connexion, la de la mise en place du devis et de la souscription à l'assurance auto</t>
  </si>
  <si>
    <t>11/09/2021</t>
  </si>
  <si>
    <t>johanasa-76016</t>
  </si>
  <si>
    <t xml:space="preserve">Un service client qui vous prend de haut. J'ai eu deux conseillères très désagréables, qui n'ont qu'une envie c'est de raccrocher au plus vite. Aucun conseil de leur part. Je suis très déçue. Il vaut mieux passer son chemin et souscrire dans une autre assurance qui accorde plus de considération à ses clients. </t>
  </si>
  <si>
    <t>17/05/2019</t>
  </si>
  <si>
    <t>boukhari-f-128427</t>
  </si>
  <si>
    <t xml:space="preserve">Merci beaucoup c’est très repaid efficace super je recommande vivement merci de votre compréhension je très bien bien reçu le contrat
Grâce à vous je suis tranquille pour rouler en toute sécurité </t>
  </si>
  <si>
    <t>benoit0702-88407</t>
  </si>
  <si>
    <t>J'ai souscrit une assurance vers allianz en 2015. Depuis 2015 je n'ai pas gagné un centime, J'ai plutot perdu de l'argent. Cela fait maintenant 10j que j'ai demandé mon rachat et personne ne sais me dire s'il a été pris en compte. La seule chose que je suis sur et que je perds encore de l'argent.
Allianz est très fort pour vous vendre des contrats mais par contre après il n'y a pu personne. 
Perso il y a bien mieux chez la concurrence.</t>
  </si>
  <si>
    <t>19/03/2020</t>
  </si>
  <si>
    <t>tatiana-c-105390</t>
  </si>
  <si>
    <t>Pour l'instant la proposition tarifaire me convient. J'ai souscrit pour mon assurance auto il y a peu de temps, j'espère être satisfaite avec ma formule "confort" .Cordialement</t>
  </si>
  <si>
    <t>dan-100388</t>
  </si>
  <si>
    <t>Rien  à dire sur la prise en charge ainsi que sur le déblocage des fonds suite à un sinistre.Assurance conforme à l'attente sauf désaccord au sujet d'un cloisonnement de 9m2 dans un sous sol ,qui a mes yeux n'a aucune valeur si ce n'est éviter les odeurs de fuel et poussières avant de monter à l'appartement. Pour cette raison , le contrat me fait passer de 7 à 8 pièces d'ou un désaccord avec Pacifica .De ce fait  la cotisation ayant fortement augmenté je suis dans l'obligation de quitter cette assurance et de rechercher une autre formule .
Au moment de signer le contrat on vous indique que les sous sol ne sont pas comptés!!</t>
  </si>
  <si>
    <t>20/11/2020</t>
  </si>
  <si>
    <t>laurent-61923</t>
  </si>
  <si>
    <t xml:space="preserve">Dommage qu'on soit balade de personne à personne. Avec des discutions contradictoire
Résultat je résilié tous mes contrats. Ils sont pas dans l'humain.
Pendant covid et maladie on devait trouvé un arrangement une fois oui on vous rappelle jamais rappeler. On me supprime la mensualité sans préavis ah si courrier bien après..... Au bout du fil ????? Une Incompetant..... </t>
  </si>
  <si>
    <t>25/06/2020</t>
  </si>
  <si>
    <t>redji-57922</t>
  </si>
  <si>
    <t>Cliente depuis 25 ans et toujours des difficultés lors des sinistres. on aurait dit que les experts de la MAIF sont de mèches avec ceux des autres assurances. Quand bien même ce sont les artisans qui ont tords (et là ils font jouer leur décennale), l'expert de la MAïF vous enfonce en vous disant que c'était à vous de prévoir un étancheur pour votre sdb à l'italienne. Comme si je suis dans le BTP. Et puis 3 ans pour être enfin remboursé.
Pareil, après un vol à mon domicile, après photos et courrier de lègue de bijoux d'une arriere grand-mère la MAÏF NE m'a même pas donné 1€ pour les bijoux volés, alors qu'ils font tourner une PUB au cinéma disant que même sans facture,  ou estimation des bijoux, l'on est remboursé.
Je suis très déçue et pense les quitter dans le mois.</t>
  </si>
  <si>
    <t>09/10/2017</t>
  </si>
  <si>
    <t>sebastien-d-130429</t>
  </si>
  <si>
    <t>Bonne écoute et prise en compte des besoins. Je recommande la GMF et partage ses valeurs. Tarifs modérés et offre d'assurances très complète. Je peux vous parrainer au besoin, vous ne serez pas déçus.</t>
  </si>
  <si>
    <t>sarah05-53467</t>
  </si>
  <si>
    <t>Si on pouvait sélectionné zéro" 0" étoile je l'aurai fais avec plaisir!!  Aucun service client, personnel incompétents et désagréable au téléphone, qui n'est même pas capable d'orienter les gens correctement  ! bref pas du tout à la hauteur  !!</t>
  </si>
  <si>
    <t>22/03/2017</t>
  </si>
  <si>
    <t>01/03/2017</t>
  </si>
  <si>
    <t>juvin-s-115065</t>
  </si>
  <si>
    <t>JE SUIS SATISFAITE DU PRIX DU SERVICE A SUIVRE
L ACCES A L ESPACE PERSONNEL SUR LE SITE EST PARFAIT
JE RECOMMANDE EN ESPERANT QUE LA QUALITE DU SERVICE SE POURSUIVE</t>
  </si>
  <si>
    <t>27/05/2021</t>
  </si>
  <si>
    <t>remi-m-112297</t>
  </si>
  <si>
    <t>Je suis complètement déçu du service client que je n'arrive pas à joindre par téléphone. Si je ne parviens toujours pas à les joindre d'ici quelques jours, je change d'assureur</t>
  </si>
  <si>
    <t>cedric-p-107267</t>
  </si>
  <si>
    <t>je suis très satisfait de vos service 
la personne au bout du fil est très sympatique et explique très bien
tarif trés attractif je recommande direct assurance</t>
  </si>
  <si>
    <t>richard-63866</t>
  </si>
  <si>
    <t xml:space="preserve">Ma chienne est assurée chez cet assureur depuis son arrivée soit 2015. Depuis elle a eu pas mal de petits soucis qui ont nécessité de nombreuses visites chez le vétérinaire. Les soins ont toujours été remboursés sans discutions et en temps et en heure. Donc vraiment rien à redire de ce côté là.  </t>
  </si>
  <si>
    <t>09/05/2018</t>
  </si>
  <si>
    <t>helene-63780</t>
  </si>
  <si>
    <t>très très déçue. Certes les prix sont bas donc attractifs mais une fois confronté à un soucis on sait pourquoi!!!
Le 2 Mai 2018 à 7h du matin je constate que les 4 roues de ma voiture ont été volées.
Le service assistance dépannage m envoie dans l'heure un dépanneur . Jusque la rien à dire. Sauf que depuis le 2 Mai au matin ma voiture se trouve sur le parking du dépanneur en attendant que direct assurance trouve un garage agrée dans lequel envoyer ma voiture. Euhhhhhhh 3 jours pour trouver un garage capable de monter 4 roues dans la banlieue lilloise c'est une blague?????
Du jamais vu.</t>
  </si>
  <si>
    <t>04/05/2018</t>
  </si>
  <si>
    <t>frederic-v-124611</t>
  </si>
  <si>
    <t>Pas de chi-chi. Devis avant de rentrer ses coordonnées. Bien.
Tarif, très correct par rapport à d'autres assurances (enfin celles où il n'est pas obligé de rentrer ses coordonnées avant de faire quoi que ce soit)</t>
  </si>
  <si>
    <t>anne-marie-huet--126378</t>
  </si>
  <si>
    <t xml:space="preserve">Depuis le mois de décembre je suis en attente de sogecap me paie mes assurances prévoyance. Étant en inaptitude du travail depuis décembre 2020. Je les envoies tout les papiers demander et encore plus ils mon pas demander!!!!!
Mon contrat se fini le fin juin 2021. Et bizarrement je n’arrive pas les avoirs au téléphone maintenant !!! Mon numéro était t’il bloqué chez eux?
Je suis dans une situation délicate , j’ai perdu mon cher mari de covid en Mars 2019.
Donc réellement besoin de être payée pour mon assurance prévoyance. 
Niveau satisfaction comme beaucoup des gens. 
Quelle réputation ils se font 
</t>
  </si>
  <si>
    <t>virginie-c-108649</t>
  </si>
  <si>
    <t>Je suis satisfaite du service
Cependant, je recherche une attestation d'assurance et non d'assistance
J'espère que cela conviendra
Par ailleurs, j'ai des documents en attente de signature et je ne comprends pas pourquoi</t>
  </si>
  <si>
    <t>31/03/2021</t>
  </si>
  <si>
    <t>client-mecontent-122966</t>
  </si>
  <si>
    <t>Comportement horrible avec le client. Je regrette profondément d'avoir assuré la voiture auprès de cet assureur. Au téléphone un employé très désagréable. Ils m'ont envoyé la notification pour le paiement échelonné et en réalité ils ont vidé mon compte deux fois.
Ils m'ont propose de payer en plusieurs fois et ils ne veulent plus se conformer à leur propre accord de paiement. En désespoir de cause j'ai commencé à envoyer des chèques pour payer les échelonnements selon la convention. Ils m'envoient des lettres avec des messages menaçants et insultants. N'aurais pas pensé me retrouver dans cette situation.
Maintenant il menace de résilier mon contrat malgré le fait que j'ai payé.
J'ai hâte d'y mettre fin car mon expérience avec le massif est horrible.</t>
  </si>
  <si>
    <t>alexi-127487</t>
  </si>
  <si>
    <t xml:space="preserve">Bonjour, je suis en froid avec mon assureur .. j'ai en effet signé un contrat en janvier 2015 avec Peugeot Assurance/Axa, aucun sinistre à déplorer et courant juin 2021 je change de véhicule et contact l'assurance pour modifier les informations sur le véhicule.Je reçois et signe le contrat que je retourne directement via le site Peugeot Assurance. Quinze jours plus tard je reçois une annexe à mon contrat stipulant une modification de mon bonus.. j'étais à 0,50 depuis trente huit ans et voilà que cinq ans après la souscription de mon contrat avec Peugeot Assurance ..ce dernier décidé de passer mon coefficient de 0,50 à 0,68!!!!
J'ai immédiatement réagis et la réponse donnée : nous avons fait un audit de votre compte et nous avons relevé une erreur commise lors de la souscription il y a plus de cinq ans maintenant..???
Je trouve cela fort de café et ne compte pas en rester là.
Pourriez vous me donner un conseil sur ce cas précis, est ce légal déjà ?
</t>
  </si>
  <si>
    <t>omar-k-127083</t>
  </si>
  <si>
    <t xml:space="preserve">Je suis satisfait des services que vous proposer, j’assure mes véhicules chez vous depuis longtemps je suis un client Fidel! Toute ma famille et j’ai vous </t>
  </si>
  <si>
    <t>08/08/2021</t>
  </si>
  <si>
    <t>cindy-g-130728</t>
  </si>
  <si>
    <t>Je suis satisfait de la proposition que m'offre cette assurance voiture, surtout avec l'offre du boitier YOU DRIVE pour les jeunes conducteurs. Merci à vous !</t>
  </si>
  <si>
    <t>thierry-s-125542</t>
  </si>
  <si>
    <t>beaucoup moins cher que les autres assurances avec des garanties supplémentaires. Souscription rapide et simple sur internet. Maintenant à date échéance je vais souscrire l'assurance habitation</t>
  </si>
  <si>
    <t>releveinformation36-61318</t>
  </si>
  <si>
    <t>Un charlatant de l'assurance, faisant de fausse déclaration (sur relevé d'information) pour que le sociétaire ne puisse pas aller à la concurrence.
Par ailleurs cet assureur ajuste ces primes en fontion de la concurrence, un véritable marchand de tapis</t>
  </si>
  <si>
    <t>10/02/2018</t>
  </si>
  <si>
    <t>eviteraxa-98182</t>
  </si>
  <si>
    <t xml:space="preserve">La pire assurance ou les employé ne savent pas travailler! Je parle juste pour un changement de rib!
En plus il tri leur client
Je la déconseille fortement, pourtant j'ai pas eu accident , c'est administratif
</t>
  </si>
  <si>
    <t>trocme-y-115940</t>
  </si>
  <si>
    <t>Satisfait des prestations, les prix sont corrects 
bon suivi de conseillé avec de bons conseils
envoi des documents via le site est un bon gagne temps !</t>
  </si>
  <si>
    <t>sepamoa-93220</t>
  </si>
  <si>
    <t xml:space="preserve">service clientèle nul.....dans un premier temps accord de prise en charge assurance,puis refus 48 h après .....un service clientèle qui ne comprends rien ......à fuir </t>
  </si>
  <si>
    <t>06/07/2020</t>
  </si>
  <si>
    <t>thierry1010-58894</t>
  </si>
  <si>
    <t xml:space="preserve">Où est passé mon argent ?
Aucun service d'AXA ne me répond.
Depuis mai 2014, je demande à AXA FRANCE VIE le règlement de mon épargne: à savoir une assurance vie souscrite en 1993 et à échéance en 19999.
Malgré de nombreux courriers, tous avec accusés de réception, donc en 2014, 2015,le dernier étant de novembre 2017,je n'ai reçu aucune réponse de la part d' AXA.
Je ne comprends pas pourquoi , dans la mesure où ma femme a reçu le règlement de son épargne en 2014 à l'initiative d' AXA.
Il s'agissait de la meme assurance vie avec les memes conditions, souscrite le meme jour avec le meme assureur.
Dois-je faire intervenir un médiateur?
Dois-je intenter une action en justice pour obtenir réparation?
</t>
  </si>
  <si>
    <t>jeandutouch-103860</t>
  </si>
  <si>
    <t>La devise "de chacun selon ses moyens à chacun selon ses besoins" devise phare de la mgen à ses débuts n'est plus d'actualité depuis longtemps.
La cotisation indexée sur les revenus du ménage est devenus individuelle et ma cotisation à brusquement doublée. 
Et maintenant plusieurs tarifs au choix. Les densitometrires osseuses ne sont plus remboursées.
N'a rien de plus que les mutuelles privées mais une position dominante du fait qu'elle est aussi caisse de cpam. Qui oblige les enseignants à y adhèrer.</t>
  </si>
  <si>
    <t>09/02/2021</t>
  </si>
  <si>
    <t>laurence-c-117727</t>
  </si>
  <si>
    <t>Produits et services au top, conseiller très compétent et efficace
Offre la plus intéressante pour délégation d'assurance prêt immo, après étude, mon conseiller s'est alignée sur la concurrence, les frais de dossier via ZEN UP sont moins coûteux
Je suis totalement satisafaite
Merci ZEN UP et GENERALI !</t>
  </si>
  <si>
    <t>alice87-55582</t>
  </si>
  <si>
    <t xml:space="preserve">Après plusieurs semaines d'attente et appel sans réponse un conseiller  me répond en fin pour me dire que je suis en tort sans que sa soit vérifié par un expert. Je conteste cette décision et je demande qu'un expert se déplace et examine au moin la voiture et le choc rieennnnnnn il m'envoie balader. Merci la Matmut trooop déçu </t>
  </si>
  <si>
    <t>23/06/2017</t>
  </si>
  <si>
    <t>veronique-j-124607</t>
  </si>
  <si>
    <t xml:space="preserve">les garanties et le tarif me conviennent. Je dois attendre pour souscrire également le contrat assurance habitation, l'actuel ayant moins d'un an.
Je vais également voir pour faire souscrire ma fille pour son habitation
</t>
  </si>
  <si>
    <t>valelie-78921</t>
  </si>
  <si>
    <t>Cliente depuis de nombreuses années pour mon Bouledogue Français, j'ai voulu résilier car ces dernières années les augmentations sont trop importantes ! Et je n'ai plus les moyens de payer suite à un divorce. Ma date anniversaire étant le 03/09, j'ai envoyé ma résiliation le 09/07 car je n'avais pas reçu le nouvel échéancier. J'ai reçu une lettre le 24/07 qui me disait que ce n'était pas possible car ma demande n'a pas été formulée dans les délais impartis prévus aux dispositions Générales du contrat. Je disposais d'un délai de 30 jours à compter de la réception de mon avis d'échéance pour les informer de la résiliation... J'ai reçu cet avis le 14/08.... et on me précise que l'augmentation tarifaire n'est pas un motif valable... J'ai donc renvoyé une lettre recommandé en leur parlant de la loi Chatel, j'attends la réponse mais en attentant, j'ai quand même eu mon premier prélèvement de 318.36 euros aujourd'hui. Donc je sens que ça va être de longue haleine pour arrêter et récupérer mon prélèvement. Je vais attendre quelques jours avant de solliciter un association de consommateurs ou mon service juridique.</t>
  </si>
  <si>
    <t>Solly Azar</t>
  </si>
  <si>
    <t>03/09/2019</t>
  </si>
  <si>
    <t>charlene-90157</t>
  </si>
  <si>
    <t xml:space="preserve">A BANNIR!! Ils sont incompétent ! Ils veulent juste de l'argent !  
assuré chez eux depuis 12/2018 tout risques. J'ai eu un accident de la circulation en juin 2019 avec mon véhicule reconnu 100% raison ou j'ai été blessée. L'assureur m'oriente n'y connaissant rien vers un garage agréé qui m'a fait de la mal façon et non façon facturé je demande une expertise contradictoire accordée et faite en août 2019. On me confirme que la reprise des réparations de mon véhicule sont prises en charge en décembre 2019 jusque la pas de nouvelles et conflits. Je fais les réparation dans un garage que je choisie en Janvier 2020 ou j'avances la somme de 4300 euros...
Nous somme en juin 2020 et aucun remboursements. L'expertise contradictoire est caduc a cause de l'assurance. Le garage sensé me prendre en charge refuse et me dit que c'est donc à mon assurance. Aucune nouvelles d'eux depuis, bien des courriers avec accusés et l'intervention de ma protection juridique. 
Je suis coincée sans nouvelles et je suis obligé de rester chez eux ... De plus je n'ai toujours pas eu de visite chez un médecin expert bien mes relances et mes souci de santé .. </t>
  </si>
  <si>
    <t>03/06/2020</t>
  </si>
  <si>
    <t>popoff-s-121296</t>
  </si>
  <si>
    <t xml:space="preserve">Très bien 
Je suis satisfait,je recommanderais l’Oliveira à mes collègues et amis
Merci.
Le conseiller qui m’a reçu très bien très professionnel,il m’erite une augmentation </t>
  </si>
  <si>
    <t>brioche76-65606</t>
  </si>
  <si>
    <t>Simple et efficace, l'adhésion m'a pris très peu de temps et m'a permis de gagner 40% du tarif de mon assurance précédente</t>
  </si>
  <si>
    <t>19/07/2018</t>
  </si>
  <si>
    <t>sandrine-53248</t>
  </si>
  <si>
    <t>J'ai été licencié pour raison économique . J'ai déclaré et envoyé tout les documents pour la prise en charge de mon crédit -voiture . Motif non valide; Pour me proteger j'ai du monter un dossier banque de france surendettement. jE VIENS DE RECONTACTER UN AVOCAT.</t>
  </si>
  <si>
    <t>14/03/2017</t>
  </si>
  <si>
    <t>robert-h-117760</t>
  </si>
  <si>
    <t>bien renseignée par l hôtesse qui a traité mon dossier celui ci a été pris en charge tout de suite ,renseignements très clairs ,je suis très satisfait de mon appel</t>
  </si>
  <si>
    <t>papyou-103686</t>
  </si>
  <si>
    <t xml:space="preserve">Je souhaite comme le permet la loi quitter APRIL au bout d'un an et un jour. Un vrai parcours du combattant .Il refuse ma résiliation argumentant sur les termes employés . Je prends conseil auprès d'un avocat ,pour sortir de cette situation grotesque . Une action de groupe ne serait t’elle pas nécessaire?  </t>
  </si>
  <si>
    <t>davalex-101585</t>
  </si>
  <si>
    <t xml:space="preserve">Assurance auto pas cher mais j ai eu un sinistre non responsable et maintenant j ai compris pourquoi ils ne sont pas cher je déconseille fortement cette assurance très mauvaise expérience avec leur expert alors que les conseillers sont vraiment top je vais payé de ma poche une contre expertise </t>
  </si>
  <si>
    <t>jcp-56815</t>
  </si>
  <si>
    <t>Assuré GMF depuis des années, suite à une demande de réouverture de dossier accident pour évaluation de préjudice, nous avons essuyé une fin de non recevoir bien que mon épouse soit en invalidité à cause de cet accident. Honteux d'être si mal traité après des années d'assurance, petite parenthèse service juridique utilisé une fois et viré comme un mal propre bien qu'ayant gagné au tribunal.</t>
  </si>
  <si>
    <t>15/12/2017</t>
  </si>
  <si>
    <t>sylvie-61644</t>
  </si>
  <si>
    <t xml:space="preserve">Bonjour, Ma mère est décédée fin 2015. Nous avons, avec mes frères et soeur,  entamé des démarches auprès de Cardif en janvier. En avril 2016, toujours pas de nouvelles malgré des mails et des appels. Le service succession n'est pas très réactif... La déclaration de notoriété a été adressée le 19.04.16.   En mai,  on m'a soutenu au téléphone que nous n'avons pas adressé ce document nécessaire à leur gestion. En insistant, on a fini par retrouver le contenu de notre courrier recommandé du 19.04.16. Le 01.06.16, j'adresse un mail de demande d'information  et des explications concernant la fiscalité qui reste sans réponse. Le 03.06, enfin un courrier de leur part pour espérer un déblocage de fonds.     Nous faisons les démarches auprès du fisc. Entre fin juin et fin septembre, nous recevons ENFIN deux règlements, répartis entre nous cinq,  de 56814.60e  et 31459.95e qui ne correspondent pas aux sommes indiquées sur les attestations de succession (59950e  et 39945e).  Soit une différence de 11620e.  Un des 2 contrats de ma mère avait été souscrit le 01.02.90 avec une fiscalité favorable qui ne semble être appliquée. Le 24.07.16, j'adresse un nouveau courrier de réclamation par lettre  recommandée avec  AR. Pas de réponse : bien entendu...
</t>
  </si>
  <si>
    <t>23/02/2018</t>
  </si>
  <si>
    <t xml:space="preserve">Un prix qui augmente tous les ans de façon inadmissible, des mensonges et impossible de résilier. A fuir ! Je suis passée de 90 à 170 euros par mois en 9 ans. J'ai souhaité résilié et à chaque fois il y a un problème (pas dans les délais, un doc qui se perd...). Aujourd'hui ils me mentent sans hésitation : j'envoie un courrier pour changement d'adresse ET demande de résiliation au 31 décembre (1 ligne 1/2 pour être claire). Je reçois un mail pour  confirmer mon changement d'adresse mais un courrier plus tard me signalant que mon contrat n'existait pas. Au tél on me dit que sur mon courrier il n'y a que le changement d'adresse... Tout est faux, j'ai des preuves, mais ne veulent rien entendre. Des menteurs, des documents qui se perdent, des remboursements importants qu'ils faut réclamer encore et encore, des heures au téléphone et des prix indécents ! </t>
  </si>
  <si>
    <t>michel-80778</t>
  </si>
  <si>
    <t>Il y a plus de 2 mois je me suis rendu compte que je payais encore l'assurance de mon ancien appart( cela fait 2ans que j'ai déménagé).J'ai envoyé le papier manquant et à ce jour il n'ont rien fait.</t>
  </si>
  <si>
    <t>06/11/2019</t>
  </si>
  <si>
    <t>christophe-g-114956</t>
  </si>
  <si>
    <t xml:space="preserve">Pas vraiment
je trouve exagérer de devoir payer 300€ de plus  pour juste mensualiser mon assurance auto.
la concurrence propose beaucoup moins cher..
</t>
  </si>
  <si>
    <t>jodias-103689</t>
  </si>
  <si>
    <t xml:space="preserve">Accueil très sympa. Explications claires et nettes. Tarifs compétitifs. Possibilité de revoir son contrat avant de signer. Un sans faute pour l'instant car je viens seulement de souscrire. </t>
  </si>
  <si>
    <t>seborro-b-115585</t>
  </si>
  <si>
    <t>Trop d'erreurs sur les dossiers en cours !
Erreurs dans les noms, les attributions de rôles, les RIB, les signatures...
Nous utilisons un compte client pour deux car nous avons des véhicules en commun et énormément de confusion de la part de votre site se font lors de l'enregistrement d'un nouveau véhicule.</t>
  </si>
  <si>
    <t>cavillier-d-116774</t>
  </si>
  <si>
    <t>Conseiller aimable et explique très bien les termes du contrat.
Réponses rapide au téléphone.
Après avoir consulter les tarifs , ils semblent avoir un bon rapport qualité prix.</t>
  </si>
  <si>
    <t>yan-66429</t>
  </si>
  <si>
    <t xml:space="preserve">Fuiez le plus vite possible cette société qui ce fou de votre tronche et vous menace de vs résilier alors qu ils sont en en tort et il veulent pas l admettre, j attend de vos nouvelles avec grand plaisir </t>
  </si>
  <si>
    <t>27/08/2018</t>
  </si>
  <si>
    <t>assurien-66060</t>
  </si>
  <si>
    <t xml:space="preserve">Aprés le décés d'un parent et assurance vie l'assureur sogecap fait trainer vous demandent chaque fois de nouveaux documents et quand vous envoyez les nouveaux les anciens sont trop anciens acte de naissance valable 3 mois et jamais le meme interlocuteur au téléphone incompétent en plus et tout ça pour recuperer 30 euros j'imagine si ça avait été 200 000  A éviter à boycoter </t>
  </si>
  <si>
    <t>08/08/2018</t>
  </si>
  <si>
    <t>killah88-77838</t>
  </si>
  <si>
    <t xml:space="preserve">Le service client devient déplorable. Mauvaise écoute, renseignements incomplets, conseillères la moitié du temps peu convenables et peu professionnelles </t>
  </si>
  <si>
    <t>sebastian-l-116649</t>
  </si>
  <si>
    <t>BONJOUR,  je suis en train d'attende de remboursement de quantité de 116 euro et 32 centime pour le contrat de   3 rue jacques cartier que je ne pas validé , que je demandé le remboursement et a jour d'aujourd'hui j'eus eu  pas .</t>
  </si>
  <si>
    <t>abene-107778</t>
  </si>
  <si>
    <t xml:space="preserve">Le contrat mutuelle entreprise a basculé d'Harmonie Mutuelle a Mercer, quelle terrible erreur! Il n'y a plus d'humain dans la gestion des dossiers, la prise en charge est de très mauvaise qualité et surtout mauvaise financièrement.
1- la communication téléphonique est quasiment impossible, et les personnes de la plate-forme téléphonique n'ont aucune autonomie ni compétence pour faire avancer les questionnements qui nécessitent un dialogue.
2- les prises en charge sont mauvaises en comparaison de notre ancienne mutuelle Harmonie Mutuelle.
3- Pour obtenir le moindre remboursement, il faut scanner les factures et saisir les données à la place d'employés de Mercer.
4- Mercer n'envoie pas de carte mutuelle, c'est à nous de l'imprimer! alors qu'elle sert partout, dans les pharmacies, les laboratoires d'analyse, les kinés...
5- Pas de prise en charge homéopathie, alors que les chiropracteurs sont considérés comme médecine douce...
6- Les délais de traitement des dossiers sont allongés et ne prennent pas en compte les situations d'urgence.
</t>
  </si>
  <si>
    <t>24/03/2021</t>
  </si>
  <si>
    <t>aurelien--t-105499</t>
  </si>
  <si>
    <t>Très bon prix  et facile pour l assurance voiture je recommande fortement car tous ce fais avec facilité et sans contrainte je vais sûrement transférer mon assurance maison  et 2roues</t>
  </si>
  <si>
    <t>04/03/2021</t>
  </si>
  <si>
    <t>baillon-m-108489</t>
  </si>
  <si>
    <t>très satisfait du Temp de réactivité.la conseillère était bien à l’écoute.
en revanche ,étant repassé en jeune permis,les tarifs ont doublés niveau cotisation. 
dommage que le bonus accumulé ces dernières année ne puisse compté dans ce cas.</t>
  </si>
  <si>
    <t>ben-116001</t>
  </si>
  <si>
    <t xml:space="preserve">Pire assurance que je n'ai jamais eu, un standard jamais disponible, si on a de la chance on est avec avec des personnes qui ne comprennent rien de ce qu'on dit, même en tous risque je n'ai pas le droit à certaines option !!
À fuir à tous prix !! </t>
  </si>
  <si>
    <t>mcp-113952</t>
  </si>
  <si>
    <t xml:space="preserve">Bonjour, comme tous ici je suis en attente de remboursement sur mes frais optique et dentaire depuis la mi mars. Aucune réponse à ma lettre recommandée.  Pourrions nous envisager une action collective ? Contacter RTL l'émission de Julien Courbet ? Bref agissons ensemble pour avoir plus de poids et se sentir moins seul face à cet inertie. </t>
  </si>
  <si>
    <t>angele-r-122976</t>
  </si>
  <si>
    <t xml:space="preserve">Rapide et performant, bon tarifs. Je recommande cette assurance à mes amis et ma famille.
Site explicite et pratique.
Bonne écoute et bon conseils; Merci 
</t>
  </si>
  <si>
    <t>patrick1952-135878</t>
  </si>
  <si>
    <t xml:space="preserve">4 véhicules assurés et pas des Renault 5 une maison assurée des placements important en assurance vie,
Un remorquage aujourd’hui sans même me demander mon avis l’assistance donne feu vert pour une expertise et les réparations à un garage que je ne connais pas !!!!!!!! Et pire non agréer macif.
J’ai du prendre à ma charge le re transport de mon véhicule l’assistance soit disant ne dédommage que sur une distance de 15 kms …. J’hallucine !!!!!!!!
Ba résultat pas besoin de dessin on part en courant s’assurer ailleurs évidemment.
Conclusion : la fidélité n’est pas récompensée 
A Fuir… sans plus attendre
</t>
  </si>
  <si>
    <t>grderville-90187</t>
  </si>
  <si>
    <t xml:space="preserve">En 20 ans chez MAAF, aucun sinistre.
Notre premier sinistre a été une galère sans nom. La MAAF a brillé par son incompétence et son inutilité complète.
Parfait... tant que vous n'avez besoin de rien. </t>
  </si>
  <si>
    <t>11/02/2021</t>
  </si>
  <si>
    <t>manon-c-126917</t>
  </si>
  <si>
    <t>Ok très bon rapport qualité prix merci internet je vais pouvoir rouler avec ma voiture , très rapide et beaucoup moins cher que certains assureur ……..</t>
  </si>
  <si>
    <t>ahaggan-98197</t>
  </si>
  <si>
    <t>une augmentation injustifiée
refus de prendre en charge le remplacement de mon pare brise
refus de prendre en charge le remplacement d'une autre vitre
alors que je suis assure en tiers max</t>
  </si>
  <si>
    <t>rabu86-61363</t>
  </si>
  <si>
    <t>a fuir; le + mauvais du marché avec groupama; des rendements faméliques; une compagnie qui vous fait souscrire puis vous abandonne...</t>
  </si>
  <si>
    <t>10/02/2019</t>
  </si>
  <si>
    <t>antoine-m-118035</t>
  </si>
  <si>
    <t xml:space="preserve">Je ne sais pas trop à quoi dire à ce stade du contrat, renouveler cette question a la finalisation du contrat d'assurance 
Cordialement
</t>
  </si>
  <si>
    <t>23/06/2021</t>
  </si>
  <si>
    <t>perrine-s-129410</t>
  </si>
  <si>
    <t xml:space="preserve">Contact téléphonique avec Séraphin, très efficace et très agréable, une bonne connaissance du dossier, des lois et de très bonnes explications.
Je recommande </t>
  </si>
  <si>
    <t>25/08/2021</t>
  </si>
  <si>
    <t>marius1017-100892</t>
  </si>
  <si>
    <t>A la Maaf depuis 25 ans. Suite à un sinistre non responsable sur un véhicule neuf il y a  15 mois un bruit subsiste depuis les réparations.
15 mois que je bataille pour retrouver mon véhicule tel qu avant l accrochage. 
On me ballade de personne en personne et rien n avance.
La Maaf c est comme les amis c est quand on est dans la m.... qu on voit s ils sont compétents et à vos côtés. 
J ai décidé de changer de véhicule et de quitter la Maaf.
A éviter à tout prix pour le service après vente.</t>
  </si>
  <si>
    <t>03/12/2020</t>
  </si>
  <si>
    <t>paegle-v-125550</t>
  </si>
  <si>
    <t>Contente de l’attention et de la rapidité de l’accueil par téléphone. Le prix me semble aussi correct et je dois recommander l’assurer à mon entourage.</t>
  </si>
  <si>
    <t>steve-g-110871</t>
  </si>
  <si>
    <t xml:space="preserve">La personne que j'ai eu au téléphone m'a très bien accueillit. Les prix sont vraiment très bon et je ne doute pas du service après vente. merci à votre équipe </t>
  </si>
  <si>
    <t>19/04/2021</t>
  </si>
  <si>
    <t>luma-132177</t>
  </si>
  <si>
    <t xml:space="preserve">Bon contact avec Daro qui a été clalr et concis. Nous avons obtenu les renseignements que nous souhaitions concernant le renouvellement de nos paires de lunettes.  Merci </t>
  </si>
  <si>
    <t>ferreira-m-114571</t>
  </si>
  <si>
    <t>JE SUIS SATISFAIT DU PRIX ET DES GARANTIES PRIESE EN COMPTE DANS MON CONTRATS D'ASSURANCE SOUSCRIT AU PRES DE VOTRE COMPAGNIE D'ASSURANCE. MERCI A VOUS</t>
  </si>
  <si>
    <t>22/05/2021</t>
  </si>
  <si>
    <t>patmo-56520</t>
  </si>
  <si>
    <t>Suite à un accident soit disant en tort partagé, mon véhicule stationné avec une port ouverte un autre véhicule fait marche arrière et arrache ma portière, mise à l'épave et remboursement royal de 400€ pour une mégane en bon état. Assuré pour payer oui, pour être indemnisé correctement non!!!</t>
  </si>
  <si>
    <t>07/08/2017</t>
  </si>
  <si>
    <t>chloe--136175</t>
  </si>
  <si>
    <t xml:space="preserve">Depuis le début beaucoup de problèmes avec cette assurance double prélèvement avec une attente de cinq mois pour être remboursé. Ne prend pas en compte les demandes de résiliation pour vous reconduire une année de plus à 60 € par mois. Et même après résiliation continue de vous prélever. Je n’ai jamais eu autant de soucis et vu un si grand manque de professionnalisme. Très mauvaise expérience auprès de cette assureur avec un énorme problème chaque année, à fuir ! En espérant que vous récolterez les fruits de vos préjudices. 
Une ancienne cliente en prévoyance santé. 
</t>
  </si>
  <si>
    <t>06/10/2021</t>
  </si>
  <si>
    <t>anna-136599</t>
  </si>
  <si>
    <t xml:space="preserve">J'avez des apriori vue les commentaires et depuis je suis chez eux tout ceux passe bien les remboursement dans les temps réponse avec ma conseillère rapide je suis contente.
Je suis passe via un courtier la cabinet ADP 
   </t>
  </si>
  <si>
    <t>08/10/2021</t>
  </si>
  <si>
    <t>joffcata-88206</t>
  </si>
  <si>
    <t>J'ai rempli le feuillet amiable seul suite a un sinistre dont j'ai supposé la cause (accrochage par un godet d'engin vu la forme de la rayure), c'est un véhicule de société et on me refuse la prise en charge car on me dit que c'est pas un godet. j'ai clairement signalé en feuillet 2 que je n'avais aucune preuve pour etayer mes dires, je suis assuré tous risques avec bonus 50% gelé à vie et on me traite comme un menteur alors que je n'ai aucun interêt, peu importe le sinistre j'ai la même franchise et aucune incidence. je me tourne vers le procès.</t>
  </si>
  <si>
    <t>13/03/2020</t>
  </si>
  <si>
    <t>ratbag78-69424</t>
  </si>
  <si>
    <t>La qualité des services Mercer s’est dégradée, c’est catastrophique. Temps de réponse interminable, numéro d’appel adhérent unique sans aucun autre contact, le siège répond qu’il ne peuvent rien faire, que la situation est connue mais qu’il n’y a aucune volonté de la direction de la redresser..l’interlocuteur vous bascule sur un questionnaire de satisfaction sans répondre à votre demande à la moindre difficulté ( 2 fois aujourd’hui). Impossibilité d’obtenir un devis de prise en charge clair en rapport avec votre contrat individuel (contrat groupé professionnel) pour des soins dentaires importants. Un bon conseil, Fuyez cette mutuelle !</t>
  </si>
  <si>
    <t>firmin-d-132135</t>
  </si>
  <si>
    <t>Je suis satisfait du service rendu par la gmf et je recommande cette assurance à mon entourage
Je suis satisfait du service rendu par la gmf et je recommande cette assurance à mon entourage</t>
  </si>
  <si>
    <t>coralie--m-131093</t>
  </si>
  <si>
    <t xml:space="preserve">Très bien très bon prix très bon conseil
Satisfaite je recommande direct assurance
Devis fait rapidement 
Assurer de suite c'est vrement très bien bravo
</t>
  </si>
  <si>
    <t>moussa-b-126111</t>
  </si>
  <si>
    <t xml:space="preserve">Je suis satisfait du service proposé, les prix me conviennent, je trouve que c’est pas mal pour un jeune conducteur, je le conseille, c’est simple et pratique </t>
  </si>
  <si>
    <t>rouillard-a-129422</t>
  </si>
  <si>
    <t xml:space="preserve">Je suis satisfaite de cette assurance. Souscription simple et rapide.
Très bon contact téléphonique avec l'opératrice qui a répondu à toutes mes questions. </t>
  </si>
  <si>
    <t>nenad-n-112931</t>
  </si>
  <si>
    <t>Je suis satisfait des services
Je peux toujour obtenir un centre de service et obtenir toutes les informations
Je suis également satisfait des prix...
J'espère une bonne coopération à l'avenir</t>
  </si>
  <si>
    <t>pereur-m-107087</t>
  </si>
  <si>
    <t xml:space="preserve"> accueil téléphonique qualitatif  et très satisfait du service et de vos réponses je recommanderait l olivier a d autre personnes  et je doit assurer un autre véhicule cela sera chez vous également </t>
  </si>
  <si>
    <t>randy-a-110968</t>
  </si>
  <si>
    <t>Je suis satisfait du service, des prix pratiqués, des garanties proposées, de l’option tranquillité. Conseiller compétent et disponible. Je recommanderais zen up</t>
  </si>
  <si>
    <t>mtz-100940</t>
  </si>
  <si>
    <t xml:space="preserve">FUYEZ !!!! Le vendredi 20 novembre je fais appel à la macif pour venir faire evaluer le taux d'humidité de mon domicile car développement de moisissures. 2 relances plus tard, le cabinet mandaté BL expertise, au 3 Décembre, n'est même pas au courant de ma situation.. C'est vrai qu'en hiver ce genre de problème n'est pas urgent.. à fuir car apparement ils n'ont pas suffisamment d'encre dans leurs stylos pour noter les problemes de leurs clients !!! </t>
  </si>
  <si>
    <t>04/12/2020</t>
  </si>
  <si>
    <t>thomas-c-134742</t>
  </si>
  <si>
    <t xml:space="preserve">Je suis satisfait du service proposé, c'est rapide et ça m'épargne des démarches auprès de mon assureur actuel pour résilier mon contrat actuel.... Voilà </t>
  </si>
  <si>
    <t>david-p-105235</t>
  </si>
  <si>
    <t xml:space="preserve"> satisfaisant, accueil très bien de la part de linda ...prix acceptable, a valider le jour il y  a un sinistre au niveau de la réactivité, et du remboursement . </t>
  </si>
  <si>
    <t>maguy-54532</t>
  </si>
  <si>
    <t>Cegema est une mutuelle fantôme.
Ils ne répondent jamais au téléphone, voir même aux mails.
Assurance souscrite au 1er avril 2017 et jusqu'à ce jour, soit plus d'un mois après, aucun remboursement, ni des frais de dossier, ni des soins
Ils sont injoignables.
A fuir absolument
J'ai préféré mettre une opposition sur tout prélèvement jusque à ce je vois clair.
JE VOUS LA DECONSEILLEVIVEMENT</t>
  </si>
  <si>
    <t>08/05/2017</t>
  </si>
  <si>
    <t>marisha-79288</t>
  </si>
  <si>
    <t>Très très déçue par pacifica. J'ai été chez eux e nombreuses années. Aucun sinistre responsable. Toute ma famille y était aussi et j'ai été radié par cette assurance sans même avoir eu la décence de me prévenir au préalable car j'avais eu trop de dégâts des eaux non responsables du à ma voisine. Et au lieu de se retourner contre son assurance, j'ai juste été radiée sans pour autant n'avoir commis aucune faute....</t>
  </si>
  <si>
    <t>18/09/2019</t>
  </si>
  <si>
    <t>pascal-e-127554</t>
  </si>
  <si>
    <t xml:space="preserve">tres satisfait
personnel tres sympathique au telephone
assurance a la portée des amateurs
modalité de prise en charge relativement facile
site bien fait
</t>
  </si>
  <si>
    <t>pharley-66251</t>
  </si>
  <si>
    <t xml:space="preserve">
après 55 ans de cotisation a la GMF, l agence de valenciennes vient de résilier le contrat d assurance voiture de mes beaux parents , pour avoir eu sur les 55 ans 3 accidents, non pas 3 gros accident, 3 petits accrochages!!et en plus tout cela sans aucune discutions, envoie d une lettre demandant de passer a l agence pour faire le point, deux jours plus tard lettre recommandée signifiant la résiliation et lors du rdv, a l agence refus catégorique de discuter !!sur 55 ans a la louche mes beaux parent ont versé environ 35 000 EURO a la gmf rien que pour leur voiture!!Etant nous aussi a la GMF pour plusieurs contrat; nous sommes sur le point de tout enlever, maison , voiture, chien et bateaux ainsi que l assurance maison et chien de mes beaux parents!! je pense que le responsable de l agence de valenciennes n a vraiment pas fait le bon calcul!!
</t>
  </si>
  <si>
    <t>17/08/2018</t>
  </si>
  <si>
    <t>melodiefachee-59800</t>
  </si>
  <si>
    <t xml:space="preserve">Pas possible de récupérer son argent quand on fait valoir son droit de rétractation. Mauvaise foi. Font patienter en disant qu'il n'y a pas d'autres choix.
</t>
  </si>
  <si>
    <t>ralphe-99174</t>
  </si>
  <si>
    <t xml:space="preserve">En 2020 je paie 66,48 € pour 2 chiens assurés. je viens de recevoir un nouvel avis de cotisation, au 01.01.2021 ma cotisation passe à 99,41 € € sous prétexte que 1 de mes chiens à subit plusieurs consultations et 1 radio au cours de l'année 2019. Après réclamation, la réponse à été "il faut qu'on amortisse nos remboursements". Donc j'en déduis que l'on rembourse à cette assurance les remboursements que l'on à reçu l'année précédente et même plus car l'augmentation continue les années suivantes. </t>
  </si>
  <si>
    <t>24/10/2020</t>
  </si>
  <si>
    <t>albin-m-108662</t>
  </si>
  <si>
    <t xml:space="preserve">Je suis satisfait du service et de la rapidité de prise en charge de mes demandes.                                                                    </t>
  </si>
  <si>
    <t>william-102767</t>
  </si>
  <si>
    <t xml:space="preserve">j'ai pris une option prévoyance qui devais me donné 50€ par jours d hospitalisation cela fais un an que je me bas pour avoir ces 50€ mais vu que j ai plusieurs jours d'hospitalisation il me demande des documents qui non pas du tout le droit de demandé comme l indique le secret médical je compte me rendre en justice avec eux en plus j ai l appuis des chirurgiens </t>
  </si>
  <si>
    <t>17/01/2021</t>
  </si>
  <si>
    <t>pistachefraise-68967</t>
  </si>
  <si>
    <t>j' ai appelé une conseillère pour lui demander pourquoi j' avais reçue un contrat plus cher que j' avais accepter par tél.
elle m' a pris de haut, en me disant vous comprenez pas le français? je lui ai répondue si madame arrêtez de crier.elle m' a tutoyé toute la conversation. toutes mes questions sont restés sans réponses puis selon ces dires il faut que je fasse un courrier!!!cette personne  un manque de maitrise de soit et incompétente. mon contrat se termine je ne renouvellerais pas......</t>
  </si>
  <si>
    <t>27/11/2018</t>
  </si>
  <si>
    <t>eric-p-105746</t>
  </si>
  <si>
    <t>bon rapport qualite des prestations et prix.. je suis satisfait de cette compagnie. parfois des difficultes pour joindre le service.. Prendre en compte l'anciennete de l'adherant pour lui octroyer des reductions.</t>
  </si>
  <si>
    <t>fonzie-104320</t>
  </si>
  <si>
    <t>Il y a pas longtemps j'aurais dit que j'étais satisfait de la macif mais depuis quelques mois je suis plus que déçu. Ayant mon permis moto depuis 2013 et celui voiture depuis juillet 2020 j'ai voulu faire des  simulations de devis pour l'assurance voiture et impossible d'en obtenir un en ligne après avoir renseigné toutes mes informations , donc appel obligatoire pour un sois disant complément d'infos. Quand j'ai le service clientèle on me confirme qu'on prends mon bonus moto en compte mais ils veulent rajouté un malus "conducteur novice " pendant 2 ans qui double de 100% le tarif d'assurance du coup je leurs demande un relevé d'informations pour pouvoir voir pour faire assurer une voiture que j'ai acheté mais même pour ça ils faut leurs donner des explications  . De plus j'ai eu une petite chute en moto sur une plaque de verglas je fais appel à l'assistance pour remorquer la moto ils avaient mandaté un expert d'office que j'ai pu annulé vu que je ne voulais pas faire jouer l'assurance et que j'ai payé moi même les réparations. Je n'ai vraiment plus confiance en eux .</t>
  </si>
  <si>
    <t>sophie-y-105008</t>
  </si>
  <si>
    <t>Service fluide et efficace mais prix excessif.
Comparaisons faites avec d'autres assurances, vu que je fais moins de 1000 kms par an, je pourrais faire une économie annuelle de plus de 100 euros.
Je vais donc y réfléchir pour l'année prochaine.</t>
  </si>
  <si>
    <t>michel-g-128469</t>
  </si>
  <si>
    <t>Je suis satisfait du service, rapide pour modifier les informations, claire dans le déroulé du questionnaires toutefois les tarifs restent concurrentiels mais élevés notamment pour les jeunes conducteurs.</t>
  </si>
  <si>
    <t>vilsy10-113085</t>
  </si>
  <si>
    <t>je suis vraiment étonnée de lire tous ces commentaires négatifs ! mon chien a bientôt 13 ans et il est assuré depuis 2011 chez santévet avec la formule confort et il a beaucoup de problèmes de santé avec des traitement chers ! franchement , on a jamais eu de refus de remboursements ; peut-être ont ils changé leurs contrats mais nous sommes vraiment satisfaits à ce jour ; bien sûr les tarifs augmentent avec l âge du chien mais nous n avons jamais regretté notre choix ; pourvu que ça dure car il a une nouvelle maladie et dorénavant le traitement va passer à 171 euros par mois donc on verra si c est pris en charge !</t>
  </si>
  <si>
    <t>matthieudalo-106647</t>
  </si>
  <si>
    <t xml:space="preserve">Conseillère particulièrement aimable et à l'écoute ! Elle a réussi à répondre à toutes mes questions et à me conseiller sur mes futurs remboursements. Merci pour votre aide. </t>
  </si>
  <si>
    <t>ramaioli-l-109573</t>
  </si>
  <si>
    <t xml:space="preserve">Accueil propre et compréhensible, personne compétente
Prix 5 étoiles 
Je viens de gagner 500€ sur l'année comparé a mon ancienne assurance 
Frais de dossier peut être un peu chère </t>
  </si>
  <si>
    <t>franckangers-98502</t>
  </si>
  <si>
    <t>Ma mère en tout risques a eu un accident non responsable au mois d'aout, aujourd'hui le 10 octobre toujours pas remboursée de 4500 €...
Plus facile de recevoir les cotisations que de rembourser ! 
Vous mènent en bateau de service en service… joignables uniquement par téléphone :(</t>
  </si>
  <si>
    <t>marie-76821</t>
  </si>
  <si>
    <t>CATASTROPHIQUE</t>
  </si>
  <si>
    <t>16/06/2019</t>
  </si>
  <si>
    <t>vincent-g-105550</t>
  </si>
  <si>
    <t>J'ai souscrit à l'option Youdrive par internet mais mon cette option n'apparait pas sur mon contrat. Je n'ai de plus pas reçu la box Youdrive. Je paie pourtant pour cette option. J'ai contacté par deux fois la Hotline. On m'a promis une réponse mais personne ne m'a jamais recontacté.  Quelle déception sachant que votre est auréolé du "service client 2021"</t>
  </si>
  <si>
    <t>courtbled-104059</t>
  </si>
  <si>
    <t xml:space="preserve">je suis societaire environs depuit 35 ans   le prix correcte  mais je  nais pas admis la reponse du dernier entretien  telephonique  avec une secretaire qui vous dit  notre decision   est cela  
 non je ne suis pas daccord  alors je vais ailleure  mes deux vehicules ne vous interesse pas </t>
  </si>
  <si>
    <t>12/02/2021</t>
  </si>
  <si>
    <t>blufer-100778</t>
  </si>
  <si>
    <t>Des garanties solides, des prestations sérieuses et un service clientèle à l'écoute, pour un prix correct que l'on trouve toujours trop cher.  J'ai du mal, pour l'instant à trouver un rapport qualité/prix équivalent.</t>
  </si>
  <si>
    <t>30/11/2020</t>
  </si>
  <si>
    <t>david-d-116328</t>
  </si>
  <si>
    <t xml:space="preserve">je suis satisfais du service dans la mesure ou je n'ai jamais eu besoin de mon assurance , par contre je suis en bonus 50 depuis des annees mais mon assurance augmente tout les ans .. </t>
  </si>
  <si>
    <t>dartanhan-mariano-d-134049</t>
  </si>
  <si>
    <t xml:space="preserve">Bon prix et pratique à faire les démarches 
Déjà assuré chez direct mon devis était très simple à remplir 
Je compte bien continuer assure chez direct assurance pour long temps 
Prix imbattable </t>
  </si>
  <si>
    <t>christine-52387</t>
  </si>
  <si>
    <t>C'est une honte assurée chez eux depuis debut decembre 2016,impossible de recevoir l'attestation définitive de mon assurance'3 AR envoyés ,aucunes réponses de leurs part,appels telephoniques sans réponses,dernier recommandé envoyé avant mise en demeure de m'envoyer l'attestation,et aprés tribunal.C est une honte !A eviter fortement.</t>
  </si>
  <si>
    <t>13/02/2017</t>
  </si>
  <si>
    <t>pygo-115988</t>
  </si>
  <si>
    <t>Bonjour, au vu des commentaires je suis surpris des avis négatifs, je suis assuré depuis 2018  sans aucun problèmes de remboursements .Les conseillers CEGEMA ou le courtier ECG assurances, toujours joignables et courtois de  bons conseils. Je ne suis pas rémunéré par une compagnie d assurance pour donné un avis, je suis un particulier lambda. Les problèmes entres les assurances et les clients ont toujours existés quelque soit les compagnies et existeront toujours. La réglementation vous permet de changer, si vous n'êtes pas contents alors vous CHANGEZ sans plus attendre . Bon courage</t>
  </si>
  <si>
    <t>bat-109164</t>
  </si>
  <si>
    <t xml:space="preserve">Assurance trajet professionnel facturée 70 € par mois. 
Réponse de la mutuelle des motards : la facturation dépend de l'usage. 
J'ai changé d'assurance depuis le 1er avril, il m'est impossible de joindre la mutuelle des motards pour avoir un relevé d'information actualisé qui ne m'a pas été envoyé. 
Au moins dix appels dans la semaine à divers horaires, toujours sur répondeur. 
Impossible d'obtenir un relevé d'information sur le site web, réponse de l'espace personnel : "contactez le service client au 04......" . 
Je paie 80€ par mois pour des prestations équivalentes... 
Assurance à fuir pour moi. 
</t>
  </si>
  <si>
    <t>05/04/2021</t>
  </si>
  <si>
    <t>alex88-98832</t>
  </si>
  <si>
    <t>Mutuelle qui n existe que sur papier car impossible de les joindre par tout les num disponible et mail ou par courrier jamais eut de réponse et en appelant certains num une personne décroche et s empresse de te balancer sur la plate-forme que tu connais déjà par cœur SAV pire que mauvais dommage qu’il n’y avais pas une case 0 étoile car je l aurais mise je précise que je suis chez eux car mutuelle d entreprise .</t>
  </si>
  <si>
    <t>copin-b-115217</t>
  </si>
  <si>
    <t>Les prix me conviennent néanmoins je trouve que le premier paiement incluant les frais de dossier est élevé et incite un peu trop à la souscription du contrat à mon goût.</t>
  </si>
  <si>
    <t>philippe-s-105641</t>
  </si>
  <si>
    <t>Je suis satisfait des services de DIRECT ASSURANCE. Rapide, disponible et très compréhensif . 
Toujours à l'écoute et disponible pour tous les conseils</t>
  </si>
  <si>
    <t>angelique-t-126354</t>
  </si>
  <si>
    <t xml:space="preserve">Très satisfaite de vos services en ligne  simple et rapide avec des prix cohérent et des options qui s adapte à chaqun. Je conseille direct assurance . Merci
</t>
  </si>
  <si>
    <t>marco-92099</t>
  </si>
  <si>
    <t>Je  suis client chez eurofil depuis une vingtaine d'années j'ai le bonus maximum depuis plus de 20 ans je suis assuré pour 3 contrats Je viens de faire une simulation sur internet en me faisant passer pour un nouveau client avec les mêmes critères que moi et surprise 70€ en moins. Je pense que je vais aller voir ailleurs</t>
  </si>
  <si>
    <t>cm-103970</t>
  </si>
  <si>
    <t xml:space="preserve">Malgré un véhicule vieillissant donc qui perd de sa valeur. Malgré le fait que je n'ai pas d'accident. Malgré le fait que je sois un bon conducteur depuis plusieurs années. Malgré le fait que je roule de moins en moins et surtout en cette année 2020 de crise sanitaire et économique. MAAF et son agence local ne baisse pas sa cotisation. MAAF et son agence local n'est pas à l'écoute du client. </t>
  </si>
  <si>
    <t>gregory-l-129626</t>
  </si>
  <si>
    <t>Très bien qualité prix c’est pas trop mal merci à vous est à votre rapport qualité prix pour vue que se soit bien tous au long que je sois assuré merci</t>
  </si>
  <si>
    <t>26/08/2021</t>
  </si>
  <si>
    <t>kevinkopinski-76469</t>
  </si>
  <si>
    <t>Assurance imcompétente, impossible de résilier avec eux car ils vous envoie l'avis de renouvellement anniversaire 1mois avant alors qu'il faut résilier 2 mois avant. En plus ils ne savent même pas faire suivre une adresse. Pour augmenter le prix d'une assurance ou une mise en demeure ils trouvent la bonne adresse mais pour un relevé d'information ils se trompent. FUYEZ!!!</t>
  </si>
  <si>
    <t>04/06/2019</t>
  </si>
  <si>
    <t>biba-70141</t>
  </si>
  <si>
    <t xml:space="preserve">Serreur agréable et bonne écoute professionnels. Sérieux  prix attractif  et répondeur rapidement </t>
  </si>
  <si>
    <t>11/01/2019</t>
  </si>
  <si>
    <t>vincent-n-114507</t>
  </si>
  <si>
    <t xml:space="preserve">Du devis à la souscription les démarches sont rapides et simples
Je trouve la souscription en ligne rapide et simple.
Les prix pratiqués sont très inintéressants </t>
  </si>
  <si>
    <t>gilros-138866</t>
  </si>
  <si>
    <t xml:space="preserve">Comme tout placements ce n'est pas du trading, il faut être patient et faire les arbitrages nécessaires au bon moment.
(34% sur 10ans) c'est mieux que le livret A,
En plus on peut demander des avances dans les cas difficiles (remboursable bien évidement)  </t>
  </si>
  <si>
    <t>03/11/2021</t>
  </si>
  <si>
    <t>ck-62304</t>
  </si>
  <si>
    <t>client maaf avec Bonus 50 +3, j'ai eu un accident, arrêtée à un céder le passage. le véhicule adverse à fait un écart et m'a percutée.maaf me dit responsable à 100% malgré mes explications, et des photos qui montrent ma voiture a respecté le céder le passage. ma voiture est ancienne donc j'imagine que ça ne vaut pas le coup pour eux de défendre leur client... en plus, ils sont impossible à joindre : les conseiller en agence ne font que de la vente, et au telephone on ne peut pas vous passer la personne en charge du dossier. impossible de d'avoir une explication franche et directe, le client est juste bon à payer ses cotisations, pour le reste, maaf nous a bien eu !</t>
  </si>
  <si>
    <t>14/03/2018</t>
  </si>
  <si>
    <t>dme62-96423</t>
  </si>
  <si>
    <t xml:space="preserve">Bonjour, 
Assureur à fuir ! J’ai été en arrêt maladie hors mission du 15/03 au 23/07/2020. J’ai été payé du 15/03 au 15/05 début juin après m’être battu étant malade et du 15/05 au 28/05 seulement la semaine dernière ! Il me doivent encore pratiquement 2 mois quand j’appelle jamais la même réponse et personnes arrogantes quand on leur pose des questions jamais le même délai 15 jours, 3 mois, et  on me fait tourner bourrique en me disant qu’ils ne trouvent plus mes attestations de paiements alors que je leur ai envoyé des que je les avais de la part de la SS, certaines personnes me disent les avoir reçus et je rappelle deux jours après on me dit qu’ils les ont pas reçus. Je suis dans le besoin ! J’espère que vous comprendrez ma détresse... 
Cdt, 
</t>
  </si>
  <si>
    <t>18/08/2020</t>
  </si>
  <si>
    <t>nico-79618</t>
  </si>
  <si>
    <t>En faisant des comparatifs de prix, je suis tombé sur l'olivier. Non seulement les prix sont compétitifs, mais le service client est au top. J'ai eu un problème de compréhension avec mon ancienne assurance sur la date de l'échéance de mon contrat, et si eux n'ont pas trouvé de solution, l'olivier a tout de suite résolu le problème pour m'éviter de payer plusieurs mensualités en même temps. Je n'ai pas encore eu de sinistre donc je ne peux pas juger ce point là (et j'espère ne pas avoir à le juger) mais au vu de ce que j'ai constaté, cela semble une assurance très sérieuse</t>
  </si>
  <si>
    <t>bruno-m-136907</t>
  </si>
  <si>
    <t xml:space="preserve">Je suis satisfez  pour la assurance e le assistance de voutre parte merci pour le antacion de voutre part ce Nikel cete assurance moto je a conseil ce assurance </t>
  </si>
  <si>
    <t>10/10/2021</t>
  </si>
  <si>
    <t>rene-corail-f-114473</t>
  </si>
  <si>
    <t>au top merci beaucoup tarif très attractif et la façon de procéder est très intuitive. Je recommanderai à ma fille cette assurance comparé aux autres il n'y a pas photo</t>
  </si>
  <si>
    <t>berenice-101950</t>
  </si>
  <si>
    <t>La pire des assurances !! Après avoir eu un sinistre (un panneau d'une station essence tombe sur ma voiture), je contacte mon assurance. Elle me dit que le sinistre ne peut pas être pris en charge. Je m'étouffe presque (je suis assuré tout risque - excellence). Au bout de 2 courriers, j'obtiens enfin l'acceptation de la MACIF pour faire expertiser mon véhicule. Je vais au RDV au garage, impossible de me garer, pas de place, je tourne en rond pendant 20 minutes. Il est 8H45. Le garage refuse de me prendre la voiture car l'expert est passé et me dit que c'est tant pis pour moi car j'aurais dû garer mon véhicule en warning (et la prune, était-il prêt à me la payer ? ). Je contacte la MACIF. Mon interlocuteur me dit "oui et que voulez-vous que je fasse ? " Je suis interloqué ! "A quoi bon être assuré chez vous si vous ne pouvez rien faire".  Accrochez-vous, voici la réponse de mon interlocuteur : "Mais des clients comme vous on n'en veut pas à la MACIF". Je suis vraiment frustrée et en colère d'une telle réponse alors que je paie tous les mois 114€/148€. Je suis d'autant plus en colère que le service client n'est pas au rdv. Colère également alimentée par la perte de temps et d'énergie que cela génère, pour obtenir une réponse frustrante n'apportant de solution et qui manque de bienveillance</t>
  </si>
  <si>
    <t>laura-q-108201</t>
  </si>
  <si>
    <t>Satisfait, prix proposé légèrement élevés quand on prend en compte la fidelité + l'ouverture prochaine d'un 2ème contrat. Des devis concurrents ont été demandés.</t>
  </si>
  <si>
    <t>guiguixx-112988</t>
  </si>
  <si>
    <t xml:space="preserve">Bonjour,
Ma femme malheureusement décédée il y a plusieurs mois maintenant, les démarches pour le dossier de prévoyance sont inacceptables. Longueur de traitement, impossibilité d'avoir une personne en ligne...
Je me retrouve seul avec mes enfants, et financièrement cela devient vraiment compliqué, sachant que nous avions tout prévu avec ma femme pour que, en cas de décès de l'un ou l'autre, la famille soit protégée.
Je trouve leur attitude inhumaine  !!!!!
</t>
  </si>
  <si>
    <t>ahmed-g-117977</t>
  </si>
  <si>
    <t xml:space="preserve">Le prix est abordable, l’enregistrement par internet est très très  simple maintenant faut voir quand on a un problème si vous répondez présent. Merci </t>
  </si>
  <si>
    <t>pinet--98223</t>
  </si>
  <si>
    <t xml:space="preserve">Direct assurance n’est pas une très bonne assurance.. ce qui les intéresse c’est l’argent prélevé sur votre compte ... ales conseillers ne sont que des machines à répondre ce qui est ecrit sur leur ordinateur.. quand tu leur poses un problème, c’est une réponse automatique.. rien de concret et de sérieux dans cette assurance...je ne recommande personne Direct assurance </t>
  </si>
  <si>
    <t>labe-f-132225</t>
  </si>
  <si>
    <t>Bonne réactivité des conseillers.
Prix des cotisations raisonnables par rapport aux compagnies concurentes pour les mêmes services.
Facilités et simplicites pour nouveaux adherents.</t>
  </si>
  <si>
    <t>iraeguivaly-122714</t>
  </si>
  <si>
    <t xml:space="preserve">attention en cas de sinistre ,ne vous attendez pas a être pris en charge rapidement !!!!!!
je me  suis fais emboutir sur un parking le 20/06 .véhicule hors d'usage (radiateur percé) et emmené dans un garage "agréé direct assurance" le 21/06 .
passage de l'expert le 28/06 et remise de son rapport au garage le 30/06 contrairement aux promesses de direct assurance d'un rapport d'expertise sous 48 heures !!!
aujourd'hui sans nouvelles ,je contacte ce garage "agréé " qui me dit qu'il commandera les pièces le 08/07 et qu'il me rendra le véhicule réparé vers le 22 ou 23/07 !!!!!!!!!!!!
soit un mois d'attente sans véhicule et une franchise a payer de 431 euros pour un sinistre non responsable  !!!!!!!!
</t>
  </si>
  <si>
    <t>paul-d-126955</t>
  </si>
  <si>
    <t>Je suis satisfait de cette cotisation et surtout par rapport au tarif qui est très concurrentiel. Je recommande AMV à toutes mes connaissances pour assurer leurs 2 roues</t>
  </si>
  <si>
    <t>julia-m-116340</t>
  </si>
  <si>
    <t>Les prix me conviennent, le conseiller est à l'écoute et très professionnel.
Les garanties proposées sont en ligne avec mes attentes.
A confirmer dans les prochains mois</t>
  </si>
  <si>
    <t>sharvesh-h-132954</t>
  </si>
  <si>
    <t xml:space="preserve">probleme denvoi des vignettes 
problème sur les noms des civilités
probleme de compréhension
retard
il faut etre plus rapdie
plus à l'écoute
et surtout </t>
  </si>
  <si>
    <t>hamet-d-105341</t>
  </si>
  <si>
    <t>PAS DU TOUT SATISFAIT , LE PRIX DÉPASSE L' ENTENDEMENT :  ça fait 5 ans je suis chez vous avec des bonus chaque année et chaque année mon prix augmente  , désolé et comparativement d'autres assurances  c'est regrettable....... peut mieux faire</t>
  </si>
  <si>
    <t>retraite-74761</t>
  </si>
  <si>
    <t xml:space="preserve">ayant quitté cette compagnie depuis 12/ 2018 et malgré de nombreuses réclamations ils continue à me prélever maison et véhicule je pense devoir déposer plainte pour malhonnéteté de la part de cette compagnie que je ne recommande à  personne surtout n essayez pas de les joindre au téléphone c est mission impossible. </t>
  </si>
  <si>
    <t>04/04/2019</t>
  </si>
  <si>
    <t>berard-b-116866</t>
  </si>
  <si>
    <t xml:space="preserve">Très satisfait de la rapidité  des informations sur internet 
J’espère que se doit une bonne assurance les prix son très correct pour assurer une moto </t>
  </si>
  <si>
    <t>thibaut77-57762</t>
  </si>
  <si>
    <t>Se joue de ses clients pour leur prendre leur argent. Je m'explique.Je paye une assurance pour un an. J'envoie tous Les papier demandés et mois après mon  assurance il me résili et me rembourse qu'une partie de ma cotisation. Donc un mois chez eux m'a coûté plus de 150 euros. Pourquoi et bien car mon papier déclarant sur l'honneur que mon véhicule n'était pas assuré chez un concurrent.  papier que c'est le seul assureur que j'ai vu me demander.Ce papier était soit disant mal rempli. Résultat résiliation avec 150 euros de Frais. Et quand je leur demande s' ils peuvent pas plutôt me réassuré le tarif à comme par hasard plus que doublé. Pourquoi ne m'ont il pas prévenu que mon papier n'était pas conforme à leur exigence. Mystère. Bref une vrai Perte de temps et d'argent et un service client injoignable. À fuir car même si tout est réglo leur attitude sur mon cas montre bien qu'ils feront tout pour ne pas payer.</t>
  </si>
  <si>
    <t>03/10/2017</t>
  </si>
  <si>
    <t>didy3010-81441</t>
  </si>
  <si>
    <t>Je suis a la macif depuis mes 17 ans et je suis tres satisfaite io cherche vraiment  a nous aidez a notre ecoute</t>
  </si>
  <si>
    <t>28/11/2019</t>
  </si>
  <si>
    <t>loulou-105243</t>
  </si>
  <si>
    <t>Bonjour 
Pour payer les mensualités, il n’y a pas de soucis et en cas de sinistre !! Preparez-vous à vous battre pour être indemnisé!!! Aujourd’hui il vaut mieux être bien assuré ! La Maaf à éviter absolument !!!</t>
  </si>
  <si>
    <t>insatisfaite57-61996</t>
  </si>
  <si>
    <t xml:space="preserve">Bonjour, 
Par la présente je tiens à vous faire part de mon grand mécontentement vis-à-vis de vos services; quand à la gestion de mes demandes de remboursement.
En l'espèce, en date du 02/02/18 je vous ai envoyé par mail+courrier une demande de remboursement concernant les frais d'orthodontie auxquels je suis exposée.
Pour rappel des faits j"ai en ma possession une lettre émanant de vos services accordant un taux de remboursement; suite au devis que je vous avez envoyé.
Par un 1er courrier, vous ml'informez ne pas donner suite à mon, remboursement du fait d'un manquement "d'un code non référence" je vais donc voir le professionnel ayant établi la facture afin qu'une 2ème facture vous soit adressée avec la référence mlanquante.
Le professionnel me propose de vous faxer directement la 2nde facture afin de gagner du temps.
cependant, en date du 03/04/18 je reçois un 2nd courrier émanant de vos services m'informant ne pas pouvoir donner suite à ma demande de remboursement du fait : 
préciser date de la période !!!!! il est noté noir sur blanc la date je ne comprends pas ?????!!!!
coefficient TO : ce coefficient vous a été communiqué au moment du devis vous avez donc tous les renseignements er votre possession.
Par ailleurs je tiens à vous signaler que vos conditions contractuelles sont floues et ne permettent pas d'informer l'adhérent.
En effet, à la rubrique demande de remboursement pièce à fournir il est noté que l'adhérent doit vous fournir une facture détaillée sans préciser justement lesdits détails ; ce qui est contraire aux règles de droit !
Alors qu'une demande de remboursement vous a été adressé en date du 02/02/18 lors du 1er refus vous n'avez pas stipulé les autres manquements ce qui m'amènent à penser que toutes sortes d'excuses pourra m'être adressée sans me rembourser !
Enfin, je vous ai adressé le 23/02/18 une facture concernant les frais avancés de l'achat de bas de contention je vous ai envoyé la facture+ordonnance à ce jour je n'ai ni remboursement ni explication !
</t>
  </si>
  <si>
    <t>cecildoy-71420</t>
  </si>
  <si>
    <t>impossible d'avoir un RDV avec un responsable de la MACIF suite à un désacord sur l'indemnisation aprés un cambriolage. une plate forme de téléphone on me promet que l'on va m'appeler mais rien. j'ai simplement réussi a avoir un contact par mail qui réponde ou pas selon la demande. autant avoir une assurance en ligne au moins on sait à quoi s'attendre</t>
  </si>
  <si>
    <t>18/02/2019</t>
  </si>
  <si>
    <t>haizeak-99569</t>
  </si>
  <si>
    <t>Je suis à la retraite, le confinement me donne le temps de parcourir mes contrats d'assurances...découverte : le pourcentage pris pour 2021 est de 5,52 pour cent de tous vos revenus. je viens de m'apercevoir que c'est donc lié aux impôts, en ce qui me concerne, à Bordeaux. Ma cotisation annuelle en temps que retraitée correspond à plus de 50 pour cent d'une pension sans le prélèvement à la source des impôts du le revenu.
Je m'aperçois que les remboursements ne sont pas terribles et que bon nombre de dépassements sont hors contrat.
je viens de faire une simulation sur une autre assurance complémentaire, je continue mes recherches car c'est important.</t>
  </si>
  <si>
    <t>olivier-67589</t>
  </si>
  <si>
    <t xml:space="preserve">Assuré depuis pas mal d'années à AMV sans jamais avoir eu de sinistre, je me suis souvent posé la question à savoir en cas d'accident comment va être traité mon sinistre ? Aujourd'hui je peux y répondre puisque fin juillet j'ai eu un accident avec un tier ou je ne vais pas m'étaler sur la mauvaise fois du conducteur.
Suite à ce sinistre mon dossier est pris en charge par AMV, chaque fois que j'ai eu besoin de renseignement, la personne en charge de mon dossier a été disponible et très courtoise, AMV a fait appel de la première décision et a su me défendre, au final 100% de tort pour la partie adverse. Pour conclure il faut juste ne pas hésiter à les appeler pour faire avancer votre dossier.
</t>
  </si>
  <si>
    <t>akamaz--105180</t>
  </si>
  <si>
    <t>Très cher et le service est loin d’être au rendez vous. Le niveau de remboursement n’est même pas en phase avec ces prix prohibitifs. L’application est nulle, l’envoi de documents etc fastidieux. Franchement aucun intérêt quand on voit ce qui se fait ailleurs. Quittée sans regrets (si ce n’est celui de ne pas l’avoir fait plus tôt)</t>
  </si>
  <si>
    <t>juju--122017</t>
  </si>
  <si>
    <t xml:space="preserve">Bonjour, 
Réfléchissez à deux fois avant de vous lancer avec cet assureur. 
Les tarifs sont peut-être attractifs mais attention, n’ayez pas de sinistres car ils feront tous pour ne pas vous indemniser. 
Demande de documents à tout va, procédure interminable, pour finalement vous voir refuser votre prise en charge de pare-brise … voilà ce qui s’est passé dans mon cas. 
À FUIR!
2 contrats chez eux et pourtant jamais eu de sinistres auparavant. </t>
  </si>
  <si>
    <t>mahjoubi-n-111944</t>
  </si>
  <si>
    <t>Très satisfait des conseillé/es au téléphone.
Les garanties proposées sont très convenable.
Les prix sont vraiment satisfaisant.
Je recommande l'olivier assurance !</t>
  </si>
  <si>
    <t>28/04/2021</t>
  </si>
  <si>
    <t>mrslama-51810</t>
  </si>
  <si>
    <t xml:space="preserve">A fuir!! Pratiques illegales, scandaleuses! A fuir de toute urgence!! </t>
  </si>
  <si>
    <t>29/01/2017</t>
  </si>
  <si>
    <t>xin-w-108676</t>
  </si>
  <si>
    <t>Le prix pour assurance auto jeune conducteur est trop cher.
Est-ce que ce prix va rester au même pendant trois ans pour moi?
En attends de votre réponse, bien cordialement.</t>
  </si>
  <si>
    <t>43chr-52456</t>
  </si>
  <si>
    <t>En 2010, je fais fermer un balcon. Je signale ce changement à la MAIF, oralement malheureusement. En 2014, je revois tous mes contrats entre autre, la protection juridique car d'après la MAIF, ils sont trop anciens. Je déclare bien entendu toutes les pièces de l'habitation.
En mars 2017, la tempête casse un volet. L'expert vient et mesure et compte les pièces de mon domicile. Le balcon fermé n'est pas compté. Il me dit que cela n'aura pas d'incidence. Concernant le volet, il accepte le devis et me dit que je vais percevoir 80% de la somme dans une douzaine de jours. Trois semaines plus tard, pas de versement. Je contacte la MAIF. Problème, je n'étais pas assurée pour 5 pièces mais pour 4 pièces donc le règlement sera proportionnel. Bien sûr, il n'y a plus d'archive témoignant de mon passage à la MAIF en 2010, la personne qui s'occupe de mon dossier s'en moque totalement. Je suis d'autant plus furieuse que j'ai toujours fait attention d’être bien assurée, je laisse quand même 2000€ par an à la MAIF. Heureusement que j'ai eu seulement un volet cassé et non un incendie. J'envisage sérieusement de changer d'assurance.</t>
  </si>
  <si>
    <t>charles-c-112009</t>
  </si>
  <si>
    <t xml:space="preserve">Je suis satisfaite les prix me conviennent ainsi que vos services en plus en cas de problème. Merci pour la qualité de vos services. Ainsi que pour le service client. </t>
  </si>
  <si>
    <t>alain-s-113213</t>
  </si>
  <si>
    <t>très mauvais suivi des dossiers, carte verte erronée, cela ne vous gène pas du tout, remboursement 6 mois après des frais d'assurance en cas de sinistre</t>
  </si>
  <si>
    <t>asso-111246</t>
  </si>
  <si>
    <t>pas satisfait du service, interlocuteurs téléphoniques difficilement joignable et pas toujours compréhensible. C'est bien souvent quand il y a un problème, que l'on se rend compte du service client défectueux... Prix assez élevés par rapport aux niveau de remboursement proposé... Je ne recommande pas.</t>
  </si>
  <si>
    <t>misternaad-58517</t>
  </si>
  <si>
    <t>Extrêmement déçu par le service client. Ca faisait plusieurs années que j'étais chez eux... tout allait bien tant que je n'étais pas malade. Puis j'ai commencé à aller chez le médecin .. je vous dit pas les erreurs de remboursements (de l'argent en moins évidemment). Ensuite ça a été le festival des informations erronées au téléphone... Puis j'ai découvert par hasard que je ne faisait plus partie de leurs assurés... Le service client N'EST PAS DU TOUT A L'ECOUTE (l'agence d'ANNECY est une horreur). Le site internet est très mal fait, on ne peux pas voir directement le tableau des garanties. Les remboursements sont mal affichés. Il n'y a AUCUN SUIVI DE DOSSIER!! Avant j'avais une mutuelle d'entreprise, je peux vous dire que le service N'A RIEN A VOIR!! CHEZ HARMONIE MUTUELLE, VOUS N'ETES QU'UN NUMERO !! A FUIR ET A EVITER!!</t>
  </si>
  <si>
    <t>17/01/2018</t>
  </si>
  <si>
    <t>breuvart-69444</t>
  </si>
  <si>
    <t>Explosion régulière des tarifs.
Car il y a des hausses très très élevées chaque année de la cotisation.
Hors il n'y a pas de catastrophes naturelles dans notre commune, pas de risques importants, une baisse des vols dans le département et pas de sinistres déclarés.
Tout ceci avec un dossier ultra rentable pour AXA.
Je cherche à partir</t>
  </si>
  <si>
    <t>15/12/2018</t>
  </si>
  <si>
    <t>philippe-b-115498</t>
  </si>
  <si>
    <t>Bon service,des assurances proposent toutefois un meilleur prix..
Bon service,des assurances proposent toutefois un meilleur prix..
Bon service,des assurances proposent toutefois un meilleur prix..</t>
  </si>
  <si>
    <t>alblialeo-61159</t>
  </si>
  <si>
    <t>Fuyez ! Ça fait 6 mois que l'on paie cette mutuelle, et apparemment ce n'est qu'à partir d'aujourd'hui que nous sommes enfin tous couverts (si c'est vraiment le cas)! Leur site beug, les attestations de secu avec eux disparaissent...</t>
  </si>
  <si>
    <t>06/02/2018</t>
  </si>
  <si>
    <t>amadeus13-71822</t>
  </si>
  <si>
    <t>Je suis client de DA depuis 6 ans en 2017 ils ont augmenté ma prime de 11% et de 22% en 2018 j'ai résilié le contrat mais leur avis étant arrivé avec plusieurs jours de retard dans ma  boîte je suis hors délai pour trois jours</t>
  </si>
  <si>
    <t>03/03/2019</t>
  </si>
  <si>
    <t>nico76-61563</t>
  </si>
  <si>
    <t>Aucun suivi client. Aucunes gestion digne d'une assurance.
J'ai quitté cette assurance le 28 février. Depuis j attends mon remboursement de ma cotisation annuelle au prorata du mois que j ai du rester en plus , via l application de la loi Hamon</t>
  </si>
  <si>
    <t>10/04/2019</t>
  </si>
  <si>
    <t>ben-63787</t>
  </si>
  <si>
    <t xml:space="preserve">Assurance à fuir ! En septembre, ma moto à été volée devant mon domicile et j’ai déclaré le sinistre à AMV. Un mois après, la moto n’ayant pas été retrouvée, AMV m’a fait une proposition de rachat, accompagnée d’un certificat de cession. J’ai renvoyé les clés, la carte grise signée et le certificat de cession signé, il me restait à envoyer le certificat de non gage que je ne réussissais pas à obtenir. Le 11 janvier la moto a été retrouvée alors que je n’avais tjrs pas reçu l’indemnisation D’AMV. Et alors là, le délire !! J’ai dû,à leur demande, aller chercher la moto à la fourrière et payer les frais (200) euros puis l’emmenner Chez le garagiste pour expertise. Selon l’assurance, j’etais Toujours propriétaire ! Aujourd’hui, plus de 4 mois après et 7 mois après le vol,AMV déclare que je dois aller récupérer mon véhicule (600 euros de frais de gardiennage !!) et que le sinistre n’est pas considéré comme vol ! Bref, ils devaient me rembourser 6000 euros et ils ne veulent plus rien rembourser !!! </t>
  </si>
  <si>
    <t>vozelle-s-112854</t>
  </si>
  <si>
    <t>Assurance pas chère avec de bonnes couvertures et facile d'inscription sur internet. En espérant que la prise en charge soit aussi simple et rapide en cas de sinistre.</t>
  </si>
  <si>
    <t>momo-88831</t>
  </si>
  <si>
    <t>En invalidité depuis janvier 2014, la CNP assurances à pris en charge les mensualités de mon crédit immobilier jusqu'au début 2020.
Date de mon départ en retraite la CNP m a fair savoir que la prise en charge est annulée suite a mon départ en retraite et ils me réclament le remboursement du dernier mois versé.alors qu il n'y a aucune clause dans le contrat d'assurance qui mentionne l annulation de la prise en charge en cas de retraite.</t>
  </si>
  <si>
    <t>10/04/2020</t>
  </si>
  <si>
    <t>emmanuel-g-137625</t>
  </si>
  <si>
    <t xml:space="preserve">Avoir je viens de m inscrit à voir après un premier remboursement pour le site internet simple et rapide me paraît correct pour le montant cordialement </t>
  </si>
  <si>
    <t>17/10/2021</t>
  </si>
  <si>
    <t>frederic-b-111231</t>
  </si>
  <si>
    <t>Je suis client Direct Assurance depuis 25 ans, habitation et auto, toujours agréablement satisfait.
Prix abordables
accès internet simple et efficace.
Jamais déçu</t>
  </si>
  <si>
    <t>benp-79517</t>
  </si>
  <si>
    <t>A fuir. Sinistre (simple fuite d eau). 5311053907/S01/NLA toujours pas resolu au bout de 4 mois ( malgre une quinzaine d appels). Aucun suivi de dossier.</t>
  </si>
  <si>
    <t>de-souza-a-112488</t>
  </si>
  <si>
    <t>Je suis satisfait du service. J ai été bien informer par votre conseillère et je vous en remercie. Je vous conseillerais à des amis. Merci et bonne soirée.</t>
  </si>
  <si>
    <t>03/05/2021</t>
  </si>
  <si>
    <t>karine-d-110477</t>
  </si>
  <si>
    <t xml:space="preserve">Je constate que la cotisation que j'ai souscrite en octobre 2020 au moment de l'achat de ma nouvelle voiture est passée de 563,47€ à 614,62€. Soit une augmentation de 9% en 6 mois. Je ne comprends les raisons de cette augmentation !! </t>
  </si>
  <si>
    <t>nelly56-81616</t>
  </si>
  <si>
    <t>En attente de mes règlements depuis 2 mois Des dizaines de mail envoyés sans réponse Aucune explication quand au pourquoi de l arrêt de mes versements alors que je touchais régulièrement ceux ci jusqu à présent Impossibilité de les joindre et surtout toujours la même réponse robotisée votre dossier sera traité dans les plus brefs délais SUPER je bouillonne intérieurement  AG2R services catastrophiques et on se moque de nous des quil faut que l on nous verse de l argent</t>
  </si>
  <si>
    <t>05/12/2019</t>
  </si>
  <si>
    <t>pigeon--100438</t>
  </si>
  <si>
    <t>SCANDALEUX !! GROS DÉGÂT DES EAUX, L.EAU À COULÉ DANS TROIS PIÈCES. C’EST VISIBLE ET MESURÉ PAR DES PEINTRES ET NON UN EXPERT. COMME IL Y A DE LA PEINTURE UN PEU ABÎMÉ DANS LA PIÈCE, REFUSE PAR TOIS LES MOYENS DE ME DÉDOMMAGER !! A FUIR !!!</t>
  </si>
  <si>
    <t>22/11/2020</t>
  </si>
  <si>
    <t>stephane-f-135610</t>
  </si>
  <si>
    <t>Je suis satisfait , rien à dire pour le moment. J'ai pris cette assurance pour le  prix qui , pour le moment, sa me vas très bien.
Avoir avec le temps</t>
  </si>
  <si>
    <t>02/10/2021</t>
  </si>
  <si>
    <t>choisy-88130</t>
  </si>
  <si>
    <t>Aucun commentaire,je suis nouveau client,je ne vois pas trop l'avis que je peux donner,a part le bon service des agents 
j'attend comme meme de voir sur le fil du temps,si j'ai fait le bon choix,pour le moment je ne suis pas déçu.</t>
  </si>
  <si>
    <t>09/03/2020</t>
  </si>
  <si>
    <t>pat26-66072</t>
  </si>
  <si>
    <t>moi aussi j'ai été berné par un courtier ABB assurance qui m'a extirpé mon IBAN et n'a pas respecté la procédure de signature électronique il a ouvert un contrat d'assurance indemnité journalière hospitalisation en cas d'accident pour moi et un pour mon époux alors qu'il n'était pas auprès de moi et de ce fait pas de signature électronique j'ai envoyé un recommandé au courtier pour résiliation mais il n'a pas fait suivre et je viens de recevoir un Email d'un agent de recouvrement pour non paiement les courtiers n'ont aucun scrupule</t>
  </si>
  <si>
    <t>yoyo62-53841</t>
  </si>
  <si>
    <t xml:space="preserve">HORRIBLE.    A FUIRE.       SCANDALEUX.
 Client depuis 6 ans, mon tarif auto est exorbitant malgré mon bonus. 2 fois plus chère qu'ailleurs (sans chercher bien loin..) 
Tarif attractif pour nouveau client.. ensuite le PIEGE se referme et les cotisations s'envolent...
</t>
  </si>
  <si>
    <t>04/04/2017</t>
  </si>
  <si>
    <t>morgane-s-109211</t>
  </si>
  <si>
    <t>Je suis satisfait des prix, mais j'ai eu du mal à passer de cotisation annuelle à mensuelle. Mais dans l'ensemble je suis satisfaite du prix pour une jeune conductrice</t>
  </si>
  <si>
    <t>hayet-e-131475</t>
  </si>
  <si>
    <t>les prix ne me conviennent pas du tout. Trop cher :( 
pas satisfaite étant clientes depuis de nombreuses années.
je ne recommande pas GMF à mon entourage</t>
  </si>
  <si>
    <t>armoline-75376</t>
  </si>
  <si>
    <t xml:space="preserve">J'ai perdu mon frère qui avait un contrat chez Générali anciennement GPA depuis 1987 et qui a été basculer en 2015 sous un nouveau contrat. Je voulais donner mon avis positif sur cette assurance. le conseiller s'est déplacé une semaine après le décès et fait toutes les démarches avec nous et nous avons eu l'argent sur notre compte un mois après la signature des démarches. Mon frère nous a nommé légataire ma soeur et moi, nous avons eu en meme temps l'argent. </t>
  </si>
  <si>
    <t>25/04/2019</t>
  </si>
  <si>
    <t>smart-87799</t>
  </si>
  <si>
    <t>impossible d'avoir une réponse pour le paiement de l'assurance vie dont je suis bénéficiaire. Le conseiller  de l'agence ne répond plus à mes mails et semble
complètement dépassé. Sur son avis j'ai envoyé un courrier recommandé au siège, mais celui-ci est sans réponse depuis plus de 2 semaines. Pourtant d'après la loi, ils doivent contacter les personnes dans les 2 semaines suivant l'envoi des documents. Comment peuvent-ils être aussi irrespectueux des petites gens qui les ont bien fait vivre?</t>
  </si>
  <si>
    <t>29/02/2020</t>
  </si>
  <si>
    <t>ibtissem-a-134962</t>
  </si>
  <si>
    <t xml:space="preserve">Super rapport qualité prix,  étant assurée depuis plus d’un an pour mon appartement, il me semble être judicieux de m’assurer chez Direct assurance pour tous mes contrats </t>
  </si>
  <si>
    <t>lavachealait-63619</t>
  </si>
  <si>
    <t xml:space="preserve">Attention à cet assureur, l'un des plus mauvais du marché, l'un des plus cher, et de surcroît de la publicité mensongère   Mon véhicule Mercedes a été embouti à l'arrière par un entrepreneur Portugais à st jean de luz. N'étant pas en tort, mon véhicule devait être réparé convenablement. Cependant impossible de pouvoir effectuer une réparation correcte, il ergotait sur toutes les pièces qui devaient être changées par  la concession Mercedes </t>
  </si>
  <si>
    <t>29/11/2020</t>
  </si>
  <si>
    <t>nantenaina-r-107554</t>
  </si>
  <si>
    <t xml:space="preserve">Je viens de me souscrire et franchement site très intuitif je recommande.                                                                                               </t>
  </si>
  <si>
    <t>florent-51693</t>
  </si>
  <si>
    <t xml:space="preserve">bonjour, je suis actuellement courtier et aussi client de cette assurance Metlife (entre autres)  
En effet certains délais peuvent être longs, mais c'est comme partout, il faut avoir les bons interlocuteurs. 
Par exemple, tous mes dossiers emprunteur et prevoyance, je les traite directement avec l'inspecteur région. Qui est trés bon et accélère les choses. 
Si vous avez des difficultés, c'est que votre courtier ne fait pas ce qu'il faut. C'est à lui d'accélérer les dossiers avec son inspecteur et à gérer. 
Quand on a un client, on s'occupe de lui jusqu'au bout, pas juste avant d'encaisser le chèque !!! 
www.pyrenees-finance-conseil.fr
</t>
  </si>
  <si>
    <t>26/01/2017</t>
  </si>
  <si>
    <t>celine-p-107506</t>
  </si>
  <si>
    <t>très satisfaite du prix et des services
les actions à réaliser sont simples et non contraignantes, je recommanderai volontiers direct assurance si j'avais des amis</t>
  </si>
  <si>
    <t>bugkiller-1587</t>
  </si>
  <si>
    <t>An aout dernier, j'ai voulu souscrire à un contrat d'assurance auto à l'agence d'AVON suite à un devis en ligne pour ma nouvelle CLIO. Arrivé en semaine, vers 16h00, il y avait déjà 2 personnes qui patientaient... Et juste 1 seul commercial qui discutait et ricanait "fortement" avec "des clients" dans un bureau ... j'ai patienté 30 min et je suis parti ...entre temps d'autres personnes sont arrivées mais les rires et discussions continuaient de plus belle... 
Je n'avais pas envie de souscrire dans une agence dont je ne pourrais jamais avoir un conseiller... autant choisir une assurance en ligne sinon.
Le client ici n'a pas l'air d'être respecté ou on s'en donne pas les moyens. 
Ca m'a rappelé mon ancienne agence ASSU2000 (sur EVRY) bondé où il fallait attendre 2h d'attente pour avoir une information ou un RI.
Un mal pour un bien, je suis entré dans une autre agence d'assurance à coté et j'ai trouvé moins cher que le devis en ligne MAAF, avec 1 commercial dispo :)
Pour ce coup, ce n'était pas la MAAF que je préfère ...</t>
  </si>
  <si>
    <t>04/09/2018</t>
  </si>
  <si>
    <t>colere-64899</t>
  </si>
  <si>
    <t>Je suis absolument dégoutée car active assurances ce n'est ni plus ni moins que de l'enfumage! ils prétendent ne pas avoir reçu les documents , puis sans prévenir ils suspendent l'assurance vu que l'on paie sept mois d'avance et que je ne serai pas remboursée il faut aller à la DGCCRF. J'ai mon véhicule immobilisé, 135 euros pour non assurance, 35 euros pour non apposition de vignette. Soit disant il manquait un document!!! cette assurance n'est qu'une vulgaire supercherie ni plus ni moins maintenant ils veulent que je leur envoie une attestation sur l'honneur de non assurance de mon véhicule!!!. C'est top non ?</t>
  </si>
  <si>
    <t>myriam-59137</t>
  </si>
  <si>
    <t>Assuree depuis deux moi il ne restais plus qu'à envoyer photos du véhicule et rel Eve d'information. En deux mois aucuns conseillede n'a été capable de me dire comment faire. La veille de la résiliation un conseiller m'a dit que le lendemain étais inclus avant la prise en compte réel de la résiliation. Du coup quant j'appel le lendemain parce qu'on m'a orienter correctement pour envoyer les document on me dis que mon assurance et résilié. Vraiment énervée je n'ai pas compris qu'on me demande de faire un courrier de réclamation alors qu'aucun conseiller ne m'a dit clairement comment je pouvais envoyer les documents. Je signal que j'ai appeler une dizaines de fois. J 'étais vraiment très déçu!</t>
  </si>
  <si>
    <t>26/11/2017</t>
  </si>
  <si>
    <t>grifou75fr-117300</t>
  </si>
  <si>
    <t>Assuré habitation auprès d'axa pour deux ans, ayant été cambriolé, l'assureur préfère s'assurer  de bien recevoir ses cotisations annuelles avant de s'occuper de vous indemniser de votre sinistre.
Service de suivis de sinistre délocalisé, parlant un français médiocre, peu aimable et n'ayant aucune compassion pour ce qu'il vous arrive...cherchant juste à vous rembourser un minimum en cherchant le moindre article du contrat permettant de jouer en leur faveur.
Service exécrable, aide inexistante, au revoir!</t>
  </si>
  <si>
    <t>alexandre-t-123759</t>
  </si>
  <si>
    <t>Plutôt satisfait, moins cher et meilleurs garantis que ce que me proposais mon assurance auto. J’ai été conseiller par des amis qui eux ont déjà été assurer chez AMV</t>
  </si>
  <si>
    <t>amandinerodriguetibo-77051</t>
  </si>
  <si>
    <t xml:space="preserve">Signé par mon employeur alors que j avais l ACS, je me bat depuis trois ans pour l arrêter. Jamais reçu d attestation, ni ai même pas affilié, ne répond pas aux courriers AR, service client désagréable, coupe la parole, raccroche au nez
Paye pour rien mais ils s en foutent puisqu ils touchent </t>
  </si>
  <si>
    <t>24/06/2019</t>
  </si>
  <si>
    <t>yam-92-58999</t>
  </si>
  <si>
    <t>Contrat validé au téléphone avec un motard passionné.
J'ai envoyé toutes mes pièces par mail et reçu sous 48h ma carte verte ! apparemment une société crée par des motards passionnés</t>
  </si>
  <si>
    <t>Assur Bon Plan</t>
  </si>
  <si>
    <t>marcogti-99439</t>
  </si>
  <si>
    <t xml:space="preserve">Service de rappatriment déplorable livraison un mardi en théorie samedi toujours pas récupérer à éviter éviter éviter
  le mardi ont vous dit mercredi 
Mercredi ont vous dit jeudi  et ainsi de suite 
Une  dénommée isabelle au bureau de transport est sûrement une pro du passage de pommade bref je vous laisse voir ma crise  surtout que je suis à l hotel depuis 1 semaine et cela a mes frais  bref c les assurances quand ont payé ont est d accord apres quand c l inverse c plus pareil 
Je conçoit un éventuel retard
Mais la c abuse surtout que ma voiture est entre leurs mains depuis 1 mois </t>
  </si>
  <si>
    <t>elisabeth-90970</t>
  </si>
  <si>
    <t>Je suis satisfait de ce service. Les prix me conviennent. Cela reste correct. 
Je suis parrainée par une personne dans le cadre d’une souscription. Merci. Bien cordialement,
Elisabeth Devautour</t>
  </si>
  <si>
    <t>sigira-62176</t>
  </si>
  <si>
    <t>Apres un an passe, nouveau tariff 2x plus cher qu'un nouveau contrat!
Les conseillers donnent des informations qui ne sont pas coherentes de l'un a l'autre donc perdition du nouveau tariff et contrat.
Lettre de résiliation annulée par l'assureur bien qu'agissement sous informations des conseillers. 
Lettre Recomandee non repondue, juste inacceptable.</t>
  </si>
  <si>
    <t>31/03/2018</t>
  </si>
  <si>
    <t>dopo-67925</t>
  </si>
  <si>
    <t>L'assurance a eu besoin de 2 semaines de trouver un garage et un expert!! Entre temps j'ai perdu des heures au téléphone pour avoir un conseiller au téléphone qui ne savais rien à me répondre. J'ai exprimé mon mécontentement et à la suite reçu un appel de l'assurance très agressif, on m'essayant de prouver que j'ai eu tort d'être mécontente.</t>
  </si>
  <si>
    <t>21/10/2018</t>
  </si>
  <si>
    <t>galoger-d-112074</t>
  </si>
  <si>
    <t xml:space="preserve">Je suis contente et trés satisfaite. Facilement accessible à tous pour toutes démarches en ligne, il ni a qu'à ce laisser guider
Tarif correct Précis et rapide  </t>
  </si>
  <si>
    <t>david-49556</t>
  </si>
  <si>
    <t xml:space="preserve">A FUIR!!!! NE J'AMAIS  SOUSCRIRE A CETTE MUTUELLE IL VOUS ENBOBINE AVEC LEUR SIGNATURE ELECTRONIQUE ET QUAND T'ON RECOIS LE DOSSIER ET QUE LE DELAI DE RECTRACTATION ET DE 14 JOUR EN LE REVOIE DANS LES JOURS QUI SUIT IL VOUS ESSAYE DE VOUS PRELEVER QUAND MEME SCANDALEUX </t>
  </si>
  <si>
    <t>25/11/2016</t>
  </si>
  <si>
    <t>christophe-h-104962</t>
  </si>
  <si>
    <t>Au niveau prix, plutôt bien positionné sur le marché. Reste à voir comment sera le prix proposé à ma fille qui est actuellement en conduite accompagnée et aura besoin de souscrire une assurance d'ici la fin de l'année.
Pour l'instant, de très bon conseils de la part du service client.
Pas encore beaucoup de recul malgré tout.</t>
  </si>
  <si>
    <t>greg-57483</t>
  </si>
  <si>
    <t>Je suis client axa depuis plus de 20 ans j'ai eu malheureusement 2 pannes en descente en vacance et la le calvaire les réponses d axa assistance me demandant si j'ai trouvé un garage pour mettre mon véhicule en réparation c était une catastrophe ne souscrivez pas  d assurance chez axa tomber en panne chez eux fait très peur</t>
  </si>
  <si>
    <t>20/09/2017</t>
  </si>
  <si>
    <t>did971-58912</t>
  </si>
  <si>
    <t>Un conseil, Fuyez cet assureur
Assuré en tous risques, j'ai eu un accident non responsable depuis le 04 OCT 17. Depuis cette date (nous sommes le 17 Novembre) AMV a été incapable de contacter l'assurance adverse qui est pourtant située à Courbevoie...... Lors de  mes différents appels il ne me semble pas particulièrement préssé de faire avancer mon dossier. Pour vous dire, ils ont envoyé un courrier simple de 13 OCT 17 et si je ne les avais pas contacté par téléphone, rien n'aurait été fait jusqu'au 28 novembre 17........ c'est tout dire...J'ai quand même du avancer 450E de frais ce qui n'est pas rien pour un Français moyen.</t>
  </si>
  <si>
    <t>17/11/2017</t>
  </si>
  <si>
    <t>bertrand-d-131407</t>
  </si>
  <si>
    <t>je suis satisfait du service, espérant que les tarifs restent stables, que l'accueil de proximité se maintienne, pas de dématérialisation ou d'abandon du service en point d'accueil physique.</t>
  </si>
  <si>
    <t>05/09/2021</t>
  </si>
  <si>
    <t>ald31-57178</t>
  </si>
  <si>
    <t>Un Service client déplorable.</t>
  </si>
  <si>
    <t>08/09/2017</t>
  </si>
  <si>
    <t>poplia-114408</t>
  </si>
  <si>
    <t>Bonjour à tous je vous déconseille cette assurance active assurance ce sont la pire des assurances qui puisse exister sauve-qui-peut sauve-qui-peut j'ai changer d'assurance alors que j'étais encore assuré chez eux</t>
  </si>
  <si>
    <t>jerome-86776</t>
  </si>
  <si>
    <t xml:space="preserve">
Il est de mon 
ATTENTION ATTENTION ATTENTION MEFIEZ VOUS ET SURTOUT NE SOUSCRIVEZ JAMAIS CHEZ SWISSLIFE ATTENTION 
</t>
  </si>
  <si>
    <t>05/02/2020</t>
  </si>
  <si>
    <t>daniel-g-127408</t>
  </si>
  <si>
    <t xml:space="preserve">Les prix sont corrects.
La souscription est assez claire.
J'espère qu'en cas de problème tout soit aussi simple et aussi rapide.
Je suis satisfait pour l'instant. 
</t>
  </si>
  <si>
    <t>frigato-l-136501</t>
  </si>
  <si>
    <t>satisfaite du service
un peu longue l'attente pour recevoir les documents
dans mon contrat je résulte en tant qu'homme alors que j'avais coché la case femme</t>
  </si>
  <si>
    <t>07/10/2021</t>
  </si>
  <si>
    <t>alexis42-53188</t>
  </si>
  <si>
    <t xml:space="preserve">Je suis chez April depuis 2017, il s'agit d'une couverture professionnelle. 
Je viens de me faire faire des lunettes, mon opticien (Opticien 2000) a tenté de vous joindre des dizaines de fois pour obtenir un devis, ils n'ont jamais rien reçu j'ai dû leur envoyer les papiers moi-même sous prétexte qu'en ce moment vous êtes "occupés". Envoyer les conditions de remboursements c'est vrai que ça prend du temps en 2 semaines de battement. 
Après l'histoire du devis, c'est le remboursement en lui-même, vous leur aviez annoncé un délai d'1 semaine, ça fait 2 semaines que j'attends et que je ne peux pas récupérer mes lunettes. 
Je déconseille. </t>
  </si>
  <si>
    <t>12/03/2017</t>
  </si>
  <si>
    <t>tim-70626</t>
  </si>
  <si>
    <t>Quand je vois vos avis, je me dis que je vais devoir envisager un recours judiciaire. J'ai déclaré mon sinistre fin septembre, depuis ils m'ont envoyés 3 dossiers de prise en charge, j'ai envoyé les 2 premiers dossiers, alors soit selon les 2 personnes que j'ai eu au téléphone, les dossiers ont été perdus, transmis à un mauvais destinataire ou détruits alors que la poste m'a indiquée que les 2 dossiers avaient été reçus. La dernière personne que j'ai eu avait vraiment l'air désolé, elle m'a indiquée d'envoyer le dossier par email, mais d'appeler pour vérifier qu'ils l'ont bien reçu. Elle aurait indiquée sur mon dossier qu'il devait être traiter en priorité et qu'il devait être transmis en urgence au service gestion et que ce serait sans doute elle qui s'occuperait de mon dossier. Toutefois vu les avis que j'ai lu, je vais sans doute envisager un recours judiciaire, car je ne veux pas être pris "pour un idiot" pendant 6 mois avec des pannes informatiques ou de nouvelles pertes de courriers, car en attendant je continue de rembourser mon prêt.</t>
  </si>
  <si>
    <t>26/01/2019</t>
  </si>
  <si>
    <t>khedidja-k-138766</t>
  </si>
  <si>
    <t xml:space="preserve">je suis satifaite du contrat voir a l avenir mais tres contente d avoir souscrit chez vous l inscription est simple et surtout tres claire donc satisfait </t>
  </si>
  <si>
    <t>02/11/2021</t>
  </si>
  <si>
    <t>serguienko-e-130915</t>
  </si>
  <si>
    <t xml:space="preserve">Je suis satisfaite du services client, le prix me convient, parfait. Conseillère a bien répondu a toutes mes attentes! J’espère d’être satisfaite à long terme </t>
  </si>
  <si>
    <t>gregcart-88808</t>
  </si>
  <si>
    <t>Super tarif pour ma Yamaha MT 09, équipe très réactive pour la réception de ma carte verte suite à l'envoi de mes pièces. je recommande !</t>
  </si>
  <si>
    <t>lalu66-107668</t>
  </si>
  <si>
    <t>Très satisfait de cette mutuelle, prix, réactivité, prise en compte des demandes. La réponse apportée est toujours à la hauteur de l'attente.
L'assurance prêt est également très bien placée, ne pas hésiter !!!!!</t>
  </si>
  <si>
    <t>galonier-chantal-137287</t>
  </si>
  <si>
    <t xml:space="preserve">Depuis le début de mon adhésion mon mari n à toujours pas eu la teletransmission activée sur le compte ameli
La personne qui a pris mon appel, Georges, a été très compréhensif, très clair dans ces explications.
J espère que la demande va être rapidement effectuée. </t>
  </si>
  <si>
    <t>nainnain-80907</t>
  </si>
  <si>
    <t>J'en suis content, le peu de sinistres que j'ai eu ce sont réglés  sans problème et j'ai toujours eu facilité à les joindre.</t>
  </si>
  <si>
    <t>laetitia--c-135329</t>
  </si>
  <si>
    <t xml:space="preserve">Satisfait du service rapide et sérieux 
Je recommande direct assurance à mes amis 
J’attends de recevoir mon attestation pour pouvoir circuler 
Cordialement Laetitia 
</t>
  </si>
  <si>
    <t>camara-m-136972</t>
  </si>
  <si>
    <t xml:space="preserve">Je suis satisfait de votre service, les prix me conviennent.je vais essayer de faire mon mieux pour pouvoir remplir mes parts de contrats dans les meilleurs conditions </t>
  </si>
  <si>
    <t>baudry-j-123041</t>
  </si>
  <si>
    <t xml:space="preserve">Je suis satisfait de la signature en ligne car c'est rapide et pratique. Par contre vous pouvez peut être améliorer votre service pour un petit rappel pour éviter l'oublie de vous donner tous des docs. </t>
  </si>
  <si>
    <t>10/07/2021</t>
  </si>
  <si>
    <t>teckel83-76384</t>
  </si>
  <si>
    <t>Fuyez maaf assurance auto ! Suite à un sinistre, il m'est impossible de joindre ma gestionnaire qui est aux abonnés absents, à moins qu'elle soit décédée. Malgré un courrier recommandé Ét une cinquantaine d'appels sur la plateforme gestion des sinistrés, il m'a été répondu à chaque fois qu'elle allait me rappeler mais j'attends toujours ! personne n'est au courant du suivi de mon dossier. Ma prise en charge auprès du garage agréé a été suspendue le 20 mai 2019 mais je n'ai reçu aucun courrier ! J'ai seulement été prévenue par le garage. Comme je l'ai déjà dit la gestionnaire de mon sinistre doit se trouver en soins palliatifs.</t>
  </si>
  <si>
    <t>31/05/2019</t>
  </si>
  <si>
    <t>mamie49-68303</t>
  </si>
  <si>
    <t xml:space="preserve">Mon mari et moi avons ouvert un contrat d'assurance vie 'Allianz vie génération'. En 1 AN seulement NOUS AVONS PERDU 10% de notre capital (la moins-value est calculée sur notre compte par allianz) . Pourtant ce sont des 'professionnels' qui gèrent le contrat. A aucun moment nous avons été prévenus que nous pouvions perdre autant d'argent en si peu de temps (placement risqué) sinon il aurait été placé ailleurs. </t>
  </si>
  <si>
    <t>03/11/2018</t>
  </si>
  <si>
    <t>flo-107954</t>
  </si>
  <si>
    <t>Je suis adhérente MGP depuis le 01/01/2021, aussi ai-je peu de vécu au sein de cette mutuelle. Cependant, j'ai reçu un excellent accueil et une écoute attentive lors de mes 2 appels téléphoniques.</t>
  </si>
  <si>
    <t>mafontai-138512</t>
  </si>
  <si>
    <t>L'assistance est absolument désastreuse. Pour un pneu crevé, j'ai du resté bloqué 2 jours complets. Il m'a fallu 8 à 10 coup de téléphone pour débloquer la situation. Sachant qu'il y a en moyenne 40 minutes d'attente par coup de fil, je vous laisse calculer la galère :-(</t>
  </si>
  <si>
    <t>lamentable ne répond jamais aux demandes de renseignements 6 messages depuis février aucune réponse des FANTOMES...le conv 19 a bon dos la vie continue pour tout le monde..;</t>
  </si>
  <si>
    <t>05/10/2020</t>
  </si>
  <si>
    <t>xavier19-91697</t>
  </si>
  <si>
    <t>J ai un sinistre dégâts des eaux en cours depuis 7 ans sans assistance de Groupama  devant les tribunaux où j'ai été assigné suite à une expertise contradictoire m ' étant pourtant favorable mais dont les conclusions non pas été acceptées par la partie adverse.</t>
  </si>
  <si>
    <t>Groupama</t>
  </si>
  <si>
    <t>21/06/2020</t>
  </si>
  <si>
    <t>fred23-104379</t>
  </si>
  <si>
    <t xml:space="preserve">Assurance a éviter absolument !!!! Il vous prélève en quelques minutes et des semaines pour récupéré votre argent !!! Jamais le même discours et il manque toujours un papier qu'il ne vous on pas préciser de demander bien entendu </t>
  </si>
  <si>
    <t>lutin91-129402</t>
  </si>
  <si>
    <t>Réactif et bon accueil. Les prestations sont bonnes, beaucoup de choix dans la couverture santé,les prix sont raisonnables. Le service client est facile à joindre</t>
  </si>
  <si>
    <t>vilavvie-81117</t>
  </si>
  <si>
    <t>Cette multinational est dans l'impossibilité de faire des prélèvements automatiques en France si vous avez un contrat au Portugal. Ceci malgré le lancement du SEPA depuis plus de 7ans pour faciliter les échanges interbanques dans l'espace EURO. Inadmissible, C'est une vieille dame qui c'est endormie!</t>
  </si>
  <si>
    <t>19/11/2019</t>
  </si>
  <si>
    <t>carimanon-129227</t>
  </si>
  <si>
    <t>Je suis satisfaite du service, les prix ne sont pas les plus avantageux, je pense qu'il y a encore un petit effort à faite de ce coté là. Assurance très réactive.</t>
  </si>
  <si>
    <t>cocolet74-58581</t>
  </si>
  <si>
    <t>Après trois incidents hors de ma responsabilité , je me suis vu signifier la fin de mon contrat auprès de cette compagnie , j'estime que c'est abusif , étant donné que je suis assuré depuis 2013 et que depuis cette date j'ai eu cette année deux accidents de circulation  hors de ma responsabilité et un bris de glace sur parking l'an dernier</t>
  </si>
  <si>
    <t>03/11/2017</t>
  </si>
  <si>
    <t>eugen-m-134511</t>
  </si>
  <si>
    <t>Je suis satisfait de votre service
Les prix mes convient
Simple et pratique
Je vous souhaiterais un bon continuation à votre entreprise Direct- assurance</t>
  </si>
  <si>
    <t>25/09/2021</t>
  </si>
  <si>
    <t>james-54008</t>
  </si>
  <si>
    <t xml:space="preserve">Suite à sinistre (vol d'un véhicule), impossibilité d'être remboursé malgré l'envoi de tous les documents demandés, Impossible de savoir pourquoi et cela dure depuis  4 mois et demi. 
Si  l'accueil du service répond bien, on vous dit que cela ne dépend pas d'eux. 
</t>
  </si>
  <si>
    <t>11/04/2017</t>
  </si>
  <si>
    <t>marquion-c-136247</t>
  </si>
  <si>
    <t>Les tarifs ainsi que les franchises sont tout de même conséquentes mais je reste satisfait dans l’ensemble, j’ai déjà été assuré chez eux par le passé et je n’étais pas déçu non plus.</t>
  </si>
  <si>
    <t>agnes-v-125601</t>
  </si>
  <si>
    <t>JE SUIS SATISFAITE DU SERVICE, SITE TRÈS FACILE DE NAVIGATION. La preuve: je suis une cliente fidèle depuis quasi 20 ans!! J' apprécie la facilité d'utilisation du site</t>
  </si>
  <si>
    <t>philou-91404</t>
  </si>
  <si>
    <t xml:space="preserve"> Je connais déjà ma compagne est assurée chez vous prix correct.....apres jamais eu besoin de vos services ....a voir al utilisation  et suivant prix concurrence </t>
  </si>
  <si>
    <t>18/06/2020</t>
  </si>
  <si>
    <t>michel-c-109584</t>
  </si>
  <si>
    <t xml:space="preserve">PARFAIT LES TARIFS SONT RESONNABLES ON VERRA DANS LE TEMPS COMMENT CELA CE DEROULE DONC JE CONSEILLE NIVEAU TARIF JE FAIT UNE ECONOMIE DE 30E PAR MOIS </t>
  </si>
  <si>
    <t>hassen-m-116443</t>
  </si>
  <si>
    <t>Je suis satisfait de votre service et surtout conseillère elle était super sympa hyper clair et au niveau des prix aussi correct merci et bonne journée</t>
  </si>
  <si>
    <t>draeni-58258</t>
  </si>
  <si>
    <t>Assurance habitation : couplée avec une assurance conducteur pour une personne âgée qui n'a plus de véhicule ... Produit non opportun. Déclaration à l'assurance de l'absence de véhicule avec copie de la dernière cession ... sans effet. Modification du contrat d'assurance : pas possible : compte tenu de la souplesse de la MAIF, je ne peux pas souscrire à cette politique commerciale qui consiste à ne pas tenir compte des modifications quand elles amoindrissent les prélèvements...</t>
  </si>
  <si>
    <t>hugues-a-109883</t>
  </si>
  <si>
    <t>je suis satisfaite du service proposer une assurance abordable et qui est très bien organisé
je suis ravie d'être passer chez l'olivier assurance cette année</t>
  </si>
  <si>
    <t>10/04/2021</t>
  </si>
  <si>
    <t>marie-odile-m-115230</t>
  </si>
  <si>
    <t>tres satisfaite  du prix et de la conseillère a la GMF depuis 1970 pas de problème même avec sinistres assurance auto et habitation toiture apes grêle en 1993
9</t>
  </si>
  <si>
    <t>nico-71506</t>
  </si>
  <si>
    <t>Service client SOGESSUR inexistant - prestation indigne du Groupe Société Générale
Suite au passage d'un expert en assurances à notre domicile (cambriolage), nous essayons vainement de joindre le service Sinistre de SOGESSUR afin d'obtenir le détail du remboursement effectué sur notre compte bancaire. Après une dizaine de tentatives par jour durant une semaine, ma femme et moi sommes désespérés face à une telle opacité :
 - aucun conseiller disponible sur le 09 69 36 88 36
 - aucune adresse email disponible pour effectuer une simple demande d'information
 - aucun moyen disponible pour faire une réclamation
reference sinistre : SGRX45002533</t>
  </si>
  <si>
    <t>cortina-s-124806</t>
  </si>
  <si>
    <t>Rapide et honnête avec de bons interlocuteurs à la fois sympathique et aidant, je renouvelle chez vous min second véhicule car aucuns soucis chez vous!</t>
  </si>
  <si>
    <t>tim32g-44002</t>
  </si>
  <si>
    <t>Je  suis client depuis quelques années, la gestion administrative et suivi client est quasi-inexistant ce qui engendre retards et des pénalités fiscales en ne bénéficiant pas de certains droits auxquelles nous aurions droits comme pour l'article 83. 
Très bons pour nous sollicité en vente commerciale et médiocre pour le suivi dans les faits obligé de faire leur travail en les relançant. Ils vont perdre mon portefeuille c'est sur...
Enfin à voir la l'ensemble de la notation sur cette institution il serait peut être judicieux de vous remettre en question sinon il faut croire que c'est voulu.</t>
  </si>
  <si>
    <t>30/01/2021</t>
  </si>
  <si>
    <t>pi76-64313</t>
  </si>
  <si>
    <t>Bonjour, après les violents orages, une énorme quantité d'eau a filtré de mon toit et imbibé mon plafond qui a fini par percer.. il n'y avait personne dans la pièce concernée heureusement car la moitié du plafond s'est effondré, laissant passer l'eau etc..je vous passe les détails. J'ai immédiatement appelé la maif, un couvreur pour colmater au mieux, et depuis une semaine je suis baladé des standards de la maif, au cabinet d'expert qui à ce jour a un numéro inactif, de qui se moque t'on? l'expert d'un coup n'a plus de téléphone ? bref, a part des appels sans suite, aucun expert ne s'est déplacé..On me dit me rappeler a midi, puis ce soir, puis le lendemain, et la situation risque de se dégrader vu les conditions météo.. sociétaire depuis 30 ans, j'avoue que j'envisage après ce sinistre de voir ailleurs, car ils ont toujours été très prompts pour réclamer les cotisations, mais visiblement absent en cas de sinistre. Si mon plafond s'effondre et cause des blessures je porterai plainte, car je suis indigné.</t>
  </si>
  <si>
    <t>30/05/2018</t>
  </si>
  <si>
    <t>lezere-97229</t>
  </si>
  <si>
    <t xml:space="preserve">je suis client de Direct Assurance auto depuis une vingtaine d'année et suis satisfait de leurs garantis et de leurs services.  Mais le seul reproche que je peux leur faire,(et non des moindres), porte sur leur tarifs de moins en moins concurrentiel. C'est la raison pour laquelle j'envisage de changer d'assureur. </t>
  </si>
  <si>
    <t>10/09/2020</t>
  </si>
  <si>
    <t>mathieu-paris-110585</t>
  </si>
  <si>
    <t>étant propriétaire de plusieurs logement, j'ai pu avoir à faire avec pas mal d'assurances des locataires.
Je suis assuré à la MAAF depuis des années. Ils sont disponibles, réactifs, et ils payent rapidement.
je ne peux que les recommander à 100 %</t>
  </si>
  <si>
    <t>16/04/2021</t>
  </si>
  <si>
    <t>jbb-69904</t>
  </si>
  <si>
    <t>J'ai subi 2 dégâts des eaux non responsable. La maif refuse de rembourser la totalité du faible montant de la peinture 836 euros et la franchise qu'elle devait récupérer. Le directeur na pas répondu a ma LRAR du 2 décembre 2018</t>
  </si>
  <si>
    <t>04/01/2019</t>
  </si>
  <si>
    <t>renaudier-l-128779</t>
  </si>
  <si>
    <t>Finalement le prix par mois est sans compter l'acompte que l'ont doit verser et qui n'ai pas spécifié correctement au départ, ce qui est dommage car le prix est très attractif pourtant</t>
  </si>
  <si>
    <t>20/08/2021</t>
  </si>
  <si>
    <t>jules-68443</t>
  </si>
  <si>
    <t>Bonjour, Après une 3ème relance pour une révision de mon contrat vous me répondez :Sachant que je suis en invalidité et toujours salarié" après examen CNP maintien sa décision de refus.</t>
  </si>
  <si>
    <t>julienloz-113531</t>
  </si>
  <si>
    <t>a fuir !!!!!!!!!!!!!!!!!!!!!!!!!
J'ai appelé pour un renseignement (a savoir si je pouvais prendre des clients pour les amener en visite dans le cadre de ma profession immobilière, chose que je n'ai jamais fait)... On m'a dit que j'avais pas le droit, donc ok, bête et discipliné je ne le ferais pas. Mais on m'a résilié pour "aggravation des risques".
Me voila sans assurance, et embêté pour en retrouver une autre.. quand t'es résilié comme ça, c'est plus compliqué.
Une fois le truc lancé ils ne peuvent revenir en arrière, et ne veulent rien entendre.</t>
  </si>
  <si>
    <t>12/05/2021</t>
  </si>
  <si>
    <t>vincent-50203</t>
  </si>
  <si>
    <t>GRAVE MANQUEMENT au devoir d'information ! j avais à peine  souscrit  à cette complémentaire, dans le cadre de mon entreprise, que je me suis suis vu prélevé des sommes au titre des cotisations ...n'ayant pas été avertie, les sommes  prélevées   ont conduit à des agios et à des problèmes de budget non négligeables ; 
j ai téléphoné pour faire part de mon mécontentement et demander la résiliation du contrat ...las il faut attendre un an (?)</t>
  </si>
  <si>
    <t>13/12/2016</t>
  </si>
  <si>
    <t>andie-101916</t>
  </si>
  <si>
    <t>Très bon accueil a l agence de Dax et les conseils sont adaptés, pertinents et judicieux. Intervention chaleureuse, rapide et efficace. Personnel attentif et à l écoute. Merci encore</t>
  </si>
  <si>
    <t>28/12/2020</t>
  </si>
  <si>
    <t>slingue-d-128160</t>
  </si>
  <si>
    <t xml:space="preserve">Je suis satisfait merci. Par l'historique par le présent et par le futur encourageant. je suis par contre dans l'incompréhension de ne pas pourvoir mettre des étoiles en cochant dessus??
voilà j'espère que chacun va bien.
cordialement Dominique Slingue  </t>
  </si>
  <si>
    <t>16/08/2021</t>
  </si>
  <si>
    <t>karine35-75720</t>
  </si>
  <si>
    <t xml:space="preserve">Tres bonne assurance
Ils savent prendre en charge le client dans les mauvais moment.
A partir du moment ou ils ont toutes les information incident passer ils font leurs travail  et vous avez des nouvelle une foii que tous est ok </t>
  </si>
  <si>
    <t>06/04/2020</t>
  </si>
  <si>
    <t>kate-70140</t>
  </si>
  <si>
    <t>très bon service remboursement rapide bon rapport téléphonique avec les clients très bonne assurance pour voiture maison et santé très satisfait</t>
  </si>
  <si>
    <t>malik123-81632</t>
  </si>
  <si>
    <t>J'ai pris une assurance provisoire pour mon véhicule et quand j'ai eu l'interlocuteur de l'olivier, il voulais absolument signé mon contrat, il m'a dit que si mes documents ne sont pas enregistrés avant la fin du mois, mon contrat sera résilier et du coup j'ai vendu ma voiture, il me mette en procédure d'huissier, franchement ils sont pas chères, mais je vous déconseille de vous assurez chez eux.</t>
  </si>
  <si>
    <t>philippe-c-134220</t>
  </si>
  <si>
    <t>Pour le moment je suis satisfait du service, à voir avec le temps et en cas de sinistre.
Souscription simple et rapide et prix intéressant.
Tout est clair.</t>
  </si>
  <si>
    <t>23/09/2021</t>
  </si>
  <si>
    <t>amon160-69317</t>
  </si>
  <si>
    <t>Assuré au tiers +. J'ai été victime d'un accident avec un tiers, j'ai été déclaré non responsable de cet accident. Et je suis laissé à l'abandon car je n'ai plus de nouvelles depuis 2 mois.</t>
  </si>
  <si>
    <t>11/12/2018</t>
  </si>
  <si>
    <t>michel-107783</t>
  </si>
  <si>
    <t>L'Olivier
la facilité d'obtenir un devis
la rapidité de votre conseiller à conseiller et confirmer le devis et le paiement en un fois
avec vos conseillers  on a échangé par téléphone et j'ai bien reçu les mails 
Espace perso simple d'utilisation et fluide
je les recommande</t>
  </si>
  <si>
    <t>chalet-p-125804</t>
  </si>
  <si>
    <t xml:space="preserve">Correct au niveau tarif mais impossible de changer franchise pour bris de glaces il faudrait voir à modifier cela auprès de votre direction et après cela se sera bon </t>
  </si>
  <si>
    <t>spetebroot-o-109559</t>
  </si>
  <si>
    <t>Tarifs corrects,facilité d'adhésion via le site.je communiquerai sur ma satisfaction des services proposés lorsque je ferai appel a eux lors d'un éventuel sinistre .</t>
  </si>
  <si>
    <t>valou1976-79209</t>
  </si>
  <si>
    <t xml:space="preserve">J'au un dégâts des eaux dans ma maison je suis assurée à la Macif qui sous traite une partie à IMH HABITATION autant dire que depuis plus D'un mois que le dossier est ouvert aucune nouvelle je suis obligé de me battre non seulement pour avoir quelqu'un au téléphone et après pour le faire dire qu'ils ne géreront pas mon problème 
En tout cas pour payer les cotisations la par contre il n'y a pas de problème </t>
  </si>
  <si>
    <t>15/09/2019</t>
  </si>
  <si>
    <t>alan-102790</t>
  </si>
  <si>
    <t xml:space="preserve">Disponibilité des conseillés de clientele : O.K 
Prix de l'assurance " tout risque sans franchise " . K.M illimités . Prix imbattable .
Evaluation des risques : O.K 
Intervention sinistre : O.K 
Montant des remboursements : O.K 
Conseils : O.K
Relationnel : O.K
Liberté de faire réparer dans le garage de son choix : O.K </t>
  </si>
  <si>
    <t>19/01/2021</t>
  </si>
  <si>
    <t>steflo-130124</t>
  </si>
  <si>
    <t>Je suis satisfaite du service; 
J'aurai aimé réduire un peu les frais d'assurance en vue de notre fidélité. 
Comme je suis sourde, j'aimerai savoir si vous avez mis en place une accessibilité en LSF ? 
Vous remerciant par avance de votre réponse. 
Cordialement Mme Rabuel Plantin Florence</t>
  </si>
  <si>
    <t>30/08/2021</t>
  </si>
  <si>
    <t>delphine1309-57066</t>
  </si>
  <si>
    <t>service client aucunement a l ecoute. un accident debut juin toujours pas resolu sans aucune implication de DA. je dois moi-même contacter les experts er garage si je veux que mon dossier avance.....</t>
  </si>
  <si>
    <t>03/09/2017</t>
  </si>
  <si>
    <t>fred-55292</t>
  </si>
  <si>
    <t>Cette assurance déploie tout ses moyens financiers et contractuel afin d'éviter de prendre en charge votre véhicule. Ils feront tout pour en faire le moins possible. Rapatriement au garage le plus pourri (proche) de chez vous si vous n'expliquez pas pendant 3 heures que votre véhicule doit aller à la concession de sa marque !</t>
  </si>
  <si>
    <t>12/06/2017</t>
  </si>
  <si>
    <t>heng-l-138564</t>
  </si>
  <si>
    <t>Service de souscription en ligne simple et rapide. Réponses claires et complètes à mes questions. Conseils et propositions adaptés à mes attentes, merci.</t>
  </si>
  <si>
    <t>yohan-b-113041</t>
  </si>
  <si>
    <t xml:space="preserve">je suis très satisfait de la prestation .
notre interlocuteur est patient, sympathique, de bons conseils et très professionnel .
merci , je recommande vivement .
</t>
  </si>
  <si>
    <t>mahieu-l-127255</t>
  </si>
  <si>
    <t xml:space="preserve">Je suis satisfait de mon contrat d'assurance qui m'a pris 5 minutes à faire, et très simple à remplir même pour signer les documents et du niveau prix et je la recommande </t>
  </si>
  <si>
    <t>maverick78-51510</t>
  </si>
  <si>
    <t>client depuis 4 ans. Assurance tous risques. Un sinistre en 2016 100% sans responsabilite, augmentation de 128,45 euro!!  Bravo Direct Assurance!! je vais surement resilier</t>
  </si>
  <si>
    <t>20/01/2017</t>
  </si>
  <si>
    <t>yvan-g-116163</t>
  </si>
  <si>
    <t>Je suis satisfait de ce service
Souscription en ligne simple et rapide
Un moyen d etre assurer dans la minute 
Je suis ravi je possède deja 2 contrats</t>
  </si>
  <si>
    <t>07/06/2021</t>
  </si>
  <si>
    <t>momo-77065</t>
  </si>
  <si>
    <t>Franchement déçu des remboursements malgré un contrat assez élevé 
Et quand on va en agence on a l'impression qu'on la fait ch!;*r...</t>
  </si>
  <si>
    <t>laetitia-123037</t>
  </si>
  <si>
    <t xml:space="preserve">J’estime qu’au bout d’x années de cotisation à 0.50, celui devrait être définitivement acquis comme cela se fait dans beaucoup d’assurances. Je compte d’ailleurs en changer </t>
  </si>
  <si>
    <t>guitout-62517</t>
  </si>
  <si>
    <t>Suite à une demande de devis; J'ai moins d'1 an de permis, mon véhicule n'est pas assuré depuis 3 mois car en réparation dans le garage personnel de mon voisin, j'étais assuré en conducteur secondaire sur un autre véhicule depuis 5 mois. Mon B/M est donc de 1. Devis Formule intermédiaire à 686€. Intéressant donc, mais... après contact téléphonique on me dit que je n'ai pas coché les bonnes cases!!! Véhicule non assuré depuis 3 mois donc ne peut être assuré qu'en Formule tiers!!! En plus cela entraîne des pénalités sur la cotisation... on arrive à 1040€ + 52% et en Formule tiers seulement!!! TARIF EXPONENTIEL!!! Ils font pas mal de pub à la télé, difficile de l'assumer financièrement, sans doute.
Non, ce n'est PAS SERIEUX. A FUIR ABSOLUMENT !</t>
  </si>
  <si>
    <t>spairon-66181</t>
  </si>
  <si>
    <t>Nous avons notre assurance automobile à l'agence AXA de Lille. Depuis le mois de mai, nous essayons de résilier notre assurance car nous avons trouvé un meilleur tarif pour les mêmes garanties.
Nous avons fait envoyer par notre nouvel assureur un recommandé à l'agence centrale (adresse postale indiquée sur nos papiers d'assurance). Notre assurance n'a pas été résiliée car le courrier n'était pas adressé à l'agence de Lille (il faut croire que l'agence centrale ne communique pas avec l'agence de Lille).
Nous avons donc refait une demande nous-mêmes par recommandé à l'agence de Lille. Le directeur de l'agence n'est pas allé chercher le recommandé et donc n'a pas résilié le contrat.
Nous avons à nouveau fait une demande poliment par mail, en scannant notre recommandé et en demandant le remboursement des traites payées à tort. Nous avons reçu une réponse du directeur par mail "Nécessaire fait" (pas de "Bonjour" évidemment). Les traites ont été remboursées.
Surprise, le mois suivant nous avons été à nouveau prélevés sur notre compte de l'assurance. Et cette fois-ci, aucune réponse à nos mails.
Jusqu'à maintenant, nous n'avions eu aucun problème avec AXA. Je trouve regrettable cette opposition à résilier notre contrat, surtout que nous sommes dans notre droit. Pas certaine que l'on puisse en dire autant de leur part.
J'ai refait une dernière tentative par téléphone aujourd'hui. Trop occupés, ils doivent me recontacter ce jour. Si cela n'est pas fait et que la situation perdure, nous serons dans l'obligation d'entamer des démarches judiciaires pour clore notre contrat, avoir un remboursement de nos traites et demander des dédommagements financiers.</t>
  </si>
  <si>
    <t>14/08/2018</t>
  </si>
  <si>
    <t>celine29-78351</t>
  </si>
  <si>
    <t>Harmonie mutuelle ne me rembourse pas..........................................................</t>
  </si>
  <si>
    <t>11/08/2019</t>
  </si>
  <si>
    <t>celine-d-130055</t>
  </si>
  <si>
    <t>PRIX TRES ATTRACTIFS ET COMPETITIFS; PLATEFORME INTERNET TRES INTUITIVE ET ERGONOMIQUE. JE SUIS TRES SATISFAITE DE LEUR SERVICE. TRES SIMPLE D'UTILISATION</t>
  </si>
  <si>
    <t>acdj-76516</t>
  </si>
  <si>
    <t>J'ai trouvé cet assureur sur internet pour assurer le premier véhicule de ma fille. J'ai fourni tous les documents demandés dont photocopie du permis provisoire et du coupon de la carte grise. Voyant  arriver la date fatidique du mois durant lequel l'attestation d'assurance est provisoire je décide d'appeler le numéro surtaxer pour les prévenir que les documents définitifs (permis et carte grise) ont du retard et que je ne pourrai pas les envoyer à temps. La personne au bout du fil semble très compréhensive et me dit qu'il n'y a pas de problème, je lui demande encore une fois s'il n'y a pas risque de résiliation et la réponse est très rassurante.
Ayant enfin reçu le précieux permis définitif je souhaite me connecter sur mon compte client pour envoyer une copie : impossible.
Je les appelle donc une nouvelle fois sur le numéro surtaxé pour m"entendre dire que l'assurance a été résiliée après un mois car tous les documents n'ont pas été envoyés.
Ma fille a donc roulé pratiquement 2 semaines sans assurance car elle n'a jamais été prévenue de la résiliation. Je ne trouve pas les mots pour dire l'irresponsabilité   dont fait preuve cette assurance. J'assimile ça à de la mise en danger d'autrui.
Ce qui devait être une économie sur une première assurance se transforme en cauchemar...
Numéro client 381162</t>
  </si>
  <si>
    <t>05/06/2019</t>
  </si>
  <si>
    <t>foutel-r-135906</t>
  </si>
  <si>
    <t>au top, rapide et efficace ! en espérant moins payer l'an prochain. 
le service client est également réactif ce qui permet une souscription optimal e.</t>
  </si>
  <si>
    <t>boulangier-m-139657</t>
  </si>
  <si>
    <t>Je suis tout à fait satisfaite du service et du professionnalisme de mon interlocuteur. De plus les conditions et les prix sont conforment à mes attentes</t>
  </si>
  <si>
    <t>15/11/2021</t>
  </si>
  <si>
    <t>lgtz-69888</t>
  </si>
  <si>
    <t>ATTENTION: courtier qui vous font signer à un prix puis tarif plus élevé sur le contrat (2 augmentations injustifiées). Aucune solution proposée. A éviter</t>
  </si>
  <si>
    <t>bagzou-52316</t>
  </si>
  <si>
    <t>Paient quand bon leur semble et surtout sans en tenir informé l'assuré</t>
  </si>
  <si>
    <t>11/02/2017</t>
  </si>
  <si>
    <t>barbosa-f-112148</t>
  </si>
  <si>
    <t xml:space="preserve">L'offre que j'ai obtenue était claire et facile à comprendre.
Les packs en option sont bien constitués.
Assistance 0 km + Garantie conducteur étendue cumulées, c'est parfait. 
</t>
  </si>
  <si>
    <t>neyroud-d-112249</t>
  </si>
  <si>
    <t>Très satisfait de l'échange téléphonique.les prix sont raisonnables et contrat très simple à comprendre a effet immédiat je recommande vivement l'olivier assurance.</t>
  </si>
  <si>
    <t>30/04/2021</t>
  </si>
  <si>
    <t>biehler-104854</t>
  </si>
  <si>
    <t xml:space="preserve">Pratiques que je trouve douteuse. Elle fait tout pour ne pas me rembourser même si je suis dans mon droit. La macif prefera un procès plutôt que de jouer son rôle. Elle ne vous conseillera jamais dans votre intérêt. Petite précision le service Réclamation n est joingnable que par écrit ! Cela démontre bien l attention qu elle porte envers leurs sociétaires... pire elle efface et bloque les commentaires qui la dérange sur les réseaux... Bravo bel esprit societaire... après 20 ans je dis au revoir </t>
  </si>
  <si>
    <t>26/02/2021</t>
  </si>
  <si>
    <t>joe06-98264</t>
  </si>
  <si>
    <t xml:space="preserve">Problème sur problème. Erreur sur erreur. Prix, non conformité du contrat. Revaluation des tarif à leur guise. Ne jamais souscrire chez eux...............             </t>
  </si>
  <si>
    <t>02/10/2020</t>
  </si>
  <si>
    <t>francois-m-130734</t>
  </si>
  <si>
    <t>je suis satisfait du service les prix me conviennent tres bien la lecture des devis est facile et claire et les possibilités de reglement bien equilibrés</t>
  </si>
  <si>
    <t>neant-125846</t>
  </si>
  <si>
    <t xml:space="preserve">bonjour;
En ce qui concerne la GMF je suis assuré pour trois véhicules et une assurance responsabilité habitation ainsi qu'une protection juridique !
je vais aller à la concurrence car je suis très mécontent pour les raisons suivantes ;
sinistre non responsable suite à un accident depuis le 9/07/2017 non réglée à ce jour en raison de la somme dérisoire proposée! n'étant pas indemnisé à la juste valeur !déjà 4 ans au lieu de huits mois selon mon contrat 
Et j'en passe !!!
salutations!
</t>
  </si>
  <si>
    <t>rodo7070-88485</t>
  </si>
  <si>
    <t>assurais en tous risques et 3 mois après un sinistre non responsable et toujours de règlement. tout est prétexte pour ne pas vous indemniser !
lamentable a fuire !! c'est meme pas les moins cher</t>
  </si>
  <si>
    <t>23/03/2020</t>
  </si>
  <si>
    <t>plombar-110688</t>
  </si>
  <si>
    <t>Depuis 40 ans de moto je peux vous dire que j'ai eu beaucoup de chance, pas pour mon père  qui lui est parti!!!!  à mobylette à 35 ans moi j'avais 5 ans inutile de vous dire que par la suite ma mère pendant toute ma jeunesse interdit de vélo et  autre. Je me suis vengé car dé que j'ai pu passé mes permis, toute ma vie j'ai eu pas mal de motos à bientôt 70 ans j'en fais encore  .J'ai venger mon père .Pour revenir aux assurances j'en connais un rayon et je peux dire avec AMV j'en ai fait des bornes  c'est une bonne assurance pour la simplicité rapidité et les tarifs.
A tous les motards bonnes routes, protéger vous et rouler cool.
Le vieux motard que jamais.</t>
  </si>
  <si>
    <t>enmarche-53819</t>
  </si>
  <si>
    <t>Aucune écoute de la part du client. Sourde oreille au téléphone et au courrier.</t>
  </si>
  <si>
    <t>annick-96902</t>
  </si>
  <si>
    <t>Membre du conseil syndical d'un immeuble parisien assuré chez AXA depuis de nombreuses années, nous avons été victimes d'un incendie dans la rue en février 2019 et nous avons à l'heure actuelle reçu une proposition d'indemnisation qui n'est pas satisfaisante. 
Le montant des devis que nous avons présentés a été largement minoré (il ne s'agit pas d'une minoration due à la vétusté), et il y a une erreur sur la prise en compte d'un devis, mais le syndic nous dit qu'Axa refuse de la rectifier.
En outre, l'expert qui avait été mandaté avait dit qu'il faudrait rajouter un nettoyage des parties métalliques (balcons et jardinet) en raison du problème spécifique de la suie. Il devait envoyer une entreprise spécialisée pour un devis. Cela n'a jamais été fait.
Bref, les cotisations sont chères et on est très mal indemnisé ! A fuir !</t>
  </si>
  <si>
    <t>sebastien51-53958</t>
  </si>
  <si>
    <t>Suite à Sinistre avec assurance propriétaire non occupant l expert de la Matmut venant sur place et faisant preuve de mauvaise fois je conteste expertise. Le nouvel expert confirmé un dégât des eaux contrairement au premier expert Matmut incompétent mais la Matmut me propose 300 euro d indemnisation alors qu il y en a pour plusieurs milliers d euro!!! Je vais voir un avocat semaine prochaine. Assureur a fuir car de mauvaise foi et n applique pas les garanties du contrat.</t>
  </si>
  <si>
    <t>09/04/2017</t>
  </si>
  <si>
    <t>berny-137321</t>
  </si>
  <si>
    <t>Besoin d'un renseignement j'ai été servi par  Khadidiatou..très aimable et à l'écoute .je suis très satisfait du service..merci  beaucoup meilleures salutations</t>
  </si>
  <si>
    <t>rbah-80851</t>
  </si>
  <si>
    <t xml:space="preserve">Pas recommendable comme assirrance. Vraiment pas à la hauteur. Allez chez les concurrents au moins vous serez écoutés un minimum. </t>
  </si>
  <si>
    <t>08/11/2019</t>
  </si>
  <si>
    <t>kiwi-58684</t>
  </si>
  <si>
    <t xml:space="preserve">J'ai souscrit une assurance a la Cegema, assurance qui pose divers problèmes de résiliation (suite a plusieurs litiges). Les documents demandé ont été envoyé a Cegema qui refuse de les prendre en compte, après plusieurs courriers manuscrit leur stipulant les lois relatives sur la résiliation en France ils font la sourde oreille et ignorent ces documents. En litige avec la Cegema depuis 6 mois, je ne sais plus comment faire avec eux. Je déconseille fortement de faire appel a cette structure d'assurance ! </t>
  </si>
  <si>
    <t>08/11/2017</t>
  </si>
  <si>
    <t>reignier-n-136821</t>
  </si>
  <si>
    <t>Ce que je trouve un peu dérangeant c'est que on est obligé de payer la totalité pour l'année au lieu de nous faire une mensualité par mois tout le monde ne peut pas se permettre de payer Sam enfin bref</t>
  </si>
  <si>
    <t>09/10/2021</t>
  </si>
  <si>
    <t>jarou-71545</t>
  </si>
  <si>
    <t>Nul, NUL</t>
  </si>
  <si>
    <t>21/02/2019</t>
  </si>
  <si>
    <t>roger1980-90923</t>
  </si>
  <si>
    <t xml:space="preserve">Demande de devis rapide et efficace. Vous serez surement ma prochaine assurance.
Les franchises sont conséquentes mais il faut savoir ce que l'on veut. </t>
  </si>
  <si>
    <t>genevieve-d-105794</t>
  </si>
  <si>
    <t>Je note une augmentation de 6 %  sur l'an passé. C'est beaucoup. Quelle est la justification de cette augmentation  (voiture inchangée, aucun sinistre enregistré)</t>
  </si>
  <si>
    <t>kriscabale-110321</t>
  </si>
  <si>
    <t>j ai une assurance vie retraite : palissandre chez eux , et j'ai le même type d'assurance chez 3 assureurs différents là ou les autres assureurs mettent moins d'un mois pour effectuer un rachat eux mettent un peu plus de 3 mois. sans parler des difficultés pour les joindre, temps d'attente téléphonique pouvant allez jusqu'à plus d'une demi heure et sans pouvoir les avoir j ai du rappeler!!! la banque quand à elle n'y connait rien donc pas la peine de leur demander quoi que ce soit à proscrire absolument je vais évidemment demander les intérêts pour le retard de paiement</t>
  </si>
  <si>
    <t>nahnah-63166</t>
  </si>
  <si>
    <t>Voilà 1 an que je tente de la resiliation d un contrat pris pour l un de mes salariés et rien à faire malgré la démission de celui ci depuis plus d an je paie encore</t>
  </si>
  <si>
    <t>30/09/2018</t>
  </si>
  <si>
    <t>fangalizea-111376</t>
  </si>
  <si>
    <t>Grand professionnalisme et une réaction précise, réactive et de très bons conseils.
Je suis certain de conserver à l'avenir cet assureur car rare et exemplaire.</t>
  </si>
  <si>
    <t>lolo91-53336</t>
  </si>
  <si>
    <t>Depuis 25 ans a la MACIF je n'ai rien a redire.Pour moi c'est la meilleur assurance.Chaque sinistre a été traité sans aucun problème. Très réactif et très professionnelle comme ont en attend d'une mutuelle.</t>
  </si>
  <si>
    <t>17/03/2017</t>
  </si>
  <si>
    <t>ginger-79801</t>
  </si>
  <si>
    <t xml:space="preserve">Ils me virent au bout de 2 ans avec un bonus maximum et aucun accident responsable. </t>
  </si>
  <si>
    <t>08/10/2019</t>
  </si>
  <si>
    <t>yannick-102363</t>
  </si>
  <si>
    <t xml:space="preserve">Suite à mon appel téléphonique, le conseiller m’a très bien aidé et renseigner pour la création de mon compte personnel et un remboursement. 
Très efficace. </t>
  </si>
  <si>
    <t>08/01/2021</t>
  </si>
  <si>
    <t>pp92-69983</t>
  </si>
  <si>
    <t>Notre cotisation d'assur O'Poil (assurance pour animaux) a augmenté de 17 euros à 28 euros sans avis préalable. Nous n'avons reçu aucun mail ni courrier concernant cette augmentation de cotisation. Visiblement nous ne sommes pas les seuls dans ce cas. Assu O'Poil nous assure (mais oui!) qu'il ont envoyé ce mail que nous n'avons pas reçu et donc qu'il n'accepte pas de résilier le contrat.
Le tchat sur leur site est uniquement dédié à la vente et les avis sur trustpilot ne sont pas fiables car impossible de poster un avis défavorable. Comportement pour le moins douteux. A éviter.</t>
  </si>
  <si>
    <t>07/01/2019</t>
  </si>
  <si>
    <t>toto-69889</t>
  </si>
  <si>
    <t xml:space="preserve">Mutuel qui méprise ses adhérent j'ai résilier le 06.12.2019 par courrier recommandé et le 07.02.2020 par recommandé lois CHATEL car mon contrat a été reconduit sans que je soit informé de sa tacite reconduction et ma possibilité de changer de mutuel au 15.10.2019. Aujourd'hui je reçois des menaces de la part de cette mutuel et on me rembourse mes soins alors que ma demande est simple résilier mon contrat.  </t>
  </si>
  <si>
    <t>25/02/2020</t>
  </si>
  <si>
    <t>gerard-k-113078</t>
  </si>
  <si>
    <t xml:space="preserve">Très bon rapport qualité-prix. Je souhaitais opter pour ma assurance habituelle mais sur les conseils de Lys moto qui me vend mon véhicule, je suis allé faire u' devis qui s'avère être plus intéressant que mon précèdent assureur. </t>
  </si>
  <si>
    <t>sandra-59423</t>
  </si>
  <si>
    <t>je verrais l'année prochaine car en ayant un bonus de 50% depuis 4 ans ;j'ai remarqué que d'autre assurances sont moins chere avec les meme garanties(comparateur assurland)</t>
  </si>
  <si>
    <t>ffario-102943</t>
  </si>
  <si>
    <t xml:space="preserve">Client depuis de nombreuse années, je suis très satisfait de la tarification qui tient compte par exemple de la situation sanitaire en pratiquant une réduction de la prime d'assurance.
</t>
  </si>
  <si>
    <t>20/01/2021</t>
  </si>
  <si>
    <t>dodie1-77141</t>
  </si>
  <si>
    <t>AFER  : on vous prend votre argent de votre plein gré. Pour vous le rendre par contre, quand vous demanderez un rachat total, l'AFER est aux abonnés absents !!! Aucune réponse à mes courriers recommandés avec accusé de réception, délai légal de deux mois non respecté, au téléphone à ce fameux numéro parisien on vous laisse en attente pour finalement vous raccrocher au nez, on vous dit pour toute réponse quand vous rappelez X fois et que vous finissez par tomber sur un standardiste : "patientez" "patientez vous allez recevoir un règlement". Sachez, épargnants petits ou gros, que la seule solution avec cet organisme, c'est de vous déplacer à Paris, 36 rue de Chateaudun. C'est un comble au 21e siècle !!!</t>
  </si>
  <si>
    <t>26/06/2019</t>
  </si>
  <si>
    <t>rodrigues-j-127972</t>
  </si>
  <si>
    <t>Satisfait pour le moment mais vu que je n'ai pas eu encore a devoir utiliser vos services dans le cadre d'un sinistre on verra sur le temps , cordialement</t>
  </si>
  <si>
    <t>fabrice-49996</t>
  </si>
  <si>
    <t>c'est pas mal et simple pour s'assurer chez eux , mais ..... il faut ajouter des options pour bien faire , chose que les autres assureurs en générale inclus en tout risque , je suis assuré tout risque pour ma moto , et un jour j'ai eu une crevaison en rase campagne , j'appelle l'assistance et j'apprends que je n'ai pas d'assistance dépannage . surpris , je me débrouille comme je peux pour renter chez moi et je regarde sur le site , oui c'est une option l'assistance , même en tout risque , tout comme les accessoires sur la moto  , les vêtements , casque , etc qui font partis d'une option supplémentaire . au final , si on s'assure tout risque sans option , le prix est bien placé mas si on rajoute les options , ça devient une assurance cher !!! par contre suite à un accident sans tiers identifié qui a fait tomber ma moto , l'assurance a bien fait le boulot , rapide et efficace .</t>
  </si>
  <si>
    <t>07/12/2016</t>
  </si>
  <si>
    <t>trick-99490</t>
  </si>
  <si>
    <t>Si j’avais pu mettre 0 , je l’aurais fait. En effet je viens de recevoir un avis unilatéral de résiliation de contrat habitation !! sous prétexte du nombre trop important de sinistres alors que je n’ai jamais été responsable. Il s’agit de camions qui percutent ma gouttière car ils sont trop gros et de plus, ils n’ont pas le droit de prendre cette rue, et dans la plupart du temps, ils sont identifiés et c’est donc l’assurance adverse qui règle le sinistre. Bravo à Groupama....</t>
  </si>
  <si>
    <t>philippe-m-106698</t>
  </si>
  <si>
    <t>Le site est plutôt bien conçu mais des problèmes se posent lorsqu'il s'agit de modifier des infos sur le conducteur principal et secondaire (pour ne citer que ça) De plus, aucun numéro de téléphone n'est proposé afin de souscrire par ce moyen. Résultat : DEUX HEURES  passées pour assurer un véhicule et encore il manque des informations. Au passage, je tiens à préciser que j'ai téléphoné au numéro proposé en cas de sinistre en désespoir de cause et que la personne a qui j'ai expliqué mon souci ne m'a pas été d'un grand soutien. BEAUCOUP DE PARAMETRES A REVOIR.</t>
  </si>
  <si>
    <t>philippe-d-107064</t>
  </si>
  <si>
    <t>Je suis satisfait du service et du prix dommage que le délai soit aussi long pour obtenir un bonus acceptable bonne qualité de votre assistance téléphonique</t>
  </si>
  <si>
    <t>andres-dominguez--102414</t>
  </si>
  <si>
    <t xml:space="preserve">A fuir fuir fuir il ne faut surtout pas être malade car ils feront en sorte de pas payer ou vous relanceront sans arrêt malgré l’envoie des documents en prétextant qu’ils examinent le dossier qu’ils ont déjà examinés 50 fois et les documents qu’ils ont reçu en triple qu’ils perdent ou ne voient pas je ne sais pas comment ils travaillent mais ils doivent pas être au 21 siècles ça c’est sûr marié au LCL donc ne leur demander  surtout rien la réponse est non ou alors ils feront en sorte de laisser traîner le dossier .si je pouvais mettre zéro étoile je le ferais </t>
  </si>
  <si>
    <t>10/01/2021</t>
  </si>
  <si>
    <t>fifi17-81588</t>
  </si>
  <si>
    <t>bonjour
futur client chez NEOLIANE , mon contact tél. avec  Emeline a été trés agréable avec des explications claires er précises.Cet accueil laisse présentir de bonnes relations.
cordialement</t>
  </si>
  <si>
    <t>jean-paul-j-124176</t>
  </si>
  <si>
    <t>Bien jusqu'à présent ! la souscription est facile même pour les néophytes !
J'espère qu'en cas de problème vous serez aussi performants ?
Je ne manquerai pas d'en faire part à ceux qui ont un scooter à assurer !</t>
  </si>
  <si>
    <t>polla-l-124469</t>
  </si>
  <si>
    <t>Je suis très satisfait du service et du prix je recommande  cette assurance  j'espère dans l'avenir que je pourrai toujours en dire du bien merci encore</t>
  </si>
  <si>
    <t>23/07/2021</t>
  </si>
  <si>
    <t>theo-f-109940</t>
  </si>
  <si>
    <t xml:space="preserve">Le service est claire et concis, mais le prix est trop élevé pour jeune conducteur malgré qu'il soit plus bas que la concurrence. En attendant de voir le SAV. </t>
  </si>
  <si>
    <t>balain-49966</t>
  </si>
  <si>
    <t>assurance 2 conducteurs pour une moto</t>
  </si>
  <si>
    <t>jacques-b-130675</t>
  </si>
  <si>
    <t xml:space="preserve">Prix correct et franchises correctes comparé à mon ancienne assurance.
Je suis très satisfait, merci direct assurance pour vos tarifs et vos contrats bien aménagé à chacun de nous </t>
  </si>
  <si>
    <t>jean-louis-m-105370</t>
  </si>
  <si>
    <t xml:space="preserve">les tarifs proposés et les conditions me conviennent parfaitement.  l'accueil et les conseils de l'interlocuteur ont été très clairs et très précis.  </t>
  </si>
  <si>
    <t>laurent-d-109884</t>
  </si>
  <si>
    <t xml:space="preserve">satisfaite pour le moment à voir dans le temps, juste un peu compliqué pour qu'ils prennent les documents en compte rapidement. peux être reprendre un avis au bout d'un an pour voir si cela reste positif!! </t>
  </si>
  <si>
    <t>jean-pierre-d-126987</t>
  </si>
  <si>
    <t>Je suis satisfait du devis rapide et des explications claires. L'accompagnent pour souscrire l'assurance du vehicule en question permet d'utiliser le vehicule en toute securite</t>
  </si>
  <si>
    <t>patel-53344</t>
  </si>
  <si>
    <t xml:space="preserve">A FUIRE!! A FUIRE!! A FUIRE!! A FUIRE!! A FUIRE!!
TARIFS EXHORBITANTS! 
On est HARCELES de mails (j'ai parfois reçu plus de 10 mails en moins de 5 minutes). De plus, j'ai renvoyé l'ensemble des documents demandés sur le devis. J'ai payé les deux mois de carte verte provisoire. On m'a plusieurs fois redemandé les documents...pour enfin résilier mon contrat pour "n'avoir pas renvoyé les documents"...alors que c'était fait!
De plus, 69 euros de frais de résiliation!!!
</t>
  </si>
  <si>
    <t>sebus31-69797</t>
  </si>
  <si>
    <t>Client fidèle depuis longtemps de la MAIF je me suis toujours dit que malgré le fait que je paye plus chère que la moyenne des concurrents j'etais sur que le jour ou j'en aurais besoin ils seraient à la hauteur malheureusement je me suis lourdement trompé j'ai ma maison qui a fissurée lors d'une sécheresse la commune a été déclarée en état de catastrophe naturelle mon dégat à donc été prit  en charge après ma declaration j'ai des fissures sur plusieurs murs exterieur et à l'intérieur aussi du carrelage à sauté l'expert n'a fait aucune étude geotechnique il me propose seulement de recouvrir l'enduit actuel par un revetement étanche et elastique après avoir ouvert et rebouché les fissures. Mon enduit est récent et m'a couté très cher.
Ce revetement ne me convient pas car il est inesthetique et ferait perdre de la valeur à ma maison il n'aurait que pour seule utilité d'etre elastique et donc de cacher les futures fissures un cache misere en sorte il refuse de mettre un enduit traditionnel en me disant que la maison ne sera plus garantie je n'ai donc aucune solution alors obligé de prendre un expert d'assuré et en plus au départ ils m'avaient dit qu'ils me verseraient 90 pourcent de la somme des travaux et maintenant ils me disent de payer 1500 euros et j'aurais l'argent pour les travaux dans seulement 24 mois Je suis vraiment dégouté et j'en peux plus de voir leurs pub mensongères assureurs MILITANTS Ils militent que pour eux</t>
  </si>
  <si>
    <t>solange--102226</t>
  </si>
  <si>
    <t>MUTUELLE CHERE  - OCTOBRE 2020 -  OCTOBRE 2021 J AI EU UNE AUGMENTATION DE 22.25 EUROS  EN UN MOIS (pour un an 267 euros de plus ) POURQUOI RESTER ..... JE SUIS ADHERENT DEPUIS 49 ANS AVEC UN CAPITAL DECES COMPLEMENTAIRE SI JE PARS, JE PERDS TOUT - MUTUELLE INTERESSANTE POUR LES JEUNES(et encore à voir) MAIS PAS SI VOUS ETES AGES. JE NE COMPREND PAS POURQUOI D 'AILLEURS, TRES SOUVENT AVEC UN ALD ET MEME PLUSIEURS DONC REMBOURSEMENT A 100 %,  LA MUTUELLE N INTERVIENT PAS -   PARCONTRE LES COTISATIONS AUGMENTENT.</t>
  </si>
  <si>
    <t>david-b-105719</t>
  </si>
  <si>
    <t>Cotisation qui augment d'année en année sans avoir eu un quelconque sinistre depuis 6 ans. Je ne comprends pas pourquoi je paie une blinde pour des garanties minimales.</t>
  </si>
  <si>
    <t>dominique-l-111903</t>
  </si>
  <si>
    <t>Très satisfait pour souscrire un contract assurance auto au téléphone; reste que l'appel est long, mais plus de rdv, plus de déplacement, merci au forfait illimité.</t>
  </si>
  <si>
    <t>david-133285</t>
  </si>
  <si>
    <t>Je me suis fait démarcher par telephone je payais 22€ soit disant en 2018 ils reprennent le flambeau en remettant a jour les.dossiers ils n essaient pas de vendre ils imposent
il m envoie un SMS pour des ij hospitalisation mais il ne savent pas si j en ai besoin ou pas si je souhaite beaucoup vont se faire avoir c est très très limite comme méthode j hésite à porter plainte</t>
  </si>
  <si>
    <t>sandrine-99778</t>
  </si>
  <si>
    <t>J'ai eu un très bon contact téléphonique ce jour. La personne à pris le temps de faire des recherches nécessaires pour m'apporter une réponse claire et précise.</t>
  </si>
  <si>
    <t>06/11/2020</t>
  </si>
  <si>
    <t>laurent-53421</t>
  </si>
  <si>
    <t xml:space="preserve">J’ai subit un sinistre suite à un événement climatique (reconnu catastrophe naturelle par décret).
L’eau ruisselant d’un lotissement c’est engouffrée dans le garage de mon voisin (garage mitoyen), elle a traversée le mur en pierre et j’ai eu environ 40 cms d’eau chez moi.
Les murs étant jointés à la chaux et le sol avec des tommettes en terre cuite, les dégâts sont considérables.
Suite à cet événement et un courrier que j’ai effectué à ma mairie, la commune a entreprise des travaux, ce qui signifie à mon sens qu’elle a reconnue sa responsabilité.
Les menuiseries ayant elles aussi travaillée avec l’humidité, les dégâts sont considérable.
Malgré les photos, je n’ai pas de factures pour les biens matériels.
Un grand nombre de tommettes s’effritent, la chaux se disloque, 
Alors que j’ai fait couler une dalle (facture à l’appui) avec isolation sur une dalle déjà existante, ils me disent que le sol n’est pas isolé.
Soit disant aussi que les murs ne sont pas isolés ? Le but de pierres jointées à la chaux est justement de laisser respirer les murs…
Brefs, embrouilles, malhonnêteté.
Est-ce suite aux conseils de la société de monsieur FILLON (pour un montant de 200 000 euros) que cette compagnie d’assurance à établie sa charte de remboursement.
Il est vrai que quand je vois des articles comme celui qui suit, plus rien ne m’étonne !
http://www.lemonde.fr/societe/article/2007/03/02/amnesty-international-et-handicap-international-boycottent-axa_878072_3224.html
</t>
  </si>
  <si>
    <t>20/03/2017</t>
  </si>
  <si>
    <t>daniel-78773</t>
  </si>
  <si>
    <t xml:space="preserve">Très compliqué d'être indemnisé malgré le passages de l'expert plus de nouvelles depuis plusieurs mois par contre une demande de 3500 euros par ce dernier pour continuer la procédure après que j'ai été inondé par la société des eaux un tiers responsable pourtant facilement identifiable...!? Mon dossier suite à une déclaration de sinistre suite à la sécheresse de 2016 semble lui aussi passé à la trappe et le pompon ma fille qui en reculant pour se garer touche la voiture en stationnement derrière elle se voit refusée la prise en charge des "réparations" par l'assureur. Si je compte bien 3 voitures 2 motos et 12 appartements et une villa assurées chez eux c'est bientôt du passé car courant septembre je leur retire tous les contrats.       </t>
  </si>
  <si>
    <t>28/08/2019</t>
  </si>
  <si>
    <t>teddy-e-113065</t>
  </si>
  <si>
    <t xml:space="preserve">Je suis très satisfait de la prestation de zen up qui me permet de réaliser des économies non négligeables. Je recommanderai zen up à mes proches. Merci à toute l'équipe ! </t>
  </si>
  <si>
    <t>didier-b-106209</t>
  </si>
  <si>
    <t>Je suis satisfait du service. Je recommande Direct Assurance à mes amis. J'aimerai finaliser mon contrat et le signer .Bien cordialement. Didier  Blocquel</t>
  </si>
  <si>
    <t>kaki-104687</t>
  </si>
  <si>
    <t>En comparaison à d'autres assureurs le tarif est aussi élevé mais les prestations sont mieux remboursées ailleurs exemple pour les dents et les lunettes, également les jours de carence sont pris en charge alors que ce n'est pas le cas à la MGP. Toutefois l'accueil téléphonique et les renseignements donnés sont toujours excellents.</t>
  </si>
  <si>
    <t>24/02/2021</t>
  </si>
  <si>
    <t>cathycat1978-69337</t>
  </si>
  <si>
    <t xml:space="preserve">Mon beau père vous a transmis son devis dentaire par courrier en date du 26 /01/2021 ,pas de reponse.
En date du 5 mars 2021, vous vous avons transmis le devis dentaire par mail .
Quelle mauvaise surprise ensuite, nous découvrons que le devis dentaire a été traité mais aucune pièce jointe .
Nous vous relançons une énième fois , car mon beau père souffre horriblement . Il doit se faire poser une stellite complet .
Merci de traiter sa demande </t>
  </si>
  <si>
    <t>17/03/2021</t>
  </si>
  <si>
    <t>ugo-k-107994</t>
  </si>
  <si>
    <t>Satisfait par le prix ainsi que pour la simplicité, j'espère ne pas avoir de soucis avec cette assurance lors d'un sinistre. J'attends de cette assurance une réactivité et une bonne prise en charge ! Content d'être l'un de vos nouveau client.</t>
  </si>
  <si>
    <t>alexandre-c-126341</t>
  </si>
  <si>
    <t xml:space="preserve">je suis satisfait de mon assurance en général. Les prix sont intéressants, il y a une bonne réactivité en cas de soucis et les conseillés sont à notre écoute.    </t>
  </si>
  <si>
    <t>domi-77103</t>
  </si>
  <si>
    <t xml:space="preserve">Je viens de changer d'assurance les prix sont super et nous sommes bien accompagnés 
Je ne peux rien dire encore pour ma prise en charge de sinistre car c'est tout récent
</t>
  </si>
  <si>
    <t>mamieblue-67750</t>
  </si>
  <si>
    <t xml:space="preserve">Depuis un an, j'ai mon mur qui a éclaté suite au mur du voisin du bas qui a été enlevé sans autorisation. La MACIF ne me tient au courant de rien, j'ai demandé 4 fois le rapport de l'expert, je n'ai jamais pu l'obtenir. Je suis cliente depuis 1995, à priori c'est la dernière année. Je déconseille de souscrire auprès de cet assureur. </t>
  </si>
  <si>
    <t>17/10/2018</t>
  </si>
  <si>
    <t>thi-minh-thu-n-132320</t>
  </si>
  <si>
    <t>Bonjour
je suis satisfaite du service., rapide et pratique
je vais conseiller à mes amis
J'espère que s il y a des problèmes vous pouvez le régler rapidement car certains amis disent que les délais d'intervenir chez vous sont plus longs
cordialement</t>
  </si>
  <si>
    <t>macao-93500</t>
  </si>
  <si>
    <t xml:space="preserve">Le 16 juin 2020 essayons d'appeler pour obtenir une attestation d'assurance. Attente de plusieurs minutes pour à la fin nous annoncer que tout le monde est occupé et que personne ne peut nous répondre.
Nous laissons un message pour demander cette attestation. Appel de la Macif qui raccroche dès la première sonnerie. Attente d'un nouvel appel.
Finalement après plusieurs appels nous arrivons à obtenir une conseillère qui nous envoie le document en quelques minutes.
En 2018 question sur l'assurance vol de véhicule sans trace d'effraction (mouse jacking) : Réponse par un conseiller « on est en train de modifier les contrats »
Le 6 juin 2020 après constat que le contrat n'a pas été modifié, mais en plus aggravé à ce sujet, question écrite sur messagerie interne. 
Et dans un deuxième message demande d'ajout d'un conducteur secondaire.
Pas de réponse et appel sur le portable raccroché après une sonnerie. Nouvelle question le 1er juillet, pas de réponse. 
Demande de devis le 7 juillet, la Macif appelle et raccroche à la première sonnerie et ensuite envoie un SMS demandant d'appeler ou d'aller dans une agence pour un complément d'info. On laisse un message en expliquant le phénomène et demandant de rappeler en laissant sonner. Silence radio.
L'assurance est au nom de ma compagne qui est très compréhensive, mais cela ne rend pas service à la MACIF, car la demande de devis que la Macif ne cherche pas à honorer va être suivi d'un contrat à une autre assurance et je vais faire des demandes de devis pour mon véhicule, celui de mon fils et de mes habitations etc.
Dommage, mon esprit mutualiste en prend un coup !
</t>
  </si>
  <si>
    <t>08/07/2020</t>
  </si>
  <si>
    <t>bruno-69073</t>
  </si>
  <si>
    <t>Assurance très accessible en terme de prix et offre . Les conseillers sont très compétents , à l'écoute et aimables.</t>
  </si>
  <si>
    <t>02/12/2018</t>
  </si>
  <si>
    <t>chris-65611</t>
  </si>
  <si>
    <t>Lisez bien ce commentaire et fuyez cette "assureur" maintenant!!!
Dégâts des eaux non pris en charge après 5 mois ou il est nécessaire de faire en permanence le suivi .
"J'allais vous recontacter" , voilà ce qu'on vous dit toutes les 3 semaines quand vous appelez.
Bien évidemment, on vous annonce par courrier que rien ne sera pris en charge alors que vous vivez dans un lieu sinistré reconnu par L'agence régionale de la Santé...
Leur "expert" de Cunningham et Lindsey devrait faire des films comiques...à l'issue tragique.
Quel incompétence, manque de professionnalisme et attitude irrespectueuse!!!
N'allez pas chez PACIFICA même si c'est gratuit!!!et si vous y êtes, un conseil: FUYEZ!!!</t>
  </si>
  <si>
    <t>mimi33-66438</t>
  </si>
  <si>
    <t xml:space="preserve">Nous avons acheté une maison ancienne à rénover entièrement. Un coin de mur de notre maison s'est écroulé + muret suite aux intempéries du début d'année (après quelques jours de pluie abondante qui tapait sur le mur directement...). Aucune prise en charge, motif : aucun/mauvais entretien. Nous avions déjà bien avancé dans les travaux, la dalle était coulée, et la toiture/charpente refaite, et les menuiseries allaient arriver le lendemain!! Le mur ne présentait aucun danger à ce moment là! 1. Les artisans n'auraient jamais pris le risque de refaire la toiture si le mur n'était pas sain, ca serait trop dangereux. 2. Nous n'aurions pas pris le risque de perdre autant d'argent dans les travaux si le mur menaçait de s'effondrer! Et en plus de tout ça, personne n'a été capable de nous donner une réponse pour ce dossier, nous n'avons reçu aucun courrier ou mail de refus... rien! Et lorsqu'on a appelé notre agence AXA quelques temps après la visite de l'expert, bizarrement tout le monde se renvoi la balle. L'expert vous dit que c'est à AXA de vous informer de la prise en charge (ou pas) du dossier, AXA vous dit que c'est l'expert... Bref, à ce jour nous n'avons toujours aucun rapport ou autre concernant notre dossier, on ne sait même pas où il en est! Donc étant donné que nous avons mis tous nos contrats d'assurance chez AXA, soit environ une 10aine de contrats (habitation, camion, voitures, motos, tracteur, mobile home, assurance décès, assurance accidents...) et que nous avons été très déçus de cette expérience, nous cherchons une nouvelle compagnie d'assurance sérieuse pour reprendre tous nos contrats. </t>
  </si>
  <si>
    <t>28/08/2018</t>
  </si>
  <si>
    <t>lukefighter-87191</t>
  </si>
  <si>
    <t xml:space="preserve">je suis client depuis 15 ans, sans incident de parcours.
après le paiement anticipé de mon prêt bancaire ,je me heurte à un mur pour faire cesser les prélèvement de l'assurance malgré les documents bancaire attestant la fin du prêt ,c'est une honte sur la façon de faire avec leurs clients ! </t>
  </si>
  <si>
    <t>15/02/2020</t>
  </si>
  <si>
    <t>patrick-p-117757</t>
  </si>
  <si>
    <t>Rapide, simple et efficace ! Les tarifs sont très compétitifs et à la carte. on est libre d'ajouter des options telles que la protection du conducteur, la casse mécanique, panne, etc... et à des tarifs sympas ! C'est ma première expérience chez April Moto ... A suivre !</t>
  </si>
  <si>
    <t>maelis33-103939</t>
  </si>
  <si>
    <t xml:space="preserve">J'ai lu beaucoup de commentaires et je m'aperçois que mon ressenti est un peu le même que pas mal d'adhérents. La cotisation mensuelle est un peu chère mais comparée à celle de mon épouse qui est plus jeune que moi et qui n'a pas exactement la même couverture je pense que la MGP est dans la fourchette haute rapport qualité/prix. La gestion de cet organisme me semble sérieuse et  je n'ai jamais eu de problème particulier de prise en charge. J'ai toujours eu par téléphone des conseils éclairés par un personnel compétent et accueillant. Un peu d'attente parfois mais je ne me souviens pas avoir attendu très longtemps et avoir été obligé de rappeler. Certes les remboursements de certaines prestations et médicaments ne sont pas ou plus à 100% mais les comparatifs avec d'autres mutuelles peuvent être trompeurs. Je reste dans l'ensemble assez satisfait de mon choix. </t>
  </si>
  <si>
    <t>ALLIANZ ASSURANCE ATTENTION ATTENTION SI VOUS N'ATTENDEZ RIEN D'AUTRES  QU'UNE COMPAGNIESOIT D UNE GRANDES  INCOMPETENCES
 BIENVENU CHEZ ALLIANZ LE NUMERO 1 DE L A PEU PRÈS DE L ASSURANCE 
CELA N'ARRIVE PAS QU'AU AUTRES</t>
  </si>
  <si>
    <t>08/02/2020</t>
  </si>
  <si>
    <t>paulinel-60039</t>
  </si>
  <si>
    <t>Une honte, dégât des eaux de 2015 toujours non résolu. On nous fait faire tout un tas d'intervention car soit disant la fuite n'était pas réparée et maintenant qu'on leur apporte la preuve sur un plateau d'argent qu'il n'y a plus de fuite ils refusent d'intervenir !! C'est inhumain de traiter ses sociétaires de cette façon !</t>
  </si>
  <si>
    <t>affif-s-138621</t>
  </si>
  <si>
    <t>ok pour moi,on verra par la suite comment sa se passera mai pour l'instant tous est bon au niveau des garantie et du prix mensuelle,reste a voir dans l'annee</t>
  </si>
  <si>
    <t>30/10/2021</t>
  </si>
  <si>
    <t>devery-97550</t>
  </si>
  <si>
    <t xml:space="preserve">Une mutuelle de plus en plus élévevée malgré le nombre d'année de présence , depuis 1968,  il ne font pas de particularité pour les couples  si l'on veut avoir les particularité comme le capital décès il faut obligatoirement prendre chacun sa mutuelle. pour notre par en retraite nous payons à deux  320€ de mutuelle par mois  pour des remboursements qui ne sont pas excellents . </t>
  </si>
  <si>
    <t>18/09/2020</t>
  </si>
  <si>
    <t>ibrahima-106714</t>
  </si>
  <si>
    <t>je suis satisfait du service rendu 
j'aimerais bien que le prix soit encore plus bas en raison de la crise sanitaire. Le service est rapide, les appels sont très vite repondu</t>
  </si>
  <si>
    <t>pco-70752</t>
  </si>
  <si>
    <t>Bonjour, Direct Assurance devient très cher.
De plus pour avoir un relever d'information il faut perdre sont temps au téléphone (évidement horaire de bureau), car impossible à télécharger.</t>
  </si>
  <si>
    <t>ngfule-68219</t>
  </si>
  <si>
    <t>Moi je suis intérimaire et j'ai téléphoné plusieurs fois pour mes arrêts maladie / maternité depuis le  24 juillet toujours rien.Jai beau leur adressé mes documents par mails on me réclame la même chose à chaque fois la dernière personne que j'ai eu au téléphone ce jour 30 octobre 2018 était désagréable et pas compétente.Je tourne en rond depuis le début.C'etait mieux quand c'était Reunica Bayard!</t>
  </si>
  <si>
    <t>31/10/2018</t>
  </si>
  <si>
    <t>sandra18-70743</t>
  </si>
  <si>
    <t>Cliente depuis 2015 je donne plus 900 euros par an jamais d impayés jamais déclaré de sinistres. Un pépin ? Ils sont pas là pas de prise en charge ça joue sur les mots</t>
  </si>
  <si>
    <t>29/01/2019</t>
  </si>
  <si>
    <t>tag-58998</t>
  </si>
  <si>
    <t>Après recherche d'une assurance pour jeunes conducteurs, l'OLIVIER assurance, propose un contrat clair et précis. le site a permis de trouver facilement mes nécessités contractuelles.</t>
  </si>
  <si>
    <t>dupfranckie-67659</t>
  </si>
  <si>
    <t xml:space="preserve">Une assurance a l écoute , 20 ans de fidélité et je ne regrette pas . </t>
  </si>
  <si>
    <t>14/10/2018</t>
  </si>
  <si>
    <t>vigouroux-a-122382</t>
  </si>
  <si>
    <t>Simple, pratique et rapide pour la souscription ainsi que peu onéreux. Une des moins chères que j'ai pu trouver. Je verrais à la longue si la satisfaction sera toujours présente mais en tt cas pour le moment, c'est parfait</t>
  </si>
  <si>
    <t>05/07/2021</t>
  </si>
  <si>
    <t>etienne-b-121301</t>
  </si>
  <si>
    <t>Je suis satisfait de la relation entre client et de l'écoute du personnel de plus avec des prix attractifs.  A recommandé à ceux qui ont besoin d'une bonne assurance.</t>
  </si>
  <si>
    <t>truebanana-129164</t>
  </si>
  <si>
    <t>Ils ont reçu mon constat en 3 jours (avis de réception) mais ne l'ont jamais traité alors que je l'ai envoyé moins de 2h après l'accident.
J'ai tout fait pour essayer de les joindre. Impossible sans numéro de sinistre transmis par direct assurance "après réception ET traitement du sinistre". 
Par téléphone c'est uniquement pour les sinistres en temps réel et pour les dossiers de sinistres en cours avec numéro de suivi de sinistre. Donc pas pour moi.
Par mail la même chose, pour les sinistres avec numéro de suivi et le service réclamation ne traite pas les sinistres et ne m'ont jamais répondu. Je n'avais donc aucun interlocuteur.
Au bout de 2 semaines je reçois un appel sur mon répondeur et un mail qui me dit que je suis responsable (alors qu'ils n'ont jamais lu mon constat recto verso) et on me demande de leur envoyer par mail mon constat recto verso. Je suis alors sur à 100% qu'ils n'ont jamais lu ce que j'ai envoyé et qu'ils ont pris leur décision avec le recto uniquement, envoyé par l'assurance de la partie adverse.
Je me plains auprès de mon interlocuteur par mail (Niveau école primaire pour les fautes d'orthographes. Mais contrairement à moi, la communication n'est pas mon métier) et il me fait comprendre sans le l'avouer que mon constat n'a jamais été traité et que les informations du recto de la partie adverse suffit. Ils font entièrement confiance aux autres assurances et s'en foutent de leurs assurés et surtout de leurs versions.
Après 3 ans chez eux je vais changer d'assurance (pour moins cher) car contrairement à leurs publicités à la TV, il n'y a pas toujours d'interlocuteurs ni de respect pour leurs clients.
Si vous souhaitez aller chez eux, ne perdez pas de temps à remplir le verso des constats, il ne sert à rien chez eux. Les réclamations sont aussi inutiles.</t>
  </si>
  <si>
    <t>23/08/2021</t>
  </si>
  <si>
    <t>oumar-n-127931</t>
  </si>
  <si>
    <t xml:space="preserve">Je suis satisfait du service le prix la facilité et les garanties . Je souhaite par la suite assurer tout    Mes bien chez direct assurance merci d’avance </t>
  </si>
  <si>
    <t>13/08/2021</t>
  </si>
  <si>
    <t>hocine-95479</t>
  </si>
  <si>
    <t xml:space="preserve">le prix pour une assurance tout risque est correct, les services proposées également et puis je suis déjà client pour l'assurance habitation chez vous donc autant lier également à mon compte mon futur contrat auto </t>
  </si>
  <si>
    <t>28/07/2020</t>
  </si>
  <si>
    <t>andre-123857</t>
  </si>
  <si>
    <t>Très bel  accueil de la part de MARIAMA qui a répondu à mes attentes de façon succincte et très claires. La confirmation de mon inscription m'est parvenue dans les 10 minutes qui ont suivies.</t>
  </si>
  <si>
    <t>19/07/2021</t>
  </si>
  <si>
    <t>martin-86326</t>
  </si>
  <si>
    <t>Mes parents ont souscrit une assurance dépendance en 1998, c est à dire plus de 20 ans de cotisations. Mon père est décédé grabataire en 2017 sans rien recevoir. Ma mère que j ai pris chez moi et âgée de 96 ans aujourd'hui ne touche rien car pas suffisamment dépendante selon leur critères, bien qu elle soit dans l impossibilité d'assumer seule son quotidien physiquement et intellectuellement. 3ieme expertise en cours.</t>
  </si>
  <si>
    <t>25/01/2020</t>
  </si>
  <si>
    <t>chatre-k-115553</t>
  </si>
  <si>
    <t>OK? Je recommanderai peut être à un amis s'il n'y avait pas d'avis obligatoire.
OK? Je recommanderai peut être à un amis s'il n'y avait pas d'avis obligatoire.</t>
  </si>
  <si>
    <t>toukabri-b-129895</t>
  </si>
  <si>
    <t xml:space="preserve">Je suis satisfaite du service de l’assurance ,très efficace, avec une bonne réception des documents et un service très rapide et les employés toujours aimables </t>
  </si>
  <si>
    <t>28/08/2021</t>
  </si>
  <si>
    <t>julien91100-50423</t>
  </si>
  <si>
    <t>Le jour ou vous avez un sinistre meme non responsable le fait d'avoir des accessoires et une peinture perso n'est pas pris en charge... Il faut prendre l'option accessoire uniquement disponible en tout risque.
Les equipements du motards c'est pareil, seul le casque est rembourse... Le reste c'est pour votre pomme.
Assurance a vomir!
Je deconseille fortement, tournez vous plutot vers mutuelle des motard ou amv qui eux assurent vraiment les deux roues et les equipements.</t>
  </si>
  <si>
    <t>18/12/2016</t>
  </si>
  <si>
    <t>christiane-80185</t>
  </si>
  <si>
    <t>Nadège  a été très réactive</t>
  </si>
  <si>
    <t>18/10/2019</t>
  </si>
  <si>
    <t>philippe-n-134941</t>
  </si>
  <si>
    <t>simple  pour faire les démarche prix change selon l âge du deuxième conducteur dommage   j'espère de ne pas être dessus et que le suivie du dossier sera simple</t>
  </si>
  <si>
    <t>devin-102152</t>
  </si>
  <si>
    <t>Je suis d'une manière générale satisfait de la maif mais j'ai aujourd'hui eu besoin d'une attestation d'assurance que soit disant on peut télécharger sur l'espace personnel de l'assuré
J'ai cherché plus d'une demi heure sans jamais trouver
Alors SVP, n'annoncez pas des choses qui n'existent pas et soyez efficaces en donnant au besoin un mode opératoire si toutefois cette attestation peut être téléchargée</t>
  </si>
  <si>
    <t>davida-77025</t>
  </si>
  <si>
    <t>Client axa banque depuis +de 20 ans je décide aussi en 2018 de les choisir en assurance auto. Je me fais percuter par une voiture en marche arrière en janvier 2019 je ne suis pas en tort et pour remettre mon véhicule conforme je dois débourser plus de 500 euros. J apprends aussi que l assureur de l autre est aussi axa. Aucun suivi si ce n est moi qui dois les contacter.</t>
  </si>
  <si>
    <t>22/06/2019</t>
  </si>
  <si>
    <t>joao-l-132475</t>
  </si>
  <si>
    <t xml:space="preserve">Je suis satisfait du service et content d’être chez vous. 
J’espère rester chez vous très longtemps 
J’espère que la résiliation se fera bien auprès de mon assurance </t>
  </si>
  <si>
    <t>trotinette78-88756</t>
  </si>
  <si>
    <t>J appel pour un renseignement pour un remboursement et tombe sur une conseillère emeline très gentille et très compétente j'ai pas été souvent reçu avec une telle gentillesse suis très content de ma mutuelle neoliane hospi le jour où je prend une mutuelle supérieure je resterais chez neoliane je conseillère vraiment cette mutuelle à prix très compétitif très bonne mutuelle Pour retraite</t>
  </si>
  <si>
    <t>roy77--132758</t>
  </si>
  <si>
    <t>Depuis que j'ai transmis le certificat d'acquittement des droits , le 07 septembre 2021 dernier , dans le cadre d'une assurance vie contractée par ma mère et je n'ai aucune nouvelles de la part de CARDIF. J'ai moi même un contrat multiplacements à la BNP (70 000 EUROS) que je vais résilier avec plaisir si cette compagnie ne daigne pas me répondre . Quel manque de respect envers tous les souscripteurs !</t>
  </si>
  <si>
    <t>mauve22-60928</t>
  </si>
  <si>
    <t>Je déconseille fortement cet assureur choisi lors de la signature du prêt immobilier de ma résidence. Aujourd’hui en congé longue maladie, malgré les documents fournis et suite à l’expertise d’un de leur médecin refus de leur part de prendre en charge mes mensualités. Je ne suis pas en mesure de reprendre une activité professionnelle comme l’atteste un arrêt maladie mais leur médecin affirme le contraire... et cet assureur ne prend pas ses responsabilités. Le plus incroyable : être obligée de continuer à payer cette assurance via mon prêt immobilier. Une honte !</t>
  </si>
  <si>
    <t>Suravenir</t>
  </si>
  <si>
    <t>29/01/2018</t>
  </si>
  <si>
    <t>saverous-114095</t>
  </si>
  <si>
    <t>bonjour, client à la MAAF depuis 5 ans pour voiture et appartement, nous avons voulu changer les coordonnées du contrat de Monsieur à Madame et assurer une deuxième voiture. D'abord cela n'était pas possible puis possible mais avec des tarifs qui ne correspondent pas à l'échéancier proposé ( 70 euros en plus sur l'échéancier 2021) les tarifs seraient au pro rata de quelque chose mais pas des mois de l'année en tout cas. Nous avons décidé d'arrêter là les négociations et depuis ce matin, j'ai déjà reçu 6 mails de la MAAF me demandant de signer!!!</t>
  </si>
  <si>
    <t>18/05/2021</t>
  </si>
  <si>
    <t>haline53-88851</t>
  </si>
  <si>
    <t>Suite à un petit dégâts du à une tempête marbre du voisin est tombé sur notre palissade
En août 2019 il y avait 168 euros de dégâts en janvier 2020 18 euros de remboursés.  On va voir l'assureur le cabinet Hubsch à thionville et la conseillère nous conseille daller récupérer la franchise chez le voisin 
Merveilleux dans ce cas l'assurance est inutile</t>
  </si>
  <si>
    <t>virginie-n-106097</t>
  </si>
  <si>
    <t xml:space="preserve">Je suis très satisfaite du service, personnes très agréables, parlant bien, à l'écoute. Merci ! Les tarifs sont tout à fait ce que je recherchais et j'espère que le suivi client sera de même. </t>
  </si>
  <si>
    <t>10/03/2021</t>
  </si>
  <si>
    <t>mfutila-m-131643</t>
  </si>
  <si>
    <t xml:space="preserve">Je suis très satisfais rapide et simple prix très intéressant je recommande cette assurance le site et bien fais simple d’utilisation merci direct assurance </t>
  </si>
  <si>
    <t>jack69-69763</t>
  </si>
  <si>
    <t>Rapidité, tant dans les remboursements 
que dans les réponses à nos questions</t>
  </si>
  <si>
    <t>30/12/2018</t>
  </si>
  <si>
    <t>franky123-78203</t>
  </si>
  <si>
    <t>Bonjour  à tous,
Direct assurance  et une très bonne  assurance. 
Assuré  depuis  de nombreuses  années  chez eux.</t>
  </si>
  <si>
    <t>05/08/2019</t>
  </si>
  <si>
    <t>levoyageur-72021</t>
  </si>
  <si>
    <t>Uneo se dit dans la communauté défense,mais c'est une mutuelle aux prestations décevante.Chere et dépassé.Niveau résiliation ils sont champions du zero.meme zéro étoile serait trop cher payé.Je ne souhaite qu'une chose, c'est de voir cette mutuelle couler pour toutes les emmerdes qu'ils m'ont causé après mon départ de l'armée.Je promets de leur faire une réputation très négative sur tous les forums.Pour info,ils sont maintenant deferencé du ministère des armées.</t>
  </si>
  <si>
    <t>10/03/2019</t>
  </si>
  <si>
    <t>antonio-f-113661</t>
  </si>
  <si>
    <t>Bonjour je suis satisfait des prestations de direct assurance et les prix me conviennent.. Je viens de créer mon compte sur internet cela évite l'attente au téléphone qui est souvent un peu longue.</t>
  </si>
  <si>
    <t>eric-105426</t>
  </si>
  <si>
    <t>Système d'envoi de justificatif pour remboursement complément dépassé. 
Aucun suivi, aucune alerte, juste un message de dépôt.
Il faut croiser les doigts pour espérer que les documents soient pris en compte par la suite. 
L'affichage des prestations qui sont en problème est cachée après 3 "actions".
Aucune autre remontée. A vous d'y aller régulièrement pour voir ce qui est remboursé ou non. 
Tout est fait pour ne pas rembourser ce qui est dus.
Bref, à fuir. Je pars dès que possible.</t>
  </si>
  <si>
    <t>patrice-77712</t>
  </si>
  <si>
    <t>A fuir c est de l amateurisme. Perte des documents dossiers mal traités. Personnel toujours pas sympathiques en plus du prix élevé de la cotisation...A fuir</t>
  </si>
  <si>
    <t>17/07/2019</t>
  </si>
  <si>
    <t>nedjoua-s-124389</t>
  </si>
  <si>
    <t>Le conseiller que j’ai eu au téléphone était très professionnel, gentil et efficace. Merci à lui, il m’a fait un devis très rapidement ! Je suis très satisfaite.</t>
  </si>
  <si>
    <t>phiphi-67179</t>
  </si>
  <si>
    <t xml:space="preserve"> IMPOSSIBLE DE ME FAIRE PARVENIR  MON ATTESTATION  PROVISOIRE SOUS PRETEXTE QUE  LEUR SYSTEM INFORMATIQUE FONCTIONNE MAL AVEC ORANGE. J'EN RIGOLE ENCORE. J'AI RESILIE PAR RECOMMANDE. AUCUN REMBOURSEMENT EN 1 MOIS. JE VAIS DONC DEPOSER PLAINTE. </t>
  </si>
  <si>
    <t>frederic-f-108873</t>
  </si>
  <si>
    <t xml:space="preserve">Très content du tarif merci reste à voir maintenant si les services que vous vendez seront à la hauteur de mais espérance et si service rapide cordialement </t>
  </si>
  <si>
    <t>reg-103859</t>
  </si>
  <si>
    <t xml:space="preserve">Catastrophique au niveau des remboursements dentaires et optiques .
De plus le montant des cotisations est assez élevé par rapport à d autres mutuelles et nous n avons en plus aucune aide de l employeur .
</t>
  </si>
  <si>
    <t>kolo-102618</t>
  </si>
  <si>
    <t>Macif trop cher 7devis il sont avant dernier est quand vous allez devant un ou plusieurs conseillers il vous dise vous êtes au taqué des réductions alors que vous avez les devis des concurrents en mains je change avant d'allez à la macif faite des comparaisons vous allez trouvé moins cher ....</t>
  </si>
  <si>
    <t>sisi-86287</t>
  </si>
  <si>
    <t>Bonjour, j'ai étais recu par Mrs LABRIDI qui ma trés bien renseignez sur mon contrat et aujourd'hui je suis tomber sur sont mentor Mrs GWENDAL qui la encore ma  bien accueilli et renseigner. Vraiment je suis très très satisfaite et je recommande ses personnes ,encore merci a vous.  Cordialement Mme GUIRAULT</t>
  </si>
  <si>
    <t>24/01/2020</t>
  </si>
  <si>
    <t>rj-58962</t>
  </si>
  <si>
    <t>Cette compagnie ne se soucie pas de ses clients quand ils ont eu un accident. Je suis actuellement pris au piège en République tchèque, après un accident de voiture il y a 18 jours. Malgré mes appels téléphoniques fréquents, je n'ai pas été informé de ce qu'ils ont l'intention de faire quand. Éviter!</t>
  </si>
  <si>
    <t>20/11/2017</t>
  </si>
  <si>
    <t>iamos-81336</t>
  </si>
  <si>
    <t>Je suis client depuis 54 ans (c'est mon agence qui l'a relevé dans ses dossiers) et j'ai un bonus de 65% mais mon épouse vient de connaitre une cadence d'accidents inhabituelle: 3 accidents en trois ans.
La MATMUT  ne fait pas de quartier, elle résilie les DEUX contrats auto. Elle pouvait pourtant  appliquer un malus sur le véhicule de mon épouse ou ne résilier que son contrat. Et elle pourrait également daigner répondre à ma lettre recommandée du 31 octobre. J'attends toujours.
Dans son dernier rapport de gestion, elle met en avant son plan AMBITION MATMUT qui, entre autres points, s'attache à la poursuite de la digitalisation et de la Gestion Electronique des Documents.
Et bien, je ne saurais trop lui conseiller de vérifier le fonctionnement de ses robots car ils risquent de lui faire perdre stupidement de nombreux clients!!
Je n'ai jamais rien eu à reprocher à la MATMUT jusqu'ici mais attention, ça n'évolue pas dans le bon sens</t>
  </si>
  <si>
    <t>gaetan-d-116935</t>
  </si>
  <si>
    <t>devis facile et rapide a faire, tarif correct.
Facilité de transmettre les documents. 
paiement facile par carte ou prelevement.
je suis satisfait pour un 1er essai</t>
  </si>
  <si>
    <t>14/06/2021</t>
  </si>
  <si>
    <t>jam-q-138389</t>
  </si>
  <si>
    <t>Souscritpion ultra rapide, garanties bonnes mais tarif un peu excessif pour une assurance au tiers. Je verrai dns quelques jours pour assurer mon futur logement. Bonne journée</t>
  </si>
  <si>
    <t>27/10/2021</t>
  </si>
  <si>
    <t>stella-109535</t>
  </si>
  <si>
    <t>Mutuelle qui n'est pas donnée mais qui est très réactive et qui rembourse parfaitement ce qu'elle doit rembourser. Le service client marche bien (il marchait mieux il y a quelques années...), et l'interface du site est bonne. Je recommande.</t>
  </si>
  <si>
    <t>pocaline-71158</t>
  </si>
  <si>
    <t>Très décue. suite à une grosse tempête de grêle, nous avons été remboursé pour nos volets et gouttières pour la maison principale que nous habitons, mais ont refusés de nous rembourser pour notre maison en location (pourtant juste devant notre maison). Donc volets et gouttères à notre charge... alors que pour d'autres c'est pris en charge!!</t>
  </si>
  <si>
    <t>11/02/2019</t>
  </si>
  <si>
    <t>batard-g-109463</t>
  </si>
  <si>
    <t>Satisfait du service, réactif et compétitif en comparaison des offres existante sur le marché
Franchise élévé mais couverture correct
Assurance qui convient à notre besoin</t>
  </si>
  <si>
    <t>vaillant-e-117942</t>
  </si>
  <si>
    <t>Très bien, disponibles, professionnels.
Le prix est attractif, et la durée de mise en conformité de l'assurance ainsi que celle du début de contrat sont très rapides également</t>
  </si>
  <si>
    <t>cesmimi-111228</t>
  </si>
  <si>
    <t>Fairouz est une personne très compètente, très agréable et très patiente. Ravi d'avoir eu à faire à elle. personne très conscienceuse.  Merci d'avoir eu la patience de régler mes soucis d'informatique.</t>
  </si>
  <si>
    <t>marc75015-60288</t>
  </si>
  <si>
    <t>contrat obscur: il n y a aucune précision du type réel de contrat d'assurance : tiers ou tout risque, et c'et lorsqu'on a un accident que l on découvre la nature du contrat: en ce qui me concerne tiers en payant le prix du tout risque</t>
  </si>
  <si>
    <t>08/01/2018</t>
  </si>
  <si>
    <t>al28072011-71409</t>
  </si>
  <si>
    <t>A fuir de toute urgence!!! Litige non pris en compte depuis octobre ! font les morts malgré de nombreuses relances écrites et téléphoniques!!! leur engagement qualité : de la poudre aux yeux!!</t>
  </si>
  <si>
    <t>zouzou-56853</t>
  </si>
  <si>
    <t xml:space="preserve">sinistre non responsable le 21 juillet 2017 </t>
  </si>
  <si>
    <t>24/08/2017</t>
  </si>
  <si>
    <t>clientedecueetenervee-51969</t>
  </si>
  <si>
    <t xml:space="preserve">Je suis à la maif depuis plusieurs années, je n'ai jamais eu de souci, j'appelle pour faire part de frais que l'on me réclame pour retard dans le paiement d'une facture alors que je ne l'ai pas reçu et je suis très mal accueillie, par une personne absolument pas respectueuse, qui me rit au nez, c'est juste un scandale.
Tant pis, je m'en vais. Ca ne leur changera pas la vie mais ce n'est pas normal d'être reçu de la sorte. </t>
  </si>
  <si>
    <t>02/02/2017</t>
  </si>
  <si>
    <t>amandine-t-129220</t>
  </si>
  <si>
    <t xml:space="preserve">Je suis satisfaite du service
Démarches faciles à  comprendre et rapides en ligne
Choix multiples et intéressants 
Efficacités des prise en main du site
Le rapport qualité prix me semble correct
</t>
  </si>
  <si>
    <t>nicolas-r-114858</t>
  </si>
  <si>
    <t xml:space="preserve">Coté satisfaction, je ne peu pas donner mon avis car aucun sinistre a déclarer. (Tant Mieux)
Mais niveau tarif, mon contrat a augmenté de prés de 60%. (BOF).
</t>
  </si>
  <si>
    <t>farah--96957</t>
  </si>
  <si>
    <t xml:space="preserve">Service client DÉPLORABLE 
J'étais très satisfaite du service Amaguiz mais depuis le changement vers Groupama...rien de na va plus.
Un service client désagréable, je n'aurais peut être pas du appeler a 18h... Pour la demande simple d'une attestation responsabilité civile, on a pris avec moi un ton des plus condescendant à la limite de me faire engueuler. A l'évidence je dérangeais. Au delà du fait que j aurais préféré avoir ce document sur mon espace Web...mais il n'y était pas. 
J'ai clairement perdu au change.
Passer votre chemin.
</t>
  </si>
  <si>
    <t>02/09/2020</t>
  </si>
  <si>
    <t>joelle-m-136808</t>
  </si>
  <si>
    <t>Vraiment efficace
Merci
Très précis, rapidité.
Très contente des renseignements fournis.
Je recommande cette mutuelle.
Très bon rapport qualité et tarif.</t>
  </si>
  <si>
    <t>morgane2204-88209</t>
  </si>
  <si>
    <t>Extrêmement désappointé... Très difficile à joindre. Très difficile de changer mes données personnelles. Je déconseille vivement cette mutuelle. Elle plus c'est très cher pour les prestations proposées. Aucune prime de naissance.</t>
  </si>
  <si>
    <t>11/03/2020</t>
  </si>
  <si>
    <t>lechiche-60432</t>
  </si>
  <si>
    <t>La seule mutuelle organisée pour ne pas être en contact avec ses assurés, ni leur répondre</t>
  </si>
  <si>
    <t>12/01/2018</t>
  </si>
  <si>
    <t>m-m-62400</t>
  </si>
  <si>
    <t xml:space="preserve">J'assure chez AssurBonPlan un TMAX 530 depuis deux ans. Et à ce jour, je suis satisfaite de mon assureur. </t>
  </si>
  <si>
    <t>16/03/2018</t>
  </si>
  <si>
    <t>lecuyer-o-139618</t>
  </si>
  <si>
    <t>Conseillère patiente et attentive pour la souscription de l'assurance.
De plus, les prix sont raisonnable par rapport à d'autres assurances qui profitent des gens.</t>
  </si>
  <si>
    <t>l-solene-72287</t>
  </si>
  <si>
    <t>Nous sommes en 2019, ma demande de résiliation date de 2015, et toujours pas prise en compte. la bataille est longue... ils refuse la résiliation car ils n'ont pas eu le courrier ...</t>
  </si>
  <si>
    <t>19/03/2019</t>
  </si>
  <si>
    <t>emi-60853</t>
  </si>
  <si>
    <t>Bonjour je viens juste de souscrire et d'arrêter mon ancienne mutuelle les agents de AG2R se sont présentés à mon travail et je regrette déjà d'avoir souscrit à cette mutuelle nous sommes le 27 janvier je ne suis toujours pas pris en charge ils ne sont toujours pas enregistré auprès de ma sécurité sociale j'ai bien fourni mon RIB et tous les papiers demandés et on me demande encore d'attendre j'ai plein de frais médicaux qui ne sont pas remboursés pour le moment mon dossier soit disant bloqué pour une fiche de paye de 2016 que je n'aurais pas donné. La souscription de cette mutuelle a été faite il y a plusieurs mois et je comprends pas que le 1er janvier on en soit là. Quand je vois tous les mauvais commentaire ça donne vraiment pas envie je pense que je vais prévenir rapidement mes collègues de ne pas souscrire à cette mutuelle!</t>
  </si>
  <si>
    <t>26/01/2018</t>
  </si>
  <si>
    <t>olivia-l-135073</t>
  </si>
  <si>
    <t xml:space="preserve">
Top , très rapide niveau prix les plus compétitifs à voir dans le temps mais pour le.moment tt est parfait en tant que jeune chauffeur la meilleure assurance trouvée pour linstant
</t>
  </si>
  <si>
    <t>dan-122477</t>
  </si>
  <si>
    <t>Bon rapport de garanties/tarif. Avec la prise en compte de la restriction de circuler du gouvernement.
Bonne réactivité sur mes demandes.
N'ayant jamais eu de sinistre, je n'ai aucun avis sur la prise en charge.</t>
  </si>
  <si>
    <t>06/07/2021</t>
  </si>
  <si>
    <t>niloc-57626</t>
  </si>
  <si>
    <t>Je ne suis pas actuellement client, mais les expériences des utilisateurs me donnent zéro envie d'y aller plus loin.  Je suis les conseils et j'évite le modèle lowcost.</t>
  </si>
  <si>
    <t>26/09/2017</t>
  </si>
  <si>
    <t>verges-c-132446</t>
  </si>
  <si>
    <t>Interlocuteur très professionnel et agréable. Malgré une surprise au niveau du tarif, 
60€ de plus qu'annoncé sur un comparateur, il a su me trouver une solution, je  recommande son sérieux.</t>
  </si>
  <si>
    <t>noro-r-108329</t>
  </si>
  <si>
    <t xml:space="preserve">Vous me compliquez la vie .vous pouvez bien faire plus simple au lieu d'emmerdez le monde avec des bêtise pareilles 
Franchement que c'est énervant. 
</t>
  </si>
  <si>
    <t>puaud-b-137191</t>
  </si>
  <si>
    <t>Satisfait du service, j'ai pu faire mon contrat au téléphone, et la personne fut génial !
Très aimable et à l'écoute !
J'ai pu choisir la meilleure offre et surtout bien moins chères que certains concurrents
Je recommande</t>
  </si>
  <si>
    <t>gaelle-d-131773</t>
  </si>
  <si>
    <t>Bon service rapide clair et sans problème je recommande c'est assurance a grand plaisir je vais même faire un devis assurance maison pour mon beau père et ma soeur</t>
  </si>
  <si>
    <t>lesec-g-124099</t>
  </si>
  <si>
    <t>Je Suis satisfait de la prestation de service proposée bien qu'il me soit désagréable de donner le détaille de mon rib via le net avant meme de voir le détail de mon contrat</t>
  </si>
  <si>
    <t>21/07/2021</t>
  </si>
  <si>
    <t>dadieu13-52076</t>
  </si>
  <si>
    <t xml:space="preserve">Impossible de les joindre même en cas de sinistre, résolu à payé une assistance en plus (facilement joignable) pour partir tranquille. Suite à un changement de voiture, ouf la libération. </t>
  </si>
  <si>
    <t>06/02/2017</t>
  </si>
  <si>
    <t>sylvie-72123</t>
  </si>
  <si>
    <t xml:space="preserve">Toujours dans l'attente d'un remboursement depuis fin décembre.  Ils sont débordés ! Erreur de leur part , chalet vendu le 6 décembre 2018 mais résiliation faite en date du 31 janvier 2019 (?). Donc réclamation en cours ,  mais toujours rien . Appel de ma part au siege social le 25 février et le 12 mars , mais ça ne bouge toujours pas !!!!! DES prélèvements ont été faits  à tort, mais non remboursés. J'attends. </t>
  </si>
  <si>
    <t>13/03/2019</t>
  </si>
  <si>
    <t>yves-88163</t>
  </si>
  <si>
    <t>Un accident causé par un tiers,  voiture non réparable.  Depuis un mois on attend le remboursement, bloqué car l'epaviste réclame le croque et la manivelle. Ce n'est  plus la Matmut que j'ai connu qui avait  des valeurs.</t>
  </si>
  <si>
    <t>10/03/2020</t>
  </si>
  <si>
    <t>sabian-y-benitez-d-121118</t>
  </si>
  <si>
    <t>Je suis satisfaite, accueil parfait , personnel patient et gentil, tarif très convenable, personnel efficace et rapide, facile d’accès, service au top</t>
  </si>
  <si>
    <t>brazi-114270</t>
  </si>
  <si>
    <t xml:space="preserve">dommage que je ne peux pas mettre ZERO 
pcq vraiment ils mertient pas une étoile 
assurance chére pour rien
sinistre decalré depuis 1 an et demi et zero euro rembourser 
leurs experts sont injoignable et leurs conseiller sont désagreable 
A FUIR </t>
  </si>
  <si>
    <t>heline-104269</t>
  </si>
  <si>
    <t>Je suis dans cette mutuelle depuis 4 ans et je suis entièrement satisfaite. Notamment du réseau santé clair et de la rapidité avec laquelle mes demandes sont prises en compte.</t>
  </si>
  <si>
    <t>fredo62-66465</t>
  </si>
  <si>
    <t>Très satisfait des services du service client. Aimable, bon accueil par téléphone, courtois, personne de bon conseil conseil, très agréable.</t>
  </si>
  <si>
    <t>29/08/2018</t>
  </si>
  <si>
    <t>ambroisine-d-137370</t>
  </si>
  <si>
    <t>Tout est parfaitement bien expliqué. Merci à vous. Tout est parfait. Je recommande vivement cette compagnie d'assurance car le service client est très sympathique et les prix sont vraiment attractifs.</t>
  </si>
  <si>
    <t>alex-79323</t>
  </si>
  <si>
    <t>Je suis en tout risque chez eux, j'ai eu un sinistre non responsable en mars 2019, j'ai envoyé dans la foulé le constat signé par le parti adverse, j'ai utilisé leur garage agréé pour faire les réparations et j'ai du avancer les frais de la franchise.
Sauf que depuis je n'ai aucune nouvelle de leur part, pas un mail ni un appel ou un SMS pour m'informer de l'avancement du remboursement de la franchise. La rubrique suivi de sinistre de leur site est réduite à néant , ils indiquent juste avoir bien reçu les documents en mars (et nous sommes en septembre).
Quand je les appelle ils reportent la faute sur l'assurance adverse mais vu leur attitude je me demande si le dossier n'est pas resté chez eux. 
Je viens d'ouvrir ce jour une réclamation pour essayer de trouver une issue à cette situation et ils m'indiquent un délai de traitement de 45 jours...
Donc effectivement l'assurance n'est pas cher mais il faut avoir du temps à perdre et ne pas compter sur le remboursement des franchises. Et encore il s'agit là d'un sinistre mineur, je n'imagine même pas en cas de grave accident...</t>
  </si>
  <si>
    <t>19/09/2019</t>
  </si>
  <si>
    <t>taximoil-102906</t>
  </si>
  <si>
    <t>Nous sommes tres satisfait de cette mutuelle, les remboursements sont tres rapides et le service client tres à l'écoute et réactif, pour l'instant que du bon...</t>
  </si>
  <si>
    <t>clemenceau-f-107448</t>
  </si>
  <si>
    <t>rapport qualité prix et franchise dégressive bonne, super service client au tel
Réactivité et réponse claire aux questions, mise en place devis très rapide</t>
  </si>
  <si>
    <t>wilfried-s-112588</t>
  </si>
  <si>
    <t>Informations claires et bonne écoute des conseillers.
Le service est rapide et la passation du contrat en ligne est simple et rapide.
Le tarifs sont très intéressants et proposent beaucoup d'options ajustables</t>
  </si>
  <si>
    <t>natan-l-114763</t>
  </si>
  <si>
    <t>Le prix est correct, mais je n'ai pas encore eu l'occasion de tester l'assurance en cas de sinistre.
J'aimerai que la liaison avec blablacar soit plus directe (Les bons conducteurs blablacar pourraient avoir des réductions)</t>
  </si>
  <si>
    <t>25/05/2021</t>
  </si>
  <si>
    <t>jo92-89366</t>
  </si>
  <si>
    <t>J'ai quitté ma précédente mutuelle pour avoir plus de garanties et en acceptant de payer plus cher.
J'ai fait confiance au courtier et je puis vous assurer que j'aurai mieux fait de ma casser la jambe.
Vous pouvez envoyer tous les courriers que vous voulez ou telephoner ils vont font des promesses qu'ils ne tiennent jamais, j'ai meme eu Mr Qualité qui n'a rien fait avancer.
Aujourd'hui ils me relaxent pour une facture de Mars que j'ai deja envoyé deux fois.
Je ne vous parle pas des demandes de prises en charges une réponse tous les 36 mois.
Et tout ça pour 214 euros par mois.
Je déconseille fortement et pour ma part je n'y serais plus en fin d'année.</t>
  </si>
  <si>
    <t>05/05/2020</t>
  </si>
  <si>
    <t>alexis-c-138495</t>
  </si>
  <si>
    <t>En cours de validation, attend la 1ere année pour me prononcer. Les prix sont attractif, voir la suite pour la rapidité et la réactivité des remboursements.</t>
  </si>
  <si>
    <t>brahim-a-129274</t>
  </si>
  <si>
    <t>etant donné que c est mon 2eme contrat auto chez vous je suis tres satisfait meme niveau tarif cest tres raisonnable du a ce fait je tien a preciser que je suis aussi satisfait de vos offres</t>
  </si>
  <si>
    <t>gadlu-100459</t>
  </si>
  <si>
    <t xml:space="preserve">Difficile de répondre à la 2eme je n ai jamais fait appel à vos services.
En revanche je reste déçu de mon tarif auto, d abord parce qu il a augmenté aussi, mais aussi que curiosité je suis allé sur votre site, et j ai trouvé par simulation un contrat tous  risques à 210€ de moins, ça fait 30%de moins.
J ai rdv dans votre agence de Vitré le 22 novembre pour en parler.. 
Au delà de comprendre je souhaite un effort, car j ai tout chez vous, y compris de l épargne.. </t>
  </si>
  <si>
    <t>pouya-103620</t>
  </si>
  <si>
    <t xml:space="preserve">Mes références MERCER : 23075126
Je n'ai strictement rien à cacher, au contraire !
Je ne suis ni payé par une quelconque boite concurrente, je ne suis pas non plus un robot pour mettre des faux avis comme on en voit tous les jours pour tout et n'importe quoi. 
Je tiens juste à faire savoir à tout le monde que cette mutuelle me fait galérer depuis plus de 3 mois pour me rembourser une hospitalisation. Malgré l'envoi des originaux etc etc, ils trouvent toujours un détail pour bloquer le paiement. 
Et quand je parle d'hospitalisation, c'est une pose de plaque+vis au niveau de ma clavicule suite chute. Dans une clinique ayant peut etre 1000 personnes qui y travaillent. Ce n'est pas pour une pose de faux seins dans une clinique en sous sol, avec peu de références, où il y aurait un doute ....
Bref, je commence à perdre patience. Bien sûr je ne lacherai rien. Ca devient une priorité car j'ai trop perdu d'argent et surtout de temps à les relancer encore et encore pour avoir droit à un malheureux remboursement. 
C'est une mutuelle imposée par l'employeur mais je peux vous dire que si j'étais le décideur, même gratuit, je n'opterai pas pour cette mutuelle. 
(je ne sais même pas s'ils sont bien classés coté tarif)
Maintenant, si vous avez des futurs problèmes de remboursement, vous ne pourrez pas dire que vous ne le saviez pas !
 </t>
  </si>
  <si>
    <t>michel-l-132856</t>
  </si>
  <si>
    <t xml:space="preserve">Je suis saitsfait du service. Les contrats proposés me conviennent. L application est facile d utilisation. La navigation est rapide et fluide. La tarification est correcte. </t>
  </si>
  <si>
    <t>koa-98937</t>
  </si>
  <si>
    <t>A eviter car le jour où vous voulez résilier  ils vous font souscrire à une autre assurance (PACS) automatiquement par signature électronique (le dossier de résiliation et abonnement sont fusionnés). En gros  si vous entrez chez MAIF c'est pour la vie ! ou préparez un budget avocats.</t>
  </si>
  <si>
    <t>19/10/2020</t>
  </si>
  <si>
    <t>vitor-29-51401</t>
  </si>
  <si>
    <t>Étant bénéficiaires d une assurance vie depuis 13 mois rien courrier perdu dossiers envoyer incomplet à fuir !!!!!!!!!!!!!!!!!!!!!!!!!!!!!!!!!!!!!!!!!!!!!!!!!!!!!!!!!!!!!!!!!!!!!!!!!!!!!!!!!!!!!!!!!!!!!!!!!!!!!!!!!!!!</t>
  </si>
  <si>
    <t>17/01/2017</t>
  </si>
  <si>
    <t>rebolloso-b-134444</t>
  </si>
  <si>
    <t>LES INFORMATIONS CLAIRES,l'accueil téléphonique très sympa, interlocuteur très patient, de bon conseil, je recommande , il y a juste le pourcentage de l'accompte un peu élevé pour un premier prélèvement</t>
  </si>
  <si>
    <t>chan-108925</t>
  </si>
  <si>
    <t>Une assurance qui ne rembourse rien, mon animal avait été hospitalisé, j'ai été remboursé 14euros, c'est vous dire.
Un service client exécrable, qui parle très mal aux gens. Une conseillère qui se sent au dessus des autres, on ne sait pourquoi ?
J'ai été réengagé 1 an automatiquement sans pouvoir rien faire, avec une cotisation qui a augmenté, entre 21 euros et 26 euros!  
Vraiment je déconseille fortement, faites très attention car au départ c'est toujours des belles promesses une voie mielleuse, mais une fois abonné on ne vous répond jamais ou alors on vous parle d'une façon hautaine.</t>
  </si>
  <si>
    <t>02/04/2021</t>
  </si>
  <si>
    <t>vincent83-70437</t>
  </si>
  <si>
    <t>Je suis assuré à la Maif depuis 18 ans.  J'assure 2 voitures, 1 moto, un contrat assurance habitation. Je précise que ma maison fait 100 m2, n'a pas de piscine et je n'ai pas de mobilier de valeur. J'ai un bonus de 50% tout comme mon épouse. Je paye pour ces prestations la somme de 2181 euros par an soit plus d'un mois et demi de salaire.J'ai remarqué que chaque année ma cotisation augmente de 50 euros par an. J'en ai parlé à mes proches et à des amis, il se trouve ce prix halucinant.
Ils m'ont conseillé de contacter pour négocier une réduction de la prime d'assurance. J'ai donc appelé la maif, le conseiller m'a indiqué qu'il ne pouvait rien faire. Par conséquent, j'ai ai marre. La Maif est une bonne assurance mais il ne faut pas y rester sinon les tarifs flambent puisque aucune réduction pour un client fidèle.</t>
  </si>
  <si>
    <t>21/01/2019</t>
  </si>
  <si>
    <t>fabrice--h-115006</t>
  </si>
  <si>
    <t>Le prix de mes 2 assurances est trop cher de l'ordre de 27%, en dépôt que je sois assuré depuis plus de 10 ans chez Direct Assurance.
Le service est correct, même si n'ayant jamais eu d'accident, je ne l'ai pas beaucoup utilisé</t>
  </si>
  <si>
    <t>vesine-m-128142</t>
  </si>
  <si>
    <t>Très bon accueil téléphonique par des professionnels efficaces et bienveillants. La structure générale parait transparente. (Avis de 1ere journée d'assurance ,à confirmer sur le long terme).</t>
  </si>
  <si>
    <t>domi34-96165</t>
  </si>
  <si>
    <t>Si le rapport prix/prestations de santé est élevé et la vitesse de remboursement en chute depuis quelques temps et méritent un effort, rien à dire sur la disponibilité et l'efficacité des conseillers consultés (téléphone ou agence) ou sur l'engagement de la mutuelle auprès des forces de sécurité.</t>
  </si>
  <si>
    <t>11/08/2020</t>
  </si>
  <si>
    <t>stephanie-b-131302</t>
  </si>
  <si>
    <t>Je suis très satisfaite. Je ne regrette pas mon choix et je salue le professionnalisme des 2 conseillers de l'agence de TULLE où je suis à chaque fois très bien reçue !</t>
  </si>
  <si>
    <t>laurent-r-105292</t>
  </si>
  <si>
    <t xml:space="preserve">Je suis très déçu tant des prix que du service.  Pas de réponse à mes courriers écrits demandant la restitution d'une partie de mes cotisations suite au confinement. Quand je demande des explications on me dit que j'ai pas envoyé de courrier (oui j'ai pas envoyé en recommandé) et limite on me prend pour un con en me disant comment j'ai envoyé des courrier pendant le confinement alors que les postes étaient fermé. Bref déçu plus plus.  Quand je demande un geste sur ma cotisation au vue des tarifs de vos concurrents, on me réponds que j'ai de la chance d'avoir une réduction de 7eur car avec la crise tout augmente. </t>
  </si>
  <si>
    <t>levy-103992</t>
  </si>
  <si>
    <t>Je suis à la Mercer depuis plusieurs années.
J ai un probleme au niveau de mon montant élevé de cotisations par mois.
Qui s eleve a 700 euros pour 6 personnes.
Après plusieurs appels.
Personne ne vous répond.
J ai du raconter mon histoire plusieurs fois.
En disant qu on allait me rappeller.
Ca va faire 3 mois je n ai reçu aucun appel.
Tres déçue de cette mutuelle.
Service très lent .....
Voir catastrophique.....
Pour me dire à la fin qu on m a résilié sans aucune explication.
La suite est encore plus critique.
On m a écrit un mail en me disant que j allais être débité pour mes cotisations......
Manque de Serieux et surtout de professionnalisme.</t>
  </si>
  <si>
    <t>abdoul-r-135565</t>
  </si>
  <si>
    <t xml:space="preserve">Bonne assurance mais à voir dans le temps pour juger des services proposer. Sinon services clients à l'écoute et disponible . les tarifs sont correcte </t>
  </si>
  <si>
    <t>lescure-d-137242</t>
  </si>
  <si>
    <t>Top plus qu’à voir les services !
Prix et services ont l’air vraiment bien. 
Je viens d’économiser 25 e en comparaison de mon ancienne assurance ! A réfléchir si je prend l’assurance habitation aussi tant qu’à faire !</t>
  </si>
  <si>
    <t>jean-d-105634</t>
  </si>
  <si>
    <t>satisfait de la réactivité et du service, le reste est conforme à mon attente
les prix sont corrects, sans plus
ce que j'apprécie est le facilité de contact</t>
  </si>
  <si>
    <t>rockraven-63723</t>
  </si>
  <si>
    <t>J’apprécie l'esprit mutualiste et motard.</t>
  </si>
  <si>
    <t>02/05/2018</t>
  </si>
  <si>
    <t>greg-c-106193</t>
  </si>
  <si>
    <t>Tb
Rapide et tarif intéressant
j'ai déjà un contrat habitation et je viens de valider mon contrat auto… peut ter bientôt mon second contrat auto si une offre pour le multi contrat m'est proposé ?
A suivre</t>
  </si>
  <si>
    <t>daniel-49694</t>
  </si>
  <si>
    <t>Après avoir été chez Alptis, sur les conseils de mon courtier  SE CONSEIL 5, Rue du Général Grossetti 75016 Paris, nous changeons pour April au 01/01/2016.
Nous venons de recevoir une lettre en date du 07 novembre 2016 au sujet du nouveau tarif 2017. Augmentation en un an + 4,46% !... Sans aucune justification. Suite à la conversation téléphonique avec mon courtier: "Cette augmentation est normale ! Car vous avez beaucoup sollicité votre assurance ! Autrement dit nous vous assurons mais surtout ne soyez pas malade afin de ne pas avoir à demander d'éventuels remboursements ! DE PLUS, et c'est là la véritable "mauvaise blague" pour rester polis. Comme April n'est pas soumis à la loi Chatel, il ne vous est pas possible de résilier car l'augmentation est communiquée en novembre et votre contrat stipule qu'une résiliation doit être effective DEUX MOIS AVANT L'ECHEANCE cad au plus tard le 31 octobre !!! Lorsque cette situation est évoquée, APRIL indique qu'il lui est impossible de communiquer les nouveaux tarifs avant le 31/10 car il faut connaitre divers renseignements dont le montant des dépenses de l'assuré. Cette argument ne tient pas car si vous êtes un nouveau client potentiel, les tarifs de l'année à venir peuvent être connus (ce qui a été fait par mon courtier en 2015) dès le mois d’août !!!
Je demande donc à tous les assurés d'étudier diverses offres dès le mois de juin et ainsi de pouvoir changer si nécessaire d'assurances dans les temps ! Les assureurs recherchent toujours des nouveaux clients et leur concurrence est sévère !!! Les tarifs de preemière année sont toujours plus attractifs.
Ce qui est sur c'est que dès le 02 janvier 2017, nous allons rechercher une autre assurance qu'April. Nous avons donc 10 mois pour trouver  !</t>
  </si>
  <si>
    <t>29/11/2016</t>
  </si>
  <si>
    <t>matt-70901</t>
  </si>
  <si>
    <t>à fuir !</t>
  </si>
  <si>
    <t>03/02/2019</t>
  </si>
  <si>
    <t>jeff-71542</t>
  </si>
  <si>
    <t>Aucun souci avec l'un de leur partenaire pour un bris de glace</t>
  </si>
  <si>
    <t>montangerand-f-137591</t>
  </si>
  <si>
    <t>Je suis satisfait de la rapidité a laquelle j'ai été assuré et le prix est très satisfaisant pour la qualité de service que cette assurance propose ..</t>
  </si>
  <si>
    <t>16/10/2021</t>
  </si>
  <si>
    <t>stephane--l-131300</t>
  </si>
  <si>
    <t xml:space="preserve">Je suis satisfait de votre assurance depuis déjà plusieurs années et je n'ai jamais eu de soucis depuis tout ce temps
J'ai utilisé l'assurance une fois et ça c'est bien passé </t>
  </si>
  <si>
    <t>moge-f-117334</t>
  </si>
  <si>
    <t>tarif attractif mais direct assurance ne s occupe pas d obtenir directement le relevé d information avec mon ancien assureur, dommage et je trouve les interlocuteurs téléphoniques difficiles a comprendre ( accent fort) et manque de relationnel et de compréhension</t>
  </si>
  <si>
    <t>caelum-63450</t>
  </si>
  <si>
    <t xml:space="preserve">J'ai conclu, il y a + de 8ans une as-vie chez Boursorama  qui m'a fait acheter une date. Depuis, j'y ai place qques épargnes en € et suivant ma "bonne étoile" en fonds, mais Bourso ne conseille pas </t>
  </si>
  <si>
    <t>20/04/2018</t>
  </si>
  <si>
    <t>lapierre-s-134312</t>
  </si>
  <si>
    <t xml:space="preserve">Super merci beaucoup pour votre rapidité et votre compétence je suis ravi vous êtes à l image de ce que vous représenter c est un bonheur la simplicité de votre site bravo </t>
  </si>
  <si>
    <t>cricri-62325</t>
  </si>
  <si>
    <t>je viens seulement  de m'assurer chez vous donc je n'ai pas assez de recul pour donner mon opinion.Apparemment le niveau des prix me semble raisonnable par rapport a la qualite des garanties</t>
  </si>
  <si>
    <t>mp-64407</t>
  </si>
  <si>
    <t>je me suis retrouvée au bord de la route dans le noir avec un dépanneur qui voulait me faire remplacer une batterie alors qu'il suffisait de fil pour la recharger.. le dépanneur s'est vexé et est parti ...EUROFIL ne m'a pas renvoyé un autre dépanneur et m'a laissé au bord de la route sans appeler un taxi dans le noir l'hiver et avec mon enfant !!!! Leurs services administratifs malgré la plainte n'ont rien fait aussi !!!</t>
  </si>
  <si>
    <t>02/06/2018</t>
  </si>
  <si>
    <t>tomety-e-111922</t>
  </si>
  <si>
    <t>L'offre me convient mais je trouve vos taxes trop élevées.
Pourquoi facturer-vous les mensualités ?
Dans l'espoir de trouver une vraie satisfaction. 
Merci !</t>
  </si>
  <si>
    <t>catpelle-99694</t>
  </si>
  <si>
    <t>A FUIR....
AVANT DE PAYER  TOUT SE PASSE BIEN   ET UNE FOIS LE CONTRAT FAIT
ILS VOUS DEMANDENT DES DOCUMENTS  POUR NE PAS REMBOURSER
IL FALLAIT DEMANDER LORS DE L INSCRIPTION   CELA SERAIT PLUS HONNETE.
JE NE RECOMMANDE ABSOLUMENT PAS.</t>
  </si>
  <si>
    <t>05/11/2020</t>
  </si>
  <si>
    <t>poupou65-71667</t>
  </si>
  <si>
    <t xml:space="preserve">j ai eu un sinistre responsabilité civile casser un telephone portable du fils d une amie   le 25 décembre  2018 son fils a été remboursé le 27 JANVIER 2019 ASSURANCE TRÈS BIEN J AI TOUT MES CONTRATS D ASSURANCE CHEZ EUX </t>
  </si>
  <si>
    <t>26/02/2019</t>
  </si>
  <si>
    <t>laurao19-102781</t>
  </si>
  <si>
    <t xml:space="preserve">FUYEZ CETTE ASSURANCE !! 
Il est stipulé dans mon contrat que les maladies survenues avant la prise d'effet du contrat ne sont pas prises en charge. 
Mon lapin est tombé malade 1mois et 3 semaines après que j'ai souscris chez ECA Assurance. Quel a été ma surprise lorsqu'on m'a annoncé que je ne serai JAMAIS remboursée des consultations futures + les médicaments en rapport avec cette maladie car c'est arrivé pendant les jours de carence. 
J'ai appelé une dizaine de fois leurs conseillers qui sont d'accord sur le fait que je dois être remboursée des consultations puisque certes mon lapin est tombé malade pendant les jours de carence, mais les remboursements (certes lié à sa maladie) que je demande sont datés après les jours de carence. 
J'ai fais un mail à l'adresse des reclamations. Après 2 mois d'attente, la réponse est encore une fois négatif ! 
Je ne lâcherai pas, et je compte bien obtenir l'argent qu'ils me doivent et partir chez un concurrent.
En conclusion, je vous déconseille cette assurance et je ne suis visiblement pas la seule. </t>
  </si>
  <si>
    <t>pat-64022</t>
  </si>
  <si>
    <t>Ma compagne s'est assuré a direct assurance et le conseillé il y a presque un ans lui a vendu une assurance tous risques sur un vehicule de plus de dix ans, pour moi elle s'est fais volé par une manipilation de vente trés bien rodée..
Autre chose sur un pret de volant on lui met une franchise de 1500euro meme si la personne a raison sur le sinistre...ça c vraiment du vol</t>
  </si>
  <si>
    <t>15/05/2018</t>
  </si>
  <si>
    <t>tom69-52984</t>
  </si>
  <si>
    <t xml:space="preserve">Bonjour j ai subi un sinistre le 23 décembre 2016 on m a incendié mon véhicule et depuis malgré que je sois assuré tout risque avec le pack sérénité pas de prêt de véhicule pas de suivi on vous balade de mensonge en mensonge bref se sont tout simplement des menteurs je vous conseille donc de prendre un avocat et les traduire en justice car autrement vous n obtiendrez rien du tous </t>
  </si>
  <si>
    <t>04/03/2017</t>
  </si>
  <si>
    <t>dubret-b-109346</t>
  </si>
  <si>
    <t xml:space="preserve">Je paye aussi chère pour une VW POLO qu'un SCIROCCO 
Je suis satisfait de la reaction du service, malgrès un remboursement très très long lors d'un sinistre de vol </t>
  </si>
  <si>
    <t>ludo04-114439</t>
  </si>
  <si>
    <t xml:space="preserve">Salarié dans de nombreuses  autres sociétés auparavant... donc avec une mutuelle entreprise,  MERCER est de loin la plus catastrophique ! 
Trovato Ludovic 
Geostock </t>
  </si>
  <si>
    <t>serieusement-57395</t>
  </si>
  <si>
    <t>suite à un dégât des eaux, provenant d'un syphon cassé non accessible l'expert de la MAAF est venu à une date où je ne pouvais etre présente(employeur n'a pu me libérer de mes obligations professionnelles) un ami a ouvert à l'expert, 3 mois après j'obtiens le rapport de l'expertise et je découvre que le syphon est noté accessible alors que locataire, je n'y avais pas accès les trappes d'aération et d'ouverture étaient obstruées par du platre, enduit et papier peint. je n'arrive pas à faire modifier le rapport d'expertise et suis en outre radiée de l'assurance. Chapeau la maaf ! je me retrouve dans des ennuis pas possible et mon propriétaire s'en sort très bien et moi je suis devenue la fautive alors que j'ai plusieurs témoins présents lors de la venue du plombier de l'agence de location et du plmonier du syndic de l'immeuble ont vu les plombiers galérer pour arriver à acceder aux trappes de la baignoire.
Merci à la maaf pour tout ce que je subis et dervai subir</t>
  </si>
  <si>
    <t>16/09/2017</t>
  </si>
  <si>
    <t>bea-95996</t>
  </si>
  <si>
    <t xml:space="preserve">
Après  résiliation il il me dit que c'est  pas possible et m'oblige  a payer alors que je nai jamais utiliser leur mutuelle ils sont injoignables au téléphone </t>
  </si>
  <si>
    <t>pavasseur-50960</t>
  </si>
  <si>
    <t>ATTENTION CETTE MUTUELLE N ENTRE PAS DANS LE CADRE DE LA LOI CHATEL
qui dit que l'assureur doit adresser l'avis d'echeance au minimum 15 jours avant la date limite de dénonciation du contrat. Ayant reçu l'avis le 20/12 pour une fin de contrat le 31/12 j'ai envoyé un recommandé de resiliation pour cause d'augmentation de tarif trop élevé a mon gout, c'est refusé parceque soit disant cette mutuelle n'entre pas dans le cadre de la loi Chatel ? 
quiI le sait ?</t>
  </si>
  <si>
    <t>05/01/2017</t>
  </si>
  <si>
    <t>delric-m-112451</t>
  </si>
  <si>
    <t xml:space="preserve">En ce qui me concerne, la souscription à un contrat fut immédiate et efficace. De plus les prix sont abordables, l'interlocuteur est à l'écoute et adapte les contrats à nos besoins.
Je recommande cet assureur.
</t>
  </si>
  <si>
    <t>mmari-95844</t>
  </si>
  <si>
    <t>très pénible, demandent 1000 pièces et prennent en otage pour envoi carte verte, je ne recommande pas ! Ils sont vraiment pas professionnels je suis très déçu le prix n'est pas tout</t>
  </si>
  <si>
    <t>carles-113831</t>
  </si>
  <si>
    <t xml:space="preserve">prix = 384 - NIVEAU DES PRIX 1 ETOILE  - SATISTATION 1 ETOILE (non)
Je détaille tous les aspects qui peuvent intéresser un internaute en recherche d'assurance :
    disponibilité des conseillers de clientèle /10
    prix de l'assurance 5/10
    qualité de l'intervention en cas de sinistre /10
    montant des remboursements en cas de sinistre /10
</t>
  </si>
  <si>
    <t>15/05/2021</t>
  </si>
  <si>
    <t>bob-60227</t>
  </si>
  <si>
    <t>à la MAAF augmentation 2018 de mon contrat automobile de 6% alors que l'on peut lire partout que les contrat augmentent de 2% à 3% chez tous les autres assureurs.
Passé en agence, on m'a donné des prétextes farfelus, sans faire de réduction alors que je suis assuré depuis plus de 15 ans avec un bon nombre de contrats, et 1 seul sinistre non responsable.
C'est sur je vais devoir changer d'assureur.</t>
  </si>
  <si>
    <t>06/01/2018</t>
  </si>
  <si>
    <t>najoua-e-117382</t>
  </si>
  <si>
    <t>Monsieur Bellaiche a été très efficace, à l'écoute et réactif. Nous avons avancé rapidement sur mon dossier en toute fluidité. Un grand merci !
Très bonne expertise.</t>
  </si>
  <si>
    <t>morel-c-107837</t>
  </si>
  <si>
    <t xml:space="preserve">Je suis très satisfaite 
qualité prix super correcte 
je suis très contente de ma conseillère Melissa, très a l'écoute super gentille je recommande   </t>
  </si>
  <si>
    <t>ob57-55232</t>
  </si>
  <si>
    <t>Assureur lamentable. A eviter absolument! J'ai un bonus 0,51... 
Plus de 12 ans sans accident responsable.
Ca fait plusieurs années que j'y suis affilié à la MAAF(logement et vehicules successifs).Mais là, je cherche activement une compagnie pour m'en aller.
Voila pourquoi: J'achete un voiture supplemetaire pour les weekends, j'appele la MAAF avant l'achat pour un devis. Cest ok,on me l'envois par mail.Je recupère la voiture en Allemagne avec une assurance allemande de transit,valable 2 semaines (même en France).Je rappel la Maaf pour adhérer à l'assurance dont j'ai reçu le devis et la, on me dit qu'on peut pas vous assurer! Cela dependra de l'Agence MAAF ou vous êtes assuré ,qui refuse dans mon cas de valider mon assurance car vous avez eu  2 bris de glace (non responsable ) en janvier 2016 et année 2014!Nous sommes en Juin 2017!!
En gros, je ne peux pas assurer de véhicules supplémentaires chez MAAF car je ne suis pas assez rentable pour eux tout simplement. C'est lamentable!!
J'ai essayé à maintes reprises de joindre l'agence MAAF de Metz Saint Jacques pour avoir des infos supplémentaires,des alternatives.Les collaborateurs de la plateforme téléphoniques Maaf ont laissés des consignes pour qu'on me rappelle. En 48h toujours rien.
Juste scandaleux!</t>
  </si>
  <si>
    <t>08/06/2017</t>
  </si>
  <si>
    <t>monsieur-105985</t>
  </si>
  <si>
    <t xml:space="preserve">seul assurance qui couvre les frais taxe douanière et pas de limitation a 90jours comme la plupart des autres compagnies. des bureaux dans beaucoup d endroits </t>
  </si>
  <si>
    <t>alex42-61525</t>
  </si>
  <si>
    <t>Attention, tarif très attractif la 1ere année, ensuite +19% d'augmentation. Vous les appelez, il vous promette un chèque pour limiter l'augmentation que vous ne recevez pas.
Aujourd’hui, + 10%. 
Au total, sur 3 ans, +29% alors que le bonus est à 0,5 !! 
Un conseil, évitez DIRECT ASSURANCE ou restez y qu'une année.....mais attention, difficile ensuite de s'en sortir.
Je vous conseille donc de ne pas aller avec DIRECT ASSURANCE....</t>
  </si>
  <si>
    <t>17/02/2018</t>
  </si>
  <si>
    <t>pierre-a-128127</t>
  </si>
  <si>
    <t>les démarches en ligne sont rapides, les devis sont faciles à réaliser, les réponses sont immédiates et la facilité des formulaires à remplir est pratique</t>
  </si>
  <si>
    <t>samsara-129102</t>
  </si>
  <si>
    <t>bonjour, Rita que j'ai eu au téléphone a été d'une patience extraordinaire, efficace dans mes demandes, et très courtoise.Merci encore pour sa patience mme medal martine bon après midi</t>
  </si>
  <si>
    <t>steph3333-56599</t>
  </si>
  <si>
    <t>Je suis très surpris par les commentaires négatifs. Je bénéficie d'un contrat prémium pour mon carlin (chien fragile). Hormis la franchise de 75 euros par an (prévue dans le contrat), j'ai toujours été très bien remboursé et très rapidement. Autant en prévention qu'en maladie. Personnellement, je la recommande. Mais il faut y mettre le prix, comme pour toutes assurances.</t>
  </si>
  <si>
    <t>10/08/2017</t>
  </si>
  <si>
    <t>moi42-51102</t>
  </si>
  <si>
    <t xml:space="preserve">A fuir absolument , j'ai voulu resilier en les appelant car les prix ont augmentés , ils me proposent un nouveau prix moins cher que j'accepte verbalement comme un co. car le soucis c'est que le premier contrat n'est pas annulé , je me retrouve avec deux contrats à payer pour une seule voiture , </t>
  </si>
  <si>
    <t>09/01/2017</t>
  </si>
  <si>
    <t>elodie--99361</t>
  </si>
  <si>
    <t xml:space="preserve">Suite à mon appel téléphonique ce jour concernant ma surcomplementaire santé, la personne que j'ai eu au téléphone à su me rassurer sur le fait que l'on ne m'avais pas prélevé la surcomplementaire depuis novembre 2019 mais si je le souhaitais je n'étais pas dans l'obligation de régler la somme de 300euros pour l'année 2019. Cependant depuis septembre 2020 j'adhère à la surcomplementaire et j'ai bien pris note que pour le mois de novembre et décembre les prélèvements seront d'environ 50 euros car pour le mois de septembre et octobre les prélèvements n'ont pas été fait. </t>
  </si>
  <si>
    <t>29/10/2020</t>
  </si>
  <si>
    <t>seigneurin-t-139293</t>
  </si>
  <si>
    <t>Deuxième contrat que je souscrit chez L'olivier Assurance, les tarifs sont satisfaisants, la souscription est rapide et simple. Je recommande a 100% :)</t>
  </si>
  <si>
    <t>09/11/2021</t>
  </si>
  <si>
    <t>duterme-l-137432</t>
  </si>
  <si>
    <t>Très bien merci au conseiller qui m’a guidée je suis satisfaite des prix et de la prise en charge. C’est beaucoup mieux que mon ancien assureur qui était beaucoup plus cher pour la même chose</t>
  </si>
  <si>
    <t>evelyne-79668</t>
  </si>
  <si>
    <t>Très bon rapport qualité/prix, j'avais besoin d'une mutuelle pour ma mère âgée de 74 ans aux revenus modestes. J'ai été très bien informée par mes interlocuteurs successifs, dont Caroline tout récemment.</t>
  </si>
  <si>
    <t>02/10/2019</t>
  </si>
  <si>
    <t>ethuin-m-138264</t>
  </si>
  <si>
    <t xml:space="preserve">Rapide prix compétitifs mais encore un peu cher j’ai appelé pour être aider et la personne au bout du fil a été très sympathique et à bien prit le temps de tout m’expliquer </t>
  </si>
  <si>
    <t>26/10/2021</t>
  </si>
  <si>
    <t>charles-c-128880</t>
  </si>
  <si>
    <t>Je suis satisfait de la proposition. 
J'ai été très bien renseigné lors de mon appel téléphonique. 
Tout est clair, complet, rapide et efficace !
Rien à redire</t>
  </si>
  <si>
    <t>anais85-61505</t>
  </si>
  <si>
    <t>Toute ma famille est cliente chez la MACIF depuis plusieurs années... Il ne m’ai jamais rien arrivé ! Et au moment où je suis étudiante et où je ne touche pas d’argent : cambriolage. La MACIF ne prend pas les réparations de la fenêtre en charge ! A quoi bon payer une assurance pendant des années si elle ne peux vous aider lorsqu’il vous arrive quelque chose qui en plus n’est pas de votre faute. Je touche 650€ par mois....je dois payer un loyer, la nourriture, l’essence et également la réparation de cette fameuse fenêtre qui est de 750€. Est-ce normal ? La seule solution est-elle de quitter cette assurance qui ne répond pas à nos demande ?</t>
  </si>
  <si>
    <t>16/02/2018</t>
  </si>
  <si>
    <t>clemb-54849</t>
  </si>
  <si>
    <t xml:space="preserve">ATTENTION AUX PRATIQUES ABUSIVES: problèmes à la préfecture des Hauts de Seine pour l'établissement de ma carte grise. Garantie provisoire suspendue une première fois, toujours pas de carte reçue. Réception d'un mail me disant de compléter mon dossier, ce que je n'étais toujours pas en mesure de faire (carte grise toujours pas reçue). Réception aujourd'hui d'un courrier de résiliation de mon contrat (SANS COURRIER RECOMMANDE PREALABLE à l'envoi duquel les articles L. 113-1 et suivants du Code des assurances soumettent pourtant la résiliation à l'initiative de l'assureur). J'appelle le service client qui m'oppose le mail (pourtant assez peu explicite) ainsi qu'un coup de téléphone d'un conseiller qui date d'il y a une semaine SANS MESSAGE VOCAL M'INDIQUANT LE RISQUE ENCOURU DE RESILIATION. Cela aurait couté quelques secondes à ce conseiller et m'aurait permis de réagir dans les temps (d'autant plus que ce n'était au final que la photographie de mon permis qui manquait....). Je perds mes frais de dossier et je vois mes primes d'assurance proposées par les autres assures plus que doublées: la résiliation prend effet avant même l'envoi du courrier ce qui laisse plusieurs jours sans assurance et me colle pour 5 ans le statut "d'assureur résilié". Aucune solution proposée par l'ensemble des services contactées... </t>
  </si>
  <si>
    <t>22/05/2017</t>
  </si>
  <si>
    <t>fana-49973</t>
  </si>
  <si>
    <t>SERVICE DEPLORABLE
PAS DE REMBOURSEMENT
PERTE DES COURRIERS POUR REMBOURSEMENTS DE LA PART DE LEURS SERVICES
ASSURANCE A FUIR ....</t>
  </si>
  <si>
    <t>yousri-m-126128</t>
  </si>
  <si>
    <t>super site, simple et efficace pour souscrire à une assurance rapidement. Paiement sécurisé et fluide. Les prix pratiqués sont très intéressants. En e</t>
  </si>
  <si>
    <t>pado-86900</t>
  </si>
  <si>
    <t>accident corporel léger moto non responsable en2014 .dossier vient ENFIN de se clore avec l aide d un avocat et après bien des relances et le sentiment d etre considéré plus comme un adversaire qu un adherent . incapacité totale du gestionnaire.nulle sur tous les points</t>
  </si>
  <si>
    <t>09/02/2020</t>
  </si>
  <si>
    <t>mf68-38065</t>
  </si>
  <si>
    <t>Mauvais service client</t>
  </si>
  <si>
    <t>robert-80187</t>
  </si>
  <si>
    <t>bon contact avec Alicia, bien expliqué.</t>
  </si>
  <si>
    <t>maria-94027</t>
  </si>
  <si>
    <t xml:space="preserve">Je ne recommande pas la matmut Assurer depuis plus de 40 ans une voiture me percute par l'arrière et c'est moi qui est en tort ?!!??? Et qui a dû payer la franchise prendre un malus et augmentation de l'assurance </t>
  </si>
  <si>
    <t>14/07/2020</t>
  </si>
  <si>
    <t>mohammed-f-117842</t>
  </si>
  <si>
    <t xml:space="preserve">simple et pratique et surtout moins cher par aport au service propose 
satisfaction jusqu'à maintenant
  a l'écoute 
joignable
contrat détaillé et des offres toute l'année
</t>
  </si>
  <si>
    <t>lavare-52444</t>
  </si>
  <si>
    <t>nous avons un contrat sante chez cegema nous avons envoyés  un courrier de résiliation le 02 octobre donc bien 2 mois avant le 31 décembre et il refuse de nous résilier,cegema nous réclame l'accusé de réception et nous ne l avons pas..par contre nous avons quand même  la preuve de dépôt et malgré cela il refuse...ils me disent même de consulter un avocat... CEGEMA à fuire..</t>
  </si>
  <si>
    <t>28/12/2017</t>
  </si>
  <si>
    <t>sasso-s-125773</t>
  </si>
  <si>
    <t>Je suis parfaitement satisfait du service très simple aimable…. Et je pense qu’au niveau prix c’est très bien placé d’après ce que je peux regarder à côté.</t>
  </si>
  <si>
    <t>alexandre-l-114252</t>
  </si>
  <si>
    <t xml:space="preserve">service trés efficace tant pour le devis que pour la souscription
souscription en ligne facile pour le client
prix concurrentiel
le fait de tout faire en ligne est parfait 
</t>
  </si>
  <si>
    <t>anisivy-85853</t>
  </si>
  <si>
    <t>Bonjour; je suis totalement desespéré de l'attitude de Metlife. Client depuis plus de 10 ans, j'ai engagé des démarches le 18 8 2019 suite à un accord de ma banque pour la rénégociation de mes emprunts immobiler pour laquelle je dois réaliser 2 avenants successifs (modification du tx puis des palliers de remboursement); Après avoir reçu les accords écrits de BNP et Metlife, j'ai transmis tous les documents fin Aout 2019. Depuis il ne se passe rien. Par 2 fois, j'ai contacté Metlife par téléphone. Les conseillers m'ont confirmé que le dossier était complet et qu'il serait traité sous 2 mois max... Par contre, aucune réponse à mes mails, même pas d'accusé de réception. 5 mois plus tard, je suis dégouté de l'attitude de cet assureru qui ne respecte pas ses clients ni ses obligations contractuelles et mets en péril ma renégociation d'emprunt. Silence total; 0 mail, 0 appel, rien que de l'attente stérile. 
Par contre,par rage et dépit, j'ai réalisé en fin 2019 une demande de devis sur le site internet de metlife et là, Oh surprise ! un conseiller m'a appelé moins de 3 minutes après avoir fait ma demande, ce qui prouve bien que metlife cherche à attirer des clients mais se fiche complétement de ses clients existants. Ce conseiller m'a recraché son beau discours sur le fait que metlife était réactif dans le traitement des dossiers (mdr!) que j'aurai une réponse bientot mais qu'il y avait beaucoup de dossiers en retard.
Mais honnêtement, en tant que client, je me fiche que metlife soit en retard, l'entreprise a simplement à recruter pour combler son retard... 
Bref, je trouve cet assureur totalement désespérant et scandaleusement irrespectueux de ses clients; Sachant que je dois réaliser 2 avenants, je crains ne jamais pouvoir aboutir dans mes démarches s'il me faut 6 mois ou plus entre chaque démarche; sauf à trouver un autre assureur plus réactif, 
bref, je déconseille totalement cet assureur totalement irrespectueux et décevant.</t>
  </si>
  <si>
    <t>13/01/2020</t>
  </si>
  <si>
    <t>piepiere-76009</t>
  </si>
  <si>
    <t xml:space="preserve">echange sympatique , bonne explication , je reviendrais vers vous , merci !! tarifs intéressants , trés différent en rapport a mon ancienne mutuelle . je suis trés satisfaite de cette mutuelle  </t>
  </si>
  <si>
    <t>lucie62-65623</t>
  </si>
  <si>
    <t>Imperméable aux pbs des clients. Ne respecte pas ses engagements. Idem pr la mutuelle qui prélève 2 fois pr la même personne pdt 16 mois! Les conseillers détectent l'anomalie mais ne font rien!</t>
  </si>
  <si>
    <t>marli-n-128037</t>
  </si>
  <si>
    <t xml:space="preserve">Il est écrit dans la FAQ du site qu'il est possible de payer par mois des la souscription mais je n'ai pas trouvé l'option.
De plus, les options extra pouvaient avoir des boutons "non merci" plus grands. </t>
  </si>
  <si>
    <t>gobi-63420</t>
  </si>
  <si>
    <t>des vendeurs de garanties virtuelles , méprisants ,prélevant des mensualités en l' absence de signature de contrats , menteurs , fourbes ,ne répondant pas ......</t>
  </si>
  <si>
    <t>19/04/2018</t>
  </si>
  <si>
    <t>marie-ange-p-132415</t>
  </si>
  <si>
    <t>Je suis très satisfaite de la GMF qui est très réactive, tout le temps disponible et agréable au téléphone. Très patients quand ils m'expliquent et n'hésitent pas à me proposer des offre avantageuses auxquelles je n'ai pas pensées.</t>
  </si>
  <si>
    <t>ripoll-t-108346</t>
  </si>
  <si>
    <t>Le prix du contrat d'assurance signé est plus cher que le devis réalisé....Client depuis 8 ans  et pas de remise de fidélité. Envisage de changer à la prochaine échéance.</t>
  </si>
  <si>
    <t>29/03/2021</t>
  </si>
  <si>
    <t>duflo-m-135120</t>
  </si>
  <si>
    <t xml:space="preserve">Satisfait  au premier abord , on verra par la suite , j’ai du mal à remplir par internet et donner tous les documents  nécessaires , j’aurai préféré aller en agence </t>
  </si>
  <si>
    <t>saliha-z-108589</t>
  </si>
  <si>
    <t>très cher je passe avec de 84 euros a une autre assurance 59 euros  en plus vous m'avez resilier alors que ma première assurances c'étais chez vous je recommande jamais direct assurances</t>
  </si>
  <si>
    <t>angelina85-85854</t>
  </si>
  <si>
    <t xml:space="preserve">Mutuelle qui refuse la résiliation avec des motifs abusifs, ma nouvelle mutuelle a tout fait dans les règles mais je n ai toujours pas reçu mon attestation de résiliation. Impossible de les joindre par téléphone (apparemment saturé d appel). Mutuelle a fuir !!! </t>
  </si>
  <si>
    <t>gg47-96831</t>
  </si>
  <si>
    <t xml:space="preserve">Passez votre chemin. Ne répondent à aucun mail. 45mn minimum pour les contacter au tel. Aucun résultat ensuite. Que des promesses de remboursement mais aucun versement sur le compte bancaire. Belle compagnie d'assurance. </t>
  </si>
  <si>
    <t>cyberlabs-59943</t>
  </si>
  <si>
    <t>Cliente MAAF pendant plus de 10 ans (voitures, motos, habitation, santé) je suis sidérée par leurs façons d'agir ! Ils vous vendent des assurances à prix d'or pour être "couvert" en toutes circonstances, tant QU-IL NE VOUS ARRIVE RIEN !! 
On vous conseillera de déclarer même un tout petit sinistre puisque vous êtes assurés pour ça (tous risques : privilège + options). Malheureusement, vous serez remboursé des clopinettes et deux mois avant la reconduction de votre contrat, vous recevrez une lettre recommandée de résiliation pour "fréquence de sinistres" lol.
Malgré des tentatives d'arrangements amiables et déplacement en agence, le service clients m'a répondu : "Nous sommes des commerçants, nous sommes là pour faire du profit !" alors que j'ai toujours payé en temps et en heure sans sourciller.
Conséquences : Impossible de m'assurer ailleurs ! Toutes les compagnies contactées refusent d'assurer mon habitation, sous prétexte d'une résiliation par mon ancien assureur (oui, ça marche dans un sens, mais pas dans l'autre). Seuls 3 ont accepté en majorant leur tarif !
L'assurance habitation étant obligatoire sous peine de perdre son bail, j'ai passé des heures à chercher une autre assurance. Merci la MAAF, je m'en souviendrai !</t>
  </si>
  <si>
    <t>25/12/2017</t>
  </si>
  <si>
    <t>van-cammeren-j-108460</t>
  </si>
  <si>
    <t>je viens de m'inscrire sur internet. Je verrais ensuite au niveau du service. Au niveau du prix, le côté intéressant, est que nous pouvons souscrire à la panne 0 kms pour notre voiture de 17 ans. Ce n'est pas le cas chez les autres assureurs.</t>
  </si>
  <si>
    <t>roussel-b-136117</t>
  </si>
  <si>
    <t xml:space="preserve">Toujours content du service de chez eux niveau prix 50% moins chère j’espère ne pas avoir de surprise en cas de sinistre car le par chère peut defois coûter chère </t>
  </si>
  <si>
    <t>05/10/2021</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</si>
</sst>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color theme="1"/>
      <name val="Calibri"/>
      <scheme val="minor"/>
    </font>
    <font>
      <sz val="11.0"/>
      <color rgb="FF000000"/>
      <name val="Inconsolata"/>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2" fontId="3"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c r="F1" s="1" t="s">
        <v>5</v>
      </c>
      <c r="G1" s="1" t="s">
        <v>6</v>
      </c>
      <c r="H1" s="1" t="s">
        <v>7</v>
      </c>
      <c r="I1" s="1" t="s">
        <v>8</v>
      </c>
      <c r="J1" s="1" t="s">
        <v>9</v>
      </c>
      <c r="K1" s="1" t="s">
        <v>10</v>
      </c>
    </row>
    <row r="2">
      <c r="A2" s="2">
        <v>4.0</v>
      </c>
      <c r="B2" s="2" t="s">
        <v>11</v>
      </c>
      <c r="C2" s="2" t="s">
        <v>12</v>
      </c>
      <c r="D2" s="2" t="s">
        <v>13</v>
      </c>
      <c r="E2" s="2" t="s">
        <v>14</v>
      </c>
      <c r="F2" s="2" t="s">
        <v>15</v>
      </c>
      <c r="G2" s="2" t="s">
        <v>16</v>
      </c>
      <c r="H2" s="2" t="s">
        <v>17</v>
      </c>
      <c r="I2" s="3" t="str">
        <f>IFERROR(__xludf.DUMMYFUNCTION("GOOGLETRANSLATE(C2,""fr"",""en"")"),"Reactive and easy, for a first insurance I recommend, the prices are reasonable and the guarantees are good, thank you the olive tree
                  .")</f>
        <v>Reactive and easy, for a first insurance I recommend, the prices are reasonable and the guarantees are good, thank you the olive tree
                  .</v>
      </c>
    </row>
    <row r="3">
      <c r="A3" s="2">
        <v>3.0</v>
      </c>
      <c r="B3" s="2" t="s">
        <v>18</v>
      </c>
      <c r="C3" s="2" t="s">
        <v>19</v>
      </c>
      <c r="D3" s="2" t="s">
        <v>20</v>
      </c>
      <c r="E3" s="2" t="s">
        <v>14</v>
      </c>
      <c r="F3" s="2" t="s">
        <v>15</v>
      </c>
      <c r="G3" s="2" t="s">
        <v>21</v>
      </c>
      <c r="H3" s="2" t="s">
        <v>17</v>
      </c>
      <c r="I3" s="3" t="str">
        <f>IFERROR(__xludf.DUMMYFUNCTION("GOOGLETRANSLATE(C3,""fr"",""en"")"),"Simple and quick but a little expensive in comparison with the prices offered oar insurance banks
Ai chosen direct insurance on recommendation of my father")</f>
        <v>Simple and quick but a little expensive in comparison with the prices offered oar insurance banks
Ai chosen direct insurance on recommendation of my father</v>
      </c>
    </row>
    <row r="4">
      <c r="A4" s="2">
        <v>5.0</v>
      </c>
      <c r="B4" s="2" t="s">
        <v>22</v>
      </c>
      <c r="C4" s="2" t="s">
        <v>23</v>
      </c>
      <c r="D4" s="2" t="s">
        <v>24</v>
      </c>
      <c r="E4" s="2" t="s">
        <v>25</v>
      </c>
      <c r="F4" s="2" t="s">
        <v>15</v>
      </c>
      <c r="G4" s="2" t="s">
        <v>26</v>
      </c>
      <c r="H4" s="2" t="s">
        <v>27</v>
      </c>
      <c r="I4" s="3" t="str">
        <f>IFERROR(__xludf.DUMMYFUNCTION("GOOGLETRANSLATE(C4,""fr"",""en"")"),"I was able to compare motorcycle insurance rates with other companies, AMV is the insurance company which, according to my desired guarantees criteria, offers good coverage that meets the expectations of many bikers. The prices are attractive and targeted"&amp;" particularly to the biker community with the concern to offer services that are not common with car insured persons.")</f>
        <v>I was able to compare motorcycle insurance rates with other companies, AMV is the insurance company which, according to my desired guarantees criteria, offers good coverage that meets the expectations of many bikers. The prices are attractive and targeted particularly to the biker community with the concern to offer services that are not common with car insured persons.</v>
      </c>
    </row>
    <row r="5">
      <c r="A5" s="2">
        <v>4.0</v>
      </c>
      <c r="B5" s="2" t="s">
        <v>28</v>
      </c>
      <c r="C5" s="2" t="s">
        <v>29</v>
      </c>
      <c r="D5" s="2" t="s">
        <v>30</v>
      </c>
      <c r="E5" s="2" t="s">
        <v>31</v>
      </c>
      <c r="F5" s="2" t="s">
        <v>15</v>
      </c>
      <c r="G5" s="2" t="s">
        <v>32</v>
      </c>
      <c r="H5" s="2" t="s">
        <v>33</v>
      </c>
      <c r="I5" s="3" t="str">
        <f>IFERROR(__xludf.DUMMYFUNCTION("GOOGLETRANSLATE(C5,""fr"",""en"")"),"Very good responsiveness on the phone and little wait. Very appreciable.
Very good responsiveness on the internet.
Good reimbursements and fast
In short
Satisfied with the mutual generation")</f>
        <v>Very good responsiveness on the phone and little wait. Very appreciable.
Very good responsiveness on the internet.
Good reimbursements and fast
In short
Satisfied with the mutual generation</v>
      </c>
    </row>
    <row r="6">
      <c r="A6" s="2">
        <v>5.0</v>
      </c>
      <c r="B6" s="2" t="s">
        <v>34</v>
      </c>
      <c r="C6" s="2" t="s">
        <v>35</v>
      </c>
      <c r="D6" s="2" t="s">
        <v>20</v>
      </c>
      <c r="E6" s="2" t="s">
        <v>14</v>
      </c>
      <c r="F6" s="2" t="s">
        <v>15</v>
      </c>
      <c r="G6" s="2" t="s">
        <v>36</v>
      </c>
      <c r="H6" s="2" t="s">
        <v>27</v>
      </c>
      <c r="I6" s="3" t="str">
        <f>IFERROR(__xludf.DUMMYFUNCTION("GOOGLETRANSLATE(C6,""fr"",""en"")"),"I am satisfied with the services and the prices suit me? Simple, fast and effective. I recommend direct insurance, it is clearly worth it !!!")</f>
        <v>I am satisfied with the services and the prices suit me? Simple, fast and effective. I recommend direct insurance, it is clearly worth it !!!</v>
      </c>
    </row>
    <row r="7">
      <c r="A7" s="2">
        <v>1.0</v>
      </c>
      <c r="B7" s="2" t="s">
        <v>37</v>
      </c>
      <c r="C7" s="2" t="s">
        <v>38</v>
      </c>
      <c r="D7" s="2" t="s">
        <v>20</v>
      </c>
      <c r="E7" s="2" t="s">
        <v>14</v>
      </c>
      <c r="F7" s="2" t="s">
        <v>15</v>
      </c>
      <c r="G7" s="2" t="s">
        <v>39</v>
      </c>
      <c r="H7" s="2" t="s">
        <v>40</v>
      </c>
      <c r="I7" s="3" t="str">
        <f>IFERROR(__xludf.DUMMYFUNCTION("GOOGLETRANSLATE(C7,""fr"",""en"")"),"For an insurer supposedly not dear I am on it because it is no longer the cheapest on the market and in the event of an accident you have to fight with the manager to assert his rights to insure (you are declared responsible except that You are convinced "&amp;"that this is not the case).
In the event of a break in ice I was almost forced to go to a repairer approve outside that I mentioned to my interlocutor that I knew one, we ended up taking the head since I did not want to go to A repairer approve.")</f>
        <v>For an insurer supposedly not dear I am on it because it is no longer the cheapest on the market and in the event of an accident you have to fight with the manager to assert his rights to insure (you are declared responsible except that You are convinced that this is not the case).
In the event of a break in ice I was almost forced to go to a repairer approve outside that I mentioned to my interlocutor that I knew one, we ended up taking the head since I did not want to go to A repairer approve.</v>
      </c>
    </row>
    <row r="8">
      <c r="A8" s="2">
        <v>2.0</v>
      </c>
      <c r="B8" s="2" t="s">
        <v>41</v>
      </c>
      <c r="C8" s="2" t="s">
        <v>42</v>
      </c>
      <c r="D8" s="2" t="s">
        <v>43</v>
      </c>
      <c r="E8" s="2" t="s">
        <v>14</v>
      </c>
      <c r="F8" s="2" t="s">
        <v>15</v>
      </c>
      <c r="G8" s="2" t="s">
        <v>44</v>
      </c>
      <c r="H8" s="2" t="s">
        <v>45</v>
      </c>
      <c r="I8" s="3" t="str">
        <f>IFERROR(__xludf.DUMMYFUNCTION("GOOGLETRANSLATE(C8,""fr"",""en"")"),"Customer for 40 years as well as my mom the Macif did not hesitate a second to terminate my mother's auto contract following three small claims certainly bring together but with a maximum bonus acquired over the years
All the speeches on the societariat "&amp;"The quality of the relationship and the mutualist character are therefore only a vast fummerie because our intervention with customer service has not changed anything on the final decision
I therefore made the decision to terminate my two auto contracts "&amp;"on the fields
 No, the Macif is not a good insurance company")</f>
        <v>Customer for 40 years as well as my mom the Macif did not hesitate a second to terminate my mother's auto contract following three small claims certainly bring together but with a maximum bonus acquired over the years
All the speeches on the societariat The quality of the relationship and the mutualist character are therefore only a vast fummerie because our intervention with customer service has not changed anything on the final decision
I therefore made the decision to terminate my two auto contracts on the fields
 No, the Macif is not a good insurance company</v>
      </c>
    </row>
    <row r="9">
      <c r="A9" s="2">
        <v>1.0</v>
      </c>
      <c r="B9" s="2" t="s">
        <v>46</v>
      </c>
      <c r="C9" s="2" t="s">
        <v>47</v>
      </c>
      <c r="D9" s="2" t="s">
        <v>48</v>
      </c>
      <c r="E9" s="2" t="s">
        <v>14</v>
      </c>
      <c r="F9" s="2" t="s">
        <v>15</v>
      </c>
      <c r="G9" s="2" t="s">
        <v>49</v>
      </c>
      <c r="H9" s="2" t="s">
        <v>50</v>
      </c>
      <c r="I9" s="3" t="str">
        <f>IFERROR(__xludf.DUMMYFUNCTION("GOOGLETRANSLATE(C9,""fr"",""en"")"),"My wife was rugged 5 years ago. The responsibilities are clearly established: the other driver has grilled a stop and returned to the side of my wife's car at 70km/h. He is therefore 100%responsible.
Since my wife has been in pain in a shoulder and will "&amp;"probably have to have an operation soon.
Unfortunately, the other driver was also assured at Maif. What appears as an advantage since there is only one insurer at stake, quickly becomes a drawback.
At no time did the MAIF behaved as a partner alongside "&amp;"its client, but as an opponent to counter.
MAIF is reluctant to compensate my wife. It does not recognize the physical damage on the grounds that it is not certain 100%, because it is impossible to prove that the shoulder was valid 100% just before the s"&amp;"hock. Well what, you don't drive with a radiography device in your car?
As for moral damage, she proposed compensation at a discount, far below the sums usually proposed.
While the file is simple, the case had to be brought before the courts. MAIF uses "&amp;"all procedural strings to drag the judgment.
Customer for over 30 years, I am disgusted.
MAIF, militant insurer .... of the cause of radins insurers.")</f>
        <v>My wife was rugged 5 years ago. The responsibilities are clearly established: the other driver has grilled a stop and returned to the side of my wife's car at 70km/h. He is therefore 100%responsible.
Since my wife has been in pain in a shoulder and will probably have to have an operation soon.
Unfortunately, the other driver was also assured at Maif. What appears as an advantage since there is only one insurer at stake, quickly becomes a drawback.
At no time did the MAIF behaved as a partner alongside its client, but as an opponent to counter.
MAIF is reluctant to compensate my wife. It does not recognize the physical damage on the grounds that it is not certain 100%, because it is impossible to prove that the shoulder was valid 100% just before the shock. Well what, you don't drive with a radiography device in your car?
As for moral damage, she proposed compensation at a discount, far below the sums usually proposed.
While the file is simple, the case had to be brought before the courts. MAIF uses all procedural strings to drag the judgment.
Customer for over 30 years, I am disgusted.
MAIF, militant insurer .... of the cause of radins insurers.</v>
      </c>
    </row>
    <row r="10">
      <c r="A10" s="2">
        <v>5.0</v>
      </c>
      <c r="B10" s="2" t="s">
        <v>51</v>
      </c>
      <c r="C10" s="2" t="s">
        <v>52</v>
      </c>
      <c r="D10" s="2" t="s">
        <v>13</v>
      </c>
      <c r="E10" s="2" t="s">
        <v>14</v>
      </c>
      <c r="F10" s="2" t="s">
        <v>15</v>
      </c>
      <c r="G10" s="2" t="s">
        <v>53</v>
      </c>
      <c r="H10" s="2" t="s">
        <v>54</v>
      </c>
      <c r="I10" s="3" t="str">
        <f>IFERROR(__xludf.DUMMYFUNCTION("GOOGLETRANSLATE(C10,""fr"",""en"")"),"After having been failed at Direct Insurance I prospected, I saw the very interesting prices so I darken, I do not regret at all, it is one of the cheapest insurance on the market, very satisfied")</f>
        <v>After having been failed at Direct Insurance I prospected, I saw the very interesting prices so I darken, I do not regret at all, it is one of the cheapest insurance on the market, very satisfied</v>
      </c>
    </row>
    <row r="11">
      <c r="A11" s="2">
        <v>5.0</v>
      </c>
      <c r="B11" s="2" t="s">
        <v>55</v>
      </c>
      <c r="C11" s="2" t="s">
        <v>56</v>
      </c>
      <c r="D11" s="2" t="s">
        <v>20</v>
      </c>
      <c r="E11" s="2" t="s">
        <v>14</v>
      </c>
      <c r="F11" s="2" t="s">
        <v>15</v>
      </c>
      <c r="G11" s="2" t="s">
        <v>57</v>
      </c>
      <c r="H11" s="2" t="s">
        <v>58</v>
      </c>
      <c r="I11" s="3" t="str">
        <f>IFERROR(__xludf.DUMMYFUNCTION("GOOGLETRANSLATE(C11,""fr"",""en"")"),"No problems everything is perfect. This is at least 10 years that I am at Direct Assurance. Despite the advice of certain insurers. Magnist and cars all is well. Thank you and see you soon.")</f>
        <v>No problems everything is perfect. This is at least 10 years that I am at Direct Assurance. Despite the advice of certain insurers. Magnist and cars all is well. Thank you and see you soon.</v>
      </c>
    </row>
    <row r="12">
      <c r="A12" s="2">
        <v>1.0</v>
      </c>
      <c r="B12" s="2" t="s">
        <v>59</v>
      </c>
      <c r="C12" s="2" t="s">
        <v>60</v>
      </c>
      <c r="D12" s="2" t="s">
        <v>61</v>
      </c>
      <c r="E12" s="2" t="s">
        <v>14</v>
      </c>
      <c r="F12" s="2" t="s">
        <v>15</v>
      </c>
      <c r="G12" s="2" t="s">
        <v>62</v>
      </c>
      <c r="H12" s="2" t="s">
        <v>63</v>
      </c>
      <c r="I12" s="3" t="str">
        <f>IFERROR(__xludf.DUMMYFUNCTION("GOOGLETRANSLATE(C12,""fr"",""en"")"),"I strongly recommend this insurance: a very poor quality customer service! No recognition to customers. I am shocked by their procedures.")</f>
        <v>I strongly recommend this insurance: a very poor quality customer service! No recognition to customers. I am shocked by their procedures.</v>
      </c>
    </row>
    <row r="13">
      <c r="A13" s="2">
        <v>2.0</v>
      </c>
      <c r="B13" s="2" t="s">
        <v>64</v>
      </c>
      <c r="C13" s="2" t="s">
        <v>65</v>
      </c>
      <c r="D13" s="2" t="s">
        <v>66</v>
      </c>
      <c r="E13" s="2" t="s">
        <v>14</v>
      </c>
      <c r="F13" s="2" t="s">
        <v>15</v>
      </c>
      <c r="G13" s="2" t="s">
        <v>67</v>
      </c>
      <c r="H13" s="2" t="s">
        <v>68</v>
      </c>
      <c r="I13" s="3" t="str">
        <f>IFERROR(__xludf.DUMMYFUNCTION("GOOGLETRANSLATE(C13,""fr"",""en"")"),"Eurofil is the worst insurers. Never subscribe with them, quite simply. The money they collect well, that is not a problem. However, I confirm that ""customer service"" is in fact a termination service. If you ask for anything, they will take you directly"&amp;" without prevail or discussion. In fact, you will not even know it ... One day you will call in good faith, and we will tell you that you are not ensuring :) Customer service records your calls and you are student: if your conversation refers to a ""Suspi"&amp;"nation of risk"": you are radiated without summons. By suspicion we hear: Suspension of disgust of claims, signing of termination, signing of change of situation (you want to lower or increase your guarantees), Soupon de change de insurer (you ask for a q"&amp;"uote or a notice of situation) ... Basically, don't call.
I myself called to increase my guarantees after a change of job (so a greater risk in my eyes ...), the young lady replied that it was not possible, answer that satisfied me But hey ... I will hav"&amp;"e done with it! But not Eurofil: my account was immediate gele, impossible to join them or to be attached by them ... Obviously the sag remains (it would be too beautiful otherwise let's see!)
I will have warned you ....")</f>
        <v>Eurofil is the worst insurers. Never subscribe with them, quite simply. The money they collect well, that is not a problem. However, I confirm that "customer service" is in fact a termination service. If you ask for anything, they will take you directly without prevail or discussion. In fact, you will not even know it ... One day you will call in good faith, and we will tell you that you are not ensuring :) Customer service records your calls and you are student: if your conversation refers to a "Suspination of risk": you are radiated without summons. By suspicion we hear: Suspension of disgust of claims, signing of termination, signing of change of situation (you want to lower or increase your guarantees), Soupon de change de insurer (you ask for a quote or a notice of situation) ... Basically, don't call.
I myself called to increase my guarantees after a change of job (so a greater risk in my eyes ...), the young lady replied that it was not possible, answer that satisfied me But hey ... I will have done with it! But not Eurofil: my account was immediate gele, impossible to join them or to be attached by them ... Obviously the sag remains (it would be too beautiful otherwise let's see!)
I will have warned you ....</v>
      </c>
    </row>
    <row r="14">
      <c r="A14" s="2">
        <v>1.0</v>
      </c>
      <c r="B14" s="2" t="s">
        <v>69</v>
      </c>
      <c r="C14" s="2" t="s">
        <v>70</v>
      </c>
      <c r="D14" s="2" t="s">
        <v>20</v>
      </c>
      <c r="E14" s="2" t="s">
        <v>14</v>
      </c>
      <c r="F14" s="2" t="s">
        <v>15</v>
      </c>
      <c r="G14" s="2" t="s">
        <v>71</v>
      </c>
      <c r="H14" s="2" t="s">
        <v>72</v>
      </c>
      <c r="I14" s="3" t="str">
        <f>IFERROR(__xludf.DUMMYFUNCTION("GOOGLETRANSLATE(C14,""fr"",""en"")"),"I am in anger because I was taken 175.63 euros for a reason. After calling you at least five times, the problem is still not resolved.")</f>
        <v>I am in anger because I was taken 175.63 euros for a reason. After calling you at least five times, the problem is still not resolved.</v>
      </c>
    </row>
    <row r="15">
      <c r="A15" s="2">
        <v>2.0</v>
      </c>
      <c r="B15" s="2" t="s">
        <v>73</v>
      </c>
      <c r="C15" s="2" t="s">
        <v>74</v>
      </c>
      <c r="D15" s="2" t="s">
        <v>75</v>
      </c>
      <c r="E15" s="2" t="s">
        <v>31</v>
      </c>
      <c r="F15" s="2" t="s">
        <v>15</v>
      </c>
      <c r="G15" s="2" t="s">
        <v>76</v>
      </c>
      <c r="H15" s="2" t="s">
        <v>77</v>
      </c>
      <c r="I15" s="3" t="str">
        <f>IFERROR(__xludf.DUMMYFUNCTION("GOOGLETRANSLATE(C15,""fr"",""en"")"),"Mutual harmony.
I have been at this mutual insurance company since 2020. It is a disaster. In this year 2021 currently, the connection of my file is not established with the compulsory diet fund. How long to wait? .")</f>
        <v>Mutual harmony.
I have been at this mutual insurance company since 2020. It is a disaster. In this year 2021 currently, the connection of my file is not established with the compulsory diet fund. How long to wait? .</v>
      </c>
    </row>
    <row r="16">
      <c r="A16" s="2">
        <v>4.0</v>
      </c>
      <c r="B16" s="2" t="s">
        <v>78</v>
      </c>
      <c r="C16" s="2" t="s">
        <v>79</v>
      </c>
      <c r="D16" s="2" t="s">
        <v>80</v>
      </c>
      <c r="E16" s="2" t="s">
        <v>25</v>
      </c>
      <c r="F16" s="2" t="s">
        <v>15</v>
      </c>
      <c r="G16" s="2" t="s">
        <v>81</v>
      </c>
      <c r="H16" s="2" t="s">
        <v>17</v>
      </c>
      <c r="I16" s="3" t="str">
        <f>IFERROR(__xludf.DUMMYFUNCTION("GOOGLETRANSLATE(C16,""fr"",""en"")"),"I am satisfied with the service, the subscription is relatively easy. The offer seems correct to the competition. Like any insurance, to be tested in the event of a problem.")</f>
        <v>I am satisfied with the service, the subscription is relatively easy. The offer seems correct to the competition. Like any insurance, to be tested in the event of a problem.</v>
      </c>
    </row>
    <row r="17">
      <c r="A17" s="2">
        <v>5.0</v>
      </c>
      <c r="B17" s="2" t="s">
        <v>82</v>
      </c>
      <c r="C17" s="2" t="s">
        <v>83</v>
      </c>
      <c r="D17" s="2" t="s">
        <v>20</v>
      </c>
      <c r="E17" s="2" t="s">
        <v>14</v>
      </c>
      <c r="F17" s="2" t="s">
        <v>15</v>
      </c>
      <c r="G17" s="2" t="s">
        <v>21</v>
      </c>
      <c r="H17" s="2" t="s">
        <v>17</v>
      </c>
      <c r="I17" s="3" t="str">
        <f>IFERROR(__xludf.DUMMYFUNCTION("GOOGLETRANSLATE(C17,""fr"",""en"")"),"Very simple and very well explained.
Everything is very clear
Affordable price
Very satisfied with your service
Thank you very much for your service and your patient.")</f>
        <v>Very simple and very well explained.
Everything is very clear
Affordable price
Very satisfied with your service
Thank you very much for your service and your patient.</v>
      </c>
    </row>
    <row r="18">
      <c r="A18" s="2">
        <v>4.0</v>
      </c>
      <c r="B18" s="2" t="s">
        <v>84</v>
      </c>
      <c r="C18" s="2" t="s">
        <v>85</v>
      </c>
      <c r="D18" s="2" t="s">
        <v>48</v>
      </c>
      <c r="E18" s="2" t="s">
        <v>14</v>
      </c>
      <c r="F18" s="2" t="s">
        <v>15</v>
      </c>
      <c r="G18" s="2" t="s">
        <v>86</v>
      </c>
      <c r="H18" s="2" t="s">
        <v>87</v>
      </c>
      <c r="I18" s="3" t="str">
        <f>IFERROR(__xludf.DUMMYFUNCTION("GOOGLETRANSLATE(C18,""fr"",""en"")"),"I only have good to say maif. Insured at home for 20 years, I underwent 2 claims home, and 2 claims vehicle. The interventions have always taken place with fluidity, speed and clarity. I have always felt listened to and understood. The advisers are at a h"&amp;"igh level of listening and attention and very warm. I recently signed a contract for the activities of an association law 1901, I had made a comparison with 4 other insurers, the MAIF gained hand in terms of:
. Home and personalization of the advice, kno"&amp;"wledge and mastery of the subject
. Clarity and precision of the terms of the contract: I know exactly for what and how I am assured, I have no bad surprises
. rate
")</f>
        <v>I only have good to say maif. Insured at home for 20 years, I underwent 2 claims home, and 2 claims vehicle. The interventions have always taken place with fluidity, speed and clarity. I have always felt listened to and understood. The advisers are at a high level of listening and attention and very warm. I recently signed a contract for the activities of an association law 1901, I had made a comparison with 4 other insurers, the MAIF gained hand in terms of:
. Home and personalization of the advice, knowledge and mastery of the subject
. Clarity and precision of the terms of the contract: I know exactly for what and how I am assured, I have no bad surprises
. rate
</v>
      </c>
    </row>
    <row r="19">
      <c r="A19" s="2">
        <v>1.0</v>
      </c>
      <c r="B19" s="2" t="s">
        <v>88</v>
      </c>
      <c r="C19" s="2" t="s">
        <v>89</v>
      </c>
      <c r="D19" s="2" t="s">
        <v>90</v>
      </c>
      <c r="E19" s="2" t="s">
        <v>91</v>
      </c>
      <c r="F19" s="2" t="s">
        <v>15</v>
      </c>
      <c r="G19" s="2" t="s">
        <v>92</v>
      </c>
      <c r="H19" s="2" t="s">
        <v>93</v>
      </c>
      <c r="I19" s="3" t="str">
        <f>IFERROR(__xludf.DUMMYFUNCTION("GOOGLETRANSLATE(C19,""fr"",""en"")"),"I am very disappointed I am going to Sogesur because my advisor offers me and one week after I had a bp with a car buy just after so I take contact with the platform which tells me to take an expert in order to have a report Expertise and contact them aft"&amp;"er the report those I do and the most no one to follow my file because supposedly I was not ensuring at Eu at the time of purchase but then Pkoi MAVIER said to take an expert and now everything And at my expense and I had an advisor who told me what go an"&amp;"yway to advise me for the steps to follow even if he did not take the expense I find them very nice but after more new I realize them let message send Email and many more answers this one disappointed with this insurance I do not recommend it to everyone")</f>
        <v>I am very disappointed I am going to Sogesur because my advisor offers me and one week after I had a bp with a car buy just after so I take contact with the platform which tells me to take an expert in order to have a report Expertise and contact them after the report those I do and the most no one to follow my file because supposedly I was not ensuring at Eu at the time of purchase but then Pkoi MAVIER said to take an expert and now everything And at my expense and I had an advisor who told me what go anyway to advise me for the steps to follow even if he did not take the expense I find them very nice but after more new I realize them let message send Email and many more answers this one disappointed with this insurance I do not recommend it to everyone</v>
      </c>
    </row>
    <row r="20">
      <c r="A20" s="2">
        <v>1.0</v>
      </c>
      <c r="B20" s="2" t="s">
        <v>94</v>
      </c>
      <c r="C20" s="2" t="s">
        <v>95</v>
      </c>
      <c r="D20" s="2" t="s">
        <v>96</v>
      </c>
      <c r="E20" s="2" t="s">
        <v>97</v>
      </c>
      <c r="F20" s="2" t="s">
        <v>15</v>
      </c>
      <c r="G20" s="2" t="s">
        <v>98</v>
      </c>
      <c r="H20" s="2" t="s">
        <v>17</v>
      </c>
      <c r="I20" s="3" t="str">
        <f>IFERROR(__xludf.DUMMYFUNCTION("GOOGLETRANSLATE(C20,""fr"",""en"")"),"Total loan reimbursement in February, since they continue to take me. Total loan refund certificate, no response to emails, and on the phone I am told that my file will be processed.
Insurance to flee as soon as possible.")</f>
        <v>Total loan reimbursement in February, since they continue to take me. Total loan refund certificate, no response to emails, and on the phone I am told that my file will be processed.
Insurance to flee as soon as possible.</v>
      </c>
    </row>
    <row r="21" ht="15.75" customHeight="1">
      <c r="A21" s="2">
        <v>5.0</v>
      </c>
      <c r="B21" s="2" t="s">
        <v>99</v>
      </c>
      <c r="C21" s="2" t="s">
        <v>100</v>
      </c>
      <c r="D21" s="2" t="s">
        <v>101</v>
      </c>
      <c r="E21" s="2" t="s">
        <v>31</v>
      </c>
      <c r="F21" s="2" t="s">
        <v>15</v>
      </c>
      <c r="G21" s="2" t="s">
        <v>102</v>
      </c>
      <c r="H21" s="2" t="s">
        <v>103</v>
      </c>
      <c r="I21" s="3" t="str">
        <f>IFERROR(__xludf.DUMMYFUNCTION("GOOGLETRANSLATE(C21,""fr"",""en"")"),"Super mutual
I have been with them for a long time!
Good guaranteed/price ratio
Very friendly advised
Good availability of all services.
The guarantees satisfy me fully.!
")</f>
        <v>Super mutual
I have been with them for a long time!
Good guaranteed/price ratio
Very friendly advised
Good availability of all services.
The guarantees satisfy me fully.!
</v>
      </c>
    </row>
    <row r="22" ht="15.75" customHeight="1">
      <c r="A22" s="2">
        <v>1.0</v>
      </c>
      <c r="B22" s="2" t="s">
        <v>104</v>
      </c>
      <c r="C22" s="2" t="s">
        <v>105</v>
      </c>
      <c r="D22" s="2" t="s">
        <v>106</v>
      </c>
      <c r="E22" s="2" t="s">
        <v>107</v>
      </c>
      <c r="F22" s="2" t="s">
        <v>15</v>
      </c>
      <c r="G22" s="2" t="s">
        <v>108</v>
      </c>
      <c r="H22" s="2" t="s">
        <v>109</v>
      </c>
      <c r="I22" s="3" t="str">
        <f>IFERROR(__xludf.DUMMYFUNCTION("GOOGLETRANSLATE(C22,""fr"",""en"")"),"job seeker since a contractual breakdown on 03/29/2017, I had to wait from my ""employer"" the portability document for the provident 1 month, which does not surprise me will close soon and look forward to sending the IJ CPAM documents to the AG2R, on the"&amp;" other hand a real obstacle course with AG2R Provident of Chartres very polite very attentive at first, but waterproof to my requests for information and documentation On my current contract and which in my opinion is only provident of name! Apart from ma"&amp;"king me waste my time by asking me for documents that they have already received and validated by email, despite my calls where I come across tele-advice which know nothing about your file but ""will transmit"" above, in The more he asks me for a proof of"&amp;" employment of more than a year when he pays me daily allowances already since January 2016 and that I paid half with my former employer the monthly amount of provident (sic) is Really pathetic on the part of a large insurance group, is this of incompeten"&amp;"ce? In short, I am in question on the honesty of this group. All this for a 20 -day IJ regulations and in view of the posted opinions it is not won. The only valid answer that I accept it is the rules From my due the rest is blabla to which I would not an"&amp;"swer
")</f>
        <v>job seeker since a contractual breakdown on 03/29/2017, I had to wait from my "employer" the portability document for the provident 1 month, which does not surprise me will close soon and look forward to sending the IJ CPAM documents to the AG2R, on the other hand a real obstacle course with AG2R Provident of Chartres very polite very attentive at first, but waterproof to my requests for information and documentation On my current contract and which in my opinion is only provident of name! Apart from making me waste my time by asking me for documents that they have already received and validated by email, despite my calls where I come across tele-advice which know nothing about your file but "will transmit" above, in The more he asks me for a proof of employment of more than a year when he pays me daily allowances already since January 2016 and that I paid half with my former employer the monthly amount of provident (sic) is Really pathetic on the part of a large insurance group, is this of incompetence? In short, I am in question on the honesty of this group. All this for a 20 -day IJ regulations and in view of the posted opinions it is not won. The only valid answer that I accept it is the rules From my due the rest is blabla to which I would not answer
</v>
      </c>
    </row>
    <row r="23" ht="15.75" customHeight="1">
      <c r="A23" s="2">
        <v>1.0</v>
      </c>
      <c r="B23" s="2" t="s">
        <v>110</v>
      </c>
      <c r="C23" s="2" t="s">
        <v>111</v>
      </c>
      <c r="D23" s="2" t="s">
        <v>112</v>
      </c>
      <c r="E23" s="2" t="s">
        <v>14</v>
      </c>
      <c r="F23" s="2" t="s">
        <v>15</v>
      </c>
      <c r="G23" s="2" t="s">
        <v>113</v>
      </c>
      <c r="H23" s="2" t="s">
        <v>114</v>
      </c>
      <c r="I23" s="3" t="str">
        <f>IFERROR(__xludf.DUMMYFUNCTION("GOOGLETRANSLATE(C23,""fr"",""en"")"),"Deplorable !!! There are no other words.
All that is said by unhappy Internet users is more than true !!!
Brand to avoid absolutely")</f>
        <v>Deplorable !!! There are no other words.
All that is said by unhappy Internet users is more than true !!!
Brand to avoid absolutely</v>
      </c>
    </row>
    <row r="24" ht="15.75" customHeight="1">
      <c r="A24" s="2">
        <v>4.0</v>
      </c>
      <c r="B24" s="2" t="s">
        <v>115</v>
      </c>
      <c r="C24" s="2" t="s">
        <v>116</v>
      </c>
      <c r="D24" s="2" t="s">
        <v>117</v>
      </c>
      <c r="E24" s="2" t="s">
        <v>14</v>
      </c>
      <c r="F24" s="2" t="s">
        <v>15</v>
      </c>
      <c r="G24" s="2" t="s">
        <v>118</v>
      </c>
      <c r="H24" s="2" t="s">
        <v>119</v>
      </c>
      <c r="I24" s="3" t="str">
        <f>IFERROR(__xludf.DUMMYFUNCTION("GOOGLETRANSLATE(C24,""fr"",""en"")"),"Interesting insurance with a nice internet.")</f>
        <v>Interesting insurance with a nice internet.</v>
      </c>
    </row>
    <row r="25" ht="15.75" customHeight="1">
      <c r="A25" s="2">
        <v>3.0</v>
      </c>
      <c r="B25" s="2" t="s">
        <v>120</v>
      </c>
      <c r="C25" s="2" t="s">
        <v>121</v>
      </c>
      <c r="D25" s="2" t="s">
        <v>20</v>
      </c>
      <c r="E25" s="2" t="s">
        <v>14</v>
      </c>
      <c r="F25" s="2" t="s">
        <v>15</v>
      </c>
      <c r="G25" s="2" t="s">
        <v>58</v>
      </c>
      <c r="H25" s="2" t="s">
        <v>58</v>
      </c>
      <c r="I25" s="3" t="str">
        <f>IFERROR(__xludf.DUMMYFUNCTION("GOOGLETRANSLATE(C25,""fr"",""en"")"),"The price is competitive, it suits me, the offer also suits me, support in administrative procedures is very satisfactory. I recommend.")</f>
        <v>The price is competitive, it suits me, the offer also suits me, support in administrative procedures is very satisfactory. I recommend.</v>
      </c>
    </row>
    <row r="26" ht="15.75" customHeight="1">
      <c r="A26" s="2">
        <v>4.0</v>
      </c>
      <c r="B26" s="2" t="s">
        <v>122</v>
      </c>
      <c r="C26" s="2" t="s">
        <v>123</v>
      </c>
      <c r="D26" s="2" t="s">
        <v>13</v>
      </c>
      <c r="E26" s="2" t="s">
        <v>14</v>
      </c>
      <c r="F26" s="2" t="s">
        <v>15</v>
      </c>
      <c r="G26" s="2" t="s">
        <v>124</v>
      </c>
      <c r="H26" s="2" t="s">
        <v>125</v>
      </c>
      <c r="I26" s="3" t="str">
        <f>IFERROR(__xludf.DUMMYFUNCTION("GOOGLETRANSLATE(C26,""fr"",""en"")"),"It is very practical telephone and online service ...
The interlocutors on the phone are nice, patient and pedagogue ... Good services ...
The contract price is nice ...")</f>
        <v>It is very practical telephone and online service ...
The interlocutors on the phone are nice, patient and pedagogue ... Good services ...
The contract price is nice ...</v>
      </c>
    </row>
    <row r="27" ht="15.75" customHeight="1">
      <c r="A27" s="2">
        <v>4.0</v>
      </c>
      <c r="B27" s="2" t="s">
        <v>126</v>
      </c>
      <c r="C27" s="2" t="s">
        <v>127</v>
      </c>
      <c r="D27" s="2" t="s">
        <v>128</v>
      </c>
      <c r="E27" s="2" t="s">
        <v>97</v>
      </c>
      <c r="F27" s="2" t="s">
        <v>15</v>
      </c>
      <c r="G27" s="2" t="s">
        <v>129</v>
      </c>
      <c r="H27" s="2" t="s">
        <v>77</v>
      </c>
      <c r="I27" s="3" t="str">
        <f>IFERROR(__xludf.DUMMYFUNCTION("GOOGLETRANSLATE(C27,""fr"",""en"")"),"I am satisfied with the service, the prices are very attractive and suit me. A simple and quick change within everyone's reach.
Thanks to the whole team of Zen +")</f>
        <v>I am satisfied with the service, the prices are very attractive and suit me. A simple and quick change within everyone's reach.
Thanks to the whole team of Zen +</v>
      </c>
    </row>
    <row r="28" ht="15.75" customHeight="1">
      <c r="A28" s="2">
        <v>5.0</v>
      </c>
      <c r="B28" s="2" t="s">
        <v>130</v>
      </c>
      <c r="C28" s="2" t="s">
        <v>131</v>
      </c>
      <c r="D28" s="2" t="s">
        <v>20</v>
      </c>
      <c r="E28" s="2" t="s">
        <v>14</v>
      </c>
      <c r="F28" s="2" t="s">
        <v>15</v>
      </c>
      <c r="G28" s="2" t="s">
        <v>132</v>
      </c>
      <c r="H28" s="2" t="s">
        <v>133</v>
      </c>
      <c r="I28" s="3" t="str">
        <f>IFERROR(__xludf.DUMMYFUNCTION("GOOGLETRANSLATE(C28,""fr"",""en"")"),"Very well advised, very friendly lady. I will advise direct insurance to many of my loved ones. Thank you for everything and to pleasure.
Good luck.")</f>
        <v>Very well advised, very friendly lady. I will advise direct insurance to many of my loved ones. Thank you for everything and to pleasure.
Good luck.</v>
      </c>
    </row>
    <row r="29" ht="15.75" customHeight="1">
      <c r="A29" s="2">
        <v>5.0</v>
      </c>
      <c r="B29" s="2" t="s">
        <v>134</v>
      </c>
      <c r="C29" s="2" t="s">
        <v>135</v>
      </c>
      <c r="D29" s="2" t="s">
        <v>20</v>
      </c>
      <c r="E29" s="2" t="s">
        <v>14</v>
      </c>
      <c r="F29" s="2" t="s">
        <v>15</v>
      </c>
      <c r="G29" s="2" t="s">
        <v>136</v>
      </c>
      <c r="H29" s="2" t="s">
        <v>133</v>
      </c>
      <c r="I29" s="3" t="str">
        <f>IFERROR(__xludf.DUMMYFUNCTION("GOOGLETRANSLATE(C29,""fr"",""en"")"),"Good efficient and fast subscription
I recommend !
Subscription and send paper, if concerns advisable reachable by phone! And really top price question")</f>
        <v>Good efficient and fast subscription
I recommend !
Subscription and send paper, if concerns advisable reachable by phone! And really top price question</v>
      </c>
    </row>
    <row r="30" ht="15.75" customHeight="1">
      <c r="A30" s="2">
        <v>1.0</v>
      </c>
      <c r="B30" s="2" t="s">
        <v>137</v>
      </c>
      <c r="C30" s="2" t="s">
        <v>138</v>
      </c>
      <c r="D30" s="2" t="s">
        <v>112</v>
      </c>
      <c r="E30" s="2" t="s">
        <v>14</v>
      </c>
      <c r="F30" s="2" t="s">
        <v>15</v>
      </c>
      <c r="G30" s="2" t="s">
        <v>139</v>
      </c>
      <c r="H30" s="2" t="s">
        <v>140</v>
      </c>
      <c r="I30" s="3" t="str">
        <f>IFERROR(__xludf.DUMMYFUNCTION("GOOGLETRANSLATE(C30,""fr"",""en"")"),"No answers to the many email and telephone calls about a claims challenge. I just seized the insurers' mediator. To be continued")</f>
        <v>No answers to the many email and telephone calls about a claims challenge. I just seized the insurers' mediator. To be continued</v>
      </c>
    </row>
    <row r="31" ht="15.75" customHeight="1">
      <c r="A31" s="2">
        <v>4.0</v>
      </c>
      <c r="B31" s="2" t="s">
        <v>141</v>
      </c>
      <c r="C31" s="2" t="s">
        <v>142</v>
      </c>
      <c r="D31" s="2" t="s">
        <v>43</v>
      </c>
      <c r="E31" s="2" t="s">
        <v>14</v>
      </c>
      <c r="F31" s="2" t="s">
        <v>15</v>
      </c>
      <c r="G31" s="2" t="s">
        <v>143</v>
      </c>
      <c r="H31" s="2" t="s">
        <v>144</v>
      </c>
      <c r="I31" s="3" t="str">
        <f>IFERROR(__xludf.DUMMYFUNCTION("GOOGLETRANSLATE(C31,""fr"",""en"")"),"I have been a Macif client for many years.
Most recently, I broke down in Paris with my stepfather's car, assured at MMA, who despite being insured in all risks, cannot benefit from the assistance in the event of a breakdown ... This that he did not know"&amp;". It is an option !!! Not being able to tow, I contacted the Macif hotline in despair where a young woman found me in less than 1 hour, a towing and care in a garage on Saturday evening at 19 hours ... when it was absolutely not forced to do so since this"&amp;" vehicle is not insured at the Macif ...
She frankly pulled me from a huge guidance who allowed me to go home in the provinces and not to stay in Paris for the time to find a solution.
The Macif does not need to do an advertising campaign ""zero blah, z"&amp;"ero hassle"" ... they do it!")</f>
        <v>I have been a Macif client for many years.
Most recently, I broke down in Paris with my stepfather's car, assured at MMA, who despite being insured in all risks, cannot benefit from the assistance in the event of a breakdown ... This that he did not know. It is an option !!! Not being able to tow, I contacted the Macif hotline in despair where a young woman found me in less than 1 hour, a towing and care in a garage on Saturday evening at 19 hours ... when it was absolutely not forced to do so since this vehicle is not insured at the Macif ...
She frankly pulled me from a huge guidance who allowed me to go home in the provinces and not to stay in Paris for the time to find a solution.
The Macif does not need to do an advertising campaign "zero blah, zero hassle" ... they do it!</v>
      </c>
    </row>
    <row r="32" ht="15.75" customHeight="1">
      <c r="A32" s="2">
        <v>5.0</v>
      </c>
      <c r="B32" s="2" t="s">
        <v>145</v>
      </c>
      <c r="C32" s="2" t="s">
        <v>146</v>
      </c>
      <c r="D32" s="2" t="s">
        <v>147</v>
      </c>
      <c r="E32" s="2" t="s">
        <v>31</v>
      </c>
      <c r="F32" s="2" t="s">
        <v>15</v>
      </c>
      <c r="G32" s="2" t="s">
        <v>148</v>
      </c>
      <c r="H32" s="2" t="s">
        <v>149</v>
      </c>
      <c r="I32" s="3" t="str">
        <f>IFERROR(__xludf.DUMMYFUNCTION("GOOGLETRANSLATE(C32,""fr"",""en"")"),"To date no problem with the MGP
Very kind on the phone and no information problem
Everything is going well for the moment despite the situation to this very complicated day am happy")</f>
        <v>To date no problem with the MGP
Very kind on the phone and no information problem
Everything is going well for the moment despite the situation to this very complicated day am happy</v>
      </c>
    </row>
    <row r="33" ht="15.75" customHeight="1">
      <c r="A33" s="2">
        <v>2.0</v>
      </c>
      <c r="B33" s="2" t="s">
        <v>150</v>
      </c>
      <c r="C33" s="2" t="s">
        <v>151</v>
      </c>
      <c r="D33" s="2" t="s">
        <v>112</v>
      </c>
      <c r="E33" s="2" t="s">
        <v>14</v>
      </c>
      <c r="F33" s="2" t="s">
        <v>15</v>
      </c>
      <c r="G33" s="2" t="s">
        <v>152</v>
      </c>
      <c r="H33" s="2" t="s">
        <v>152</v>
      </c>
      <c r="I33" s="3" t="str">
        <f>IFERROR(__xludf.DUMMYFUNCTION("GOOGLETRANSLATE(C33,""fr"",""en"")"),"Completely dissatisfied after my last exchange with a most unpleasant advisor (not actually counting the wait to receive the green card and the small plastic ever received to affix on the windshield) to set up a contract that she had confirmed to me 2 day"&amp;"s earlier by giving me the corresponding monthly payments with my bonus and when establishing the contract ultimately the software refuses it by politeness I tell him you had to make a mistake and it with a pissed and arogued tone tells me ""you n 'Don't "&amp;"insist her does not pass. "" In short, advice changed your advisers or form the correctly and I hope that a manager will be able to listen to this conversation if it has been registered. My termination letter by tomorrow.")</f>
        <v>Completely dissatisfied after my last exchange with a most unpleasant advisor (not actually counting the wait to receive the green card and the small plastic ever received to affix on the windshield) to set up a contract that she had confirmed to me 2 days earlier by giving me the corresponding monthly payments with my bonus and when establishing the contract ultimately the software refuses it by politeness I tell him you had to make a mistake and it with a pissed and arogued tone tells me "you n 'Don't insist her does not pass. " In short, advice changed your advisers or form the correctly and I hope that a manager will be able to listen to this conversation if it has been registered. My termination letter by tomorrow.</v>
      </c>
    </row>
    <row r="34" ht="15.75" customHeight="1">
      <c r="A34" s="2">
        <v>5.0</v>
      </c>
      <c r="B34" s="2" t="s">
        <v>153</v>
      </c>
      <c r="C34" s="2" t="s">
        <v>154</v>
      </c>
      <c r="D34" s="2" t="s">
        <v>20</v>
      </c>
      <c r="E34" s="2" t="s">
        <v>14</v>
      </c>
      <c r="F34" s="2" t="s">
        <v>15</v>
      </c>
      <c r="G34" s="2" t="s">
        <v>155</v>
      </c>
      <c r="H34" s="2" t="s">
        <v>156</v>
      </c>
      <c r="I34" s="3" t="str">
        <f>IFERROR(__xludf.DUMMYFUNCTION("GOOGLETRANSLATE(C34,""fr"",""en"")"),"Satisfied with insurance because the price remains correct already insure at home I want to stay there for my new vehicle, that is why I made a quote")</f>
        <v>Satisfied with insurance because the price remains correct already insure at home I want to stay there for my new vehicle, that is why I made a quote</v>
      </c>
    </row>
    <row r="35" ht="15.75" customHeight="1">
      <c r="A35" s="2">
        <v>1.0</v>
      </c>
      <c r="B35" s="2" t="s">
        <v>157</v>
      </c>
      <c r="C35" s="2" t="s">
        <v>158</v>
      </c>
      <c r="D35" s="2" t="s">
        <v>159</v>
      </c>
      <c r="E35" s="2" t="s">
        <v>14</v>
      </c>
      <c r="F35" s="2" t="s">
        <v>15</v>
      </c>
      <c r="G35" s="2" t="s">
        <v>86</v>
      </c>
      <c r="H35" s="2" t="s">
        <v>87</v>
      </c>
      <c r="I35" s="3" t="str">
        <f>IFERROR(__xludf.DUMMYFUNCTION("GOOGLETRANSLATE(C35,""fr"",""en"")"),"Please wait we are looking for your correspondent ... above all avoid needing your insurance. After a disaster, no one can be reachable. The partner garage is overbooked, the expert does not respond, there is no replacement vehicle available.")</f>
        <v>Please wait we are looking for your correspondent ... above all avoid needing your insurance. After a disaster, no one can be reachable. The partner garage is overbooked, the expert does not respond, there is no replacement vehicle available.</v>
      </c>
    </row>
    <row r="36" ht="15.75" customHeight="1">
      <c r="A36" s="2">
        <v>2.0</v>
      </c>
      <c r="B36" s="2" t="s">
        <v>160</v>
      </c>
      <c r="C36" s="2" t="s">
        <v>161</v>
      </c>
      <c r="D36" s="2" t="s">
        <v>162</v>
      </c>
      <c r="E36" s="2" t="s">
        <v>25</v>
      </c>
      <c r="F36" s="2" t="s">
        <v>15</v>
      </c>
      <c r="G36" s="2" t="s">
        <v>163</v>
      </c>
      <c r="H36" s="2" t="s">
        <v>164</v>
      </c>
      <c r="I36" s="3" t="str">
        <f>IFERROR(__xludf.DUMMYFUNCTION("GOOGLETRANSLATE(C36,""fr"",""en"")"),"To flee !")</f>
        <v>To flee !</v>
      </c>
    </row>
    <row r="37" ht="15.75" customHeight="1">
      <c r="A37" s="2">
        <v>1.0</v>
      </c>
      <c r="B37" s="2" t="s">
        <v>165</v>
      </c>
      <c r="C37" s="2" t="s">
        <v>166</v>
      </c>
      <c r="D37" s="2" t="s">
        <v>43</v>
      </c>
      <c r="E37" s="2" t="s">
        <v>14</v>
      </c>
      <c r="F37" s="2" t="s">
        <v>15</v>
      </c>
      <c r="G37" s="2" t="s">
        <v>167</v>
      </c>
      <c r="H37" s="2" t="s">
        <v>168</v>
      </c>
      <c r="I37" s="3" t="str">
        <f>IFERROR(__xludf.DUMMYFUNCTION("GOOGLETRANSLATE(C37,""fr"",""en"")"),"Following the inaction of the Macif services, I decided to terminate my car insurance in early November 2017.
Mid December, still not having received my refund, I have contact Macif who tells me that the latter can take up to 6 weeks as long as it is tre"&amp;"ated. To date, I am far beyond 6 weeks and I still have nothing.
On the other hand, if inadvertently we forget to pay the annual subscription in time, we receive a reminder within 3 weeks.
Macif is in a hurry to receive contributions, but reimbursement "&amp;"questions, it is the opposite.
To flee!!!
")</f>
        <v>Following the inaction of the Macif services, I decided to terminate my car insurance in early November 2017.
Mid December, still not having received my refund, I have contact Macif who tells me that the latter can take up to 6 weeks as long as it is treated. To date, I am far beyond 6 weeks and I still have nothing.
On the other hand, if inadvertently we forget to pay the annual subscription in time, we receive a reminder within 3 weeks.
Macif is in a hurry to receive contributions, but reimbursement questions, it is the opposite.
To flee!!!
</v>
      </c>
    </row>
    <row r="38" ht="15.75" customHeight="1">
      <c r="A38" s="2">
        <v>2.0</v>
      </c>
      <c r="B38" s="2" t="s">
        <v>169</v>
      </c>
      <c r="C38" s="2" t="s">
        <v>170</v>
      </c>
      <c r="D38" s="2" t="s">
        <v>13</v>
      </c>
      <c r="E38" s="2" t="s">
        <v>14</v>
      </c>
      <c r="F38" s="2" t="s">
        <v>15</v>
      </c>
      <c r="G38" s="2" t="s">
        <v>171</v>
      </c>
      <c r="H38" s="2" t="s">
        <v>172</v>
      </c>
      <c r="I38" s="3" t="str">
        <f>IFERROR(__xludf.DUMMYFUNCTION("GOOGLETRANSLATE(C38,""fr"",""en"")"),"I am satisfied on the whole for the moment to have over time di there is no problem which conch I do not think having already been provided by the olive tree.")</f>
        <v>I am satisfied on the whole for the moment to have over time di there is no problem which conch I do not think having already been provided by the olive tree.</v>
      </c>
    </row>
    <row r="39" ht="15.75" customHeight="1">
      <c r="A39" s="2">
        <v>1.0</v>
      </c>
      <c r="B39" s="2" t="s">
        <v>173</v>
      </c>
      <c r="C39" s="2" t="s">
        <v>174</v>
      </c>
      <c r="D39" s="2" t="s">
        <v>175</v>
      </c>
      <c r="E39" s="2" t="s">
        <v>107</v>
      </c>
      <c r="F39" s="2" t="s">
        <v>15</v>
      </c>
      <c r="G39" s="2" t="s">
        <v>176</v>
      </c>
      <c r="H39" s="2" t="s">
        <v>103</v>
      </c>
      <c r="I39" s="3" t="str">
        <f>IFERROR(__xludf.DUMMYFUNCTION("GOOGLETRANSLATE(C39,""fr"",""en"")"),"Provident: Since 21 09/2018 I have been waiting for an answer. Having contacted the platform several times I was entitled to several versions which is serious because which is the right one? ... Ensured for 34 years with wage and premium warranty .... hav"&amp;"ing already had reimbursements without worry 'I am released a ""30 -day franchise on bonuses'' ??? In a situation of long -free sick leave on the 4 calls 2 gave me a day counter remaining to be used on the 1080 and 2 replied that I had 2 meters and that t"&amp;"hey could not tell me the rest to use ??? incompetence of his people? And to tell me x times that we ""re -examine"" the manager who is unreachable. (intolerable). Unanswered written complaint. With other colleagues, we understand that in an interial let "&amp;"the situation rot does not meet the demand. This is only when, weariness and need, we are told that we are not taken in Load for this or that service (in my case premiums with frankness? And I still do not know why). I have to take heavy treatment and I a"&amp;"wait the answer. No question of applying for care before knowing why I am changing the guarantees that I have not changed for 34 years ...")</f>
        <v>Provident: Since 21 09/2018 I have been waiting for an answer. Having contacted the platform several times I was entitled to several versions which is serious because which is the right one? ... Ensured for 34 years with wage and premium warranty .... having already had reimbursements without worry 'I am released a "30 -day franchise on bonuses'' ??? In a situation of long -free sick leave on the 4 calls 2 gave me a day counter remaining to be used on the 1080 and 2 replied that I had 2 meters and that they could not tell me the rest to use ??? incompetence of his people? And to tell me x times that we "re -examine" the manager who is unreachable. (intolerable). Unanswered written complaint. With other colleagues, we understand that in an interial let the situation rot does not meet the demand. This is only when, weariness and need, we are told that we are not taken in Load for this or that service (in my case premiums with frankness? And I still do not know why). I have to take heavy treatment and I await the answer. No question of applying for care before knowing why I am changing the guarantees that I have not changed for 34 years ...</v>
      </c>
    </row>
    <row r="40" ht="15.75" customHeight="1">
      <c r="A40" s="2">
        <v>5.0</v>
      </c>
      <c r="B40" s="2" t="s">
        <v>177</v>
      </c>
      <c r="C40" s="2" t="s">
        <v>178</v>
      </c>
      <c r="D40" s="2" t="s">
        <v>20</v>
      </c>
      <c r="E40" s="2" t="s">
        <v>14</v>
      </c>
      <c r="F40" s="2" t="s">
        <v>15</v>
      </c>
      <c r="G40" s="2" t="s">
        <v>179</v>
      </c>
      <c r="H40" s="2" t="s">
        <v>149</v>
      </c>
      <c r="I40" s="3" t="str">
        <f>IFERROR(__xludf.DUMMYFUNCTION("GOOGLETRANSLATE(C40,""fr"",""en"")"),"Very satisfactory online contact and attractive price. The registration formalities and the online quote are very easy to make. I will recommend your services.")</f>
        <v>Very satisfactory online contact and attractive price. The registration formalities and the online quote are very easy to make. I will recommend your services.</v>
      </c>
    </row>
    <row r="41" ht="15.75" customHeight="1">
      <c r="A41" s="2">
        <v>5.0</v>
      </c>
      <c r="B41" s="2" t="s">
        <v>180</v>
      </c>
      <c r="C41" s="2" t="s">
        <v>181</v>
      </c>
      <c r="D41" s="2" t="s">
        <v>13</v>
      </c>
      <c r="E41" s="2" t="s">
        <v>14</v>
      </c>
      <c r="F41" s="2" t="s">
        <v>15</v>
      </c>
      <c r="G41" s="2" t="s">
        <v>182</v>
      </c>
      <c r="H41" s="2" t="s">
        <v>58</v>
      </c>
      <c r="I41" s="3" t="str">
        <f>IFERROR(__xludf.DUMMYFUNCTION("GOOGLETRANSLATE(C41,""fr"",""en"")"),"I am satisfied with the applied price which corresponds to my request, apart from that I wanted to settle in the year in order to benefit from an additional discount!")</f>
        <v>I am satisfied with the applied price which corresponds to my request, apart from that I wanted to settle in the year in order to benefit from an additional discount!</v>
      </c>
    </row>
    <row r="42" ht="15.75" customHeight="1">
      <c r="A42" s="2">
        <v>1.0</v>
      </c>
      <c r="B42" s="2" t="s">
        <v>183</v>
      </c>
      <c r="C42" s="2" t="s">
        <v>184</v>
      </c>
      <c r="D42" s="2" t="s">
        <v>185</v>
      </c>
      <c r="E42" s="2" t="s">
        <v>31</v>
      </c>
      <c r="F42" s="2" t="s">
        <v>15</v>
      </c>
      <c r="G42" s="2" t="s">
        <v>186</v>
      </c>
      <c r="H42" s="2" t="s">
        <v>187</v>
      </c>
      <c r="I42" s="3" t="str">
        <f>IFERROR(__xludf.DUMMYFUNCTION("GOOGLETRANSLATE(C42,""fr"",""en"")"),"In view of the criticisms that I have just read, I am sorry and reassured to see that I am not the only one to have fallen into the panel for 5 good years. Everything is bad from customer service, customer area, reimbursements and even the ridiculous answ"&amp;"ers they try
 somehow find us on this site of opinions")</f>
        <v>In view of the criticisms that I have just read, I am sorry and reassured to see that I am not the only one to have fallen into the panel for 5 good years. Everything is bad from customer service, customer area, reimbursements and even the ridiculous answers they try
 somehow find us on this site of opinions</v>
      </c>
    </row>
    <row r="43" ht="15.75" customHeight="1">
      <c r="A43" s="2">
        <v>4.0</v>
      </c>
      <c r="B43" s="2" t="s">
        <v>188</v>
      </c>
      <c r="C43" s="2" t="s">
        <v>189</v>
      </c>
      <c r="D43" s="2" t="s">
        <v>190</v>
      </c>
      <c r="E43" s="2" t="s">
        <v>31</v>
      </c>
      <c r="F43" s="2" t="s">
        <v>15</v>
      </c>
      <c r="G43" s="2" t="s">
        <v>191</v>
      </c>
      <c r="H43" s="2" t="s">
        <v>54</v>
      </c>
      <c r="I43" s="3" t="str">
        <f>IFERROR(__xludf.DUMMYFUNCTION("GOOGLETRANSLATE(C43,""fr"",""en"")"),"I had Alicia for monitoring my file and I thank her for her advice and her professionalism")</f>
        <v>I had Alicia for monitoring my file and I thank her for her advice and her professionalism</v>
      </c>
    </row>
    <row r="44" ht="15.75" customHeight="1">
      <c r="A44" s="2">
        <v>2.0</v>
      </c>
      <c r="B44" s="2" t="s">
        <v>192</v>
      </c>
      <c r="C44" s="2" t="s">
        <v>193</v>
      </c>
      <c r="D44" s="2" t="s">
        <v>101</v>
      </c>
      <c r="E44" s="2" t="s">
        <v>31</v>
      </c>
      <c r="F44" s="2" t="s">
        <v>15</v>
      </c>
      <c r="G44" s="2" t="s">
        <v>194</v>
      </c>
      <c r="H44" s="2" t="s">
        <v>195</v>
      </c>
      <c r="I44" s="3" t="str">
        <f>IFERROR(__xludf.DUMMYFUNCTION("GOOGLETRANSLATE(C44,""fr"",""en"")"),"Nullissimes, don't care about us.
No answer to questions in the personal Internet space, no answer to emails.
Being independent, I have two RIB, a pro for samples (Madelin law), a character for reimbursements. Well specified in membership, however, they"&amp;" take the wrong account. I may have repeated them x times, problem never solved.
Another problem: no remote transmission: they have the contact details of my cash register, but I always have to download the Social Sleepings, print them and send them by m"&amp;"ail. Obviously, the deadline being limited to 3 months, certain services have not been reimbursed. Asked several times why I had no remote transmission ... no answer.")</f>
        <v>Nullissimes, don't care about us.
No answer to questions in the personal Internet space, no answer to emails.
Being independent, I have two RIB, a pro for samples (Madelin law), a character for reimbursements. Well specified in membership, however, they take the wrong account. I may have repeated them x times, problem never solved.
Another problem: no remote transmission: they have the contact details of my cash register, but I always have to download the Social Sleepings, print them and send them by mail. Obviously, the deadline being limited to 3 months, certain services have not been reimbursed. Asked several times why I had no remote transmission ... no answer.</v>
      </c>
    </row>
    <row r="45" ht="15.75" customHeight="1">
      <c r="A45" s="2">
        <v>4.0</v>
      </c>
      <c r="B45" s="2" t="s">
        <v>196</v>
      </c>
      <c r="C45" s="2" t="s">
        <v>197</v>
      </c>
      <c r="D45" s="2" t="s">
        <v>24</v>
      </c>
      <c r="E45" s="2" t="s">
        <v>25</v>
      </c>
      <c r="F45" s="2" t="s">
        <v>15</v>
      </c>
      <c r="G45" s="2" t="s">
        <v>198</v>
      </c>
      <c r="H45" s="2" t="s">
        <v>27</v>
      </c>
      <c r="I45" s="3" t="str">
        <f>IFERROR(__xludf.DUMMYFUNCTION("GOOGLETRANSLATE(C45,""fr"",""en"")"),"Very reliable insurers.
Yes S I am very happy with the very available Ervice, great kindness, speed.
I am very satisfied with this insurer!")</f>
        <v>Very reliable insurers.
Yes S I am very happy with the very available Ervice, great kindness, speed.
I am very satisfied with this insurer!</v>
      </c>
    </row>
    <row r="46" ht="15.75" customHeight="1">
      <c r="A46" s="2">
        <v>1.0</v>
      </c>
      <c r="B46" s="2" t="s">
        <v>199</v>
      </c>
      <c r="C46" s="2" t="s">
        <v>200</v>
      </c>
      <c r="D46" s="2" t="s">
        <v>96</v>
      </c>
      <c r="E46" s="2" t="s">
        <v>97</v>
      </c>
      <c r="F46" s="2" t="s">
        <v>15</v>
      </c>
      <c r="G46" s="2" t="s">
        <v>201</v>
      </c>
      <c r="H46" s="2" t="s">
        <v>68</v>
      </c>
      <c r="I46" s="3" t="str">
        <f>IFERROR(__xludf.DUMMYFUNCTION("GOOGLETRANSLATE(C46,""fr"",""en"")"),"profiteer of the situation of people
Operation of a tendon for occupational disease I am radiated insurance for a pathology without treatment not declare and a work stop of more than 21 days unrelated to the operation I have just had and a response after"&amp;" 6 months and My last year at Pay")</f>
        <v>profiteer of the situation of people
Operation of a tendon for occupational disease I am radiated insurance for a pathology without treatment not declare and a work stop of more than 21 days unrelated to the operation I have just had and a response after 6 months and My last year at Pay</v>
      </c>
    </row>
    <row r="47" ht="15.75" customHeight="1">
      <c r="A47" s="2">
        <v>4.0</v>
      </c>
      <c r="B47" s="2" t="s">
        <v>202</v>
      </c>
      <c r="C47" s="2" t="s">
        <v>203</v>
      </c>
      <c r="D47" s="2" t="s">
        <v>13</v>
      </c>
      <c r="E47" s="2" t="s">
        <v>14</v>
      </c>
      <c r="F47" s="2" t="s">
        <v>15</v>
      </c>
      <c r="G47" s="2" t="s">
        <v>204</v>
      </c>
      <c r="H47" s="2" t="s">
        <v>149</v>
      </c>
      <c r="I47" s="3" t="str">
        <f>IFERROR(__xludf.DUMMYFUNCTION("GOOGLETRANSLATE(C47,""fr"",""en"")"),"The subscription phase is very well brought, modern we are not getting lost. A small point on sending the files. Too bad to have to send them 1 by 1.
Otherwise, good start. To see in the next steps, namely reception of the green card.")</f>
        <v>The subscription phase is very well brought, modern we are not getting lost. A small point on sending the files. Too bad to have to send them 1 by 1.
Otherwise, good start. To see in the next steps, namely reception of the green card.</v>
      </c>
    </row>
    <row r="48" ht="15.75" customHeight="1">
      <c r="A48" s="2">
        <v>5.0</v>
      </c>
      <c r="B48" s="2" t="s">
        <v>205</v>
      </c>
      <c r="C48" s="2" t="s">
        <v>206</v>
      </c>
      <c r="D48" s="2" t="s">
        <v>13</v>
      </c>
      <c r="E48" s="2" t="s">
        <v>14</v>
      </c>
      <c r="F48" s="2" t="s">
        <v>15</v>
      </c>
      <c r="G48" s="2" t="s">
        <v>207</v>
      </c>
      <c r="H48" s="2" t="s">
        <v>208</v>
      </c>
      <c r="I48" s="3" t="str">
        <f>IFERROR(__xludf.DUMMYFUNCTION("GOOGLETRANSLATE(C48,""fr"",""en"")"),"3rd year with the olive tree, everything is going well, I use their site and the personal space and it's great. My price to decrease significantly (no claim). In addition they have the electronic signature and everything goes quickly with the possibility "&amp;"of downloading documents.")</f>
        <v>3rd year with the olive tree, everything is going well, I use their site and the personal space and it's great. My price to decrease significantly (no claim). In addition they have the electronic signature and everything goes quickly with the possibility of downloading documents.</v>
      </c>
    </row>
    <row r="49" ht="15.75" customHeight="1">
      <c r="A49" s="2">
        <v>2.0</v>
      </c>
      <c r="B49" s="2" t="s">
        <v>209</v>
      </c>
      <c r="C49" s="2" t="s">
        <v>210</v>
      </c>
      <c r="D49" s="2" t="s">
        <v>20</v>
      </c>
      <c r="E49" s="2" t="s">
        <v>14</v>
      </c>
      <c r="F49" s="2" t="s">
        <v>15</v>
      </c>
      <c r="G49" s="2" t="s">
        <v>211</v>
      </c>
      <c r="H49" s="2" t="s">
        <v>156</v>
      </c>
      <c r="I49" s="3" t="str">
        <f>IFERROR(__xludf.DUMMYFUNCTION("GOOGLETRANSLATE(C49,""fr"",""en"")"),"The price is a little expensive, knowing that I have been driving since 2013 and stopped ensuring my old vehicle since 2017. I am not a young driver and drives very rarely.")</f>
        <v>The price is a little expensive, knowing that I have been driving since 2013 and stopped ensuring my old vehicle since 2017. I am not a young driver and drives very rarely.</v>
      </c>
    </row>
    <row r="50" ht="15.75" customHeight="1">
      <c r="A50" s="2">
        <v>5.0</v>
      </c>
      <c r="B50" s="2" t="s">
        <v>212</v>
      </c>
      <c r="C50" s="2" t="s">
        <v>213</v>
      </c>
      <c r="D50" s="2" t="s">
        <v>20</v>
      </c>
      <c r="E50" s="2" t="s">
        <v>14</v>
      </c>
      <c r="F50" s="2" t="s">
        <v>15</v>
      </c>
      <c r="G50" s="2" t="s">
        <v>214</v>
      </c>
      <c r="H50" s="2" t="s">
        <v>149</v>
      </c>
      <c r="I50" s="3" t="str">
        <f>IFERROR(__xludf.DUMMYFUNCTION("GOOGLETRANSLATE(C50,""fr"",""en"")"),"Fast effective and clear, simple subscription and super price the advisor answers all questions and explains in detail the guarantees I am very happy to save money")</f>
        <v>Fast effective and clear, simple subscription and super price the advisor answers all questions and explains in detail the guarantees I am very happy to save money</v>
      </c>
    </row>
    <row r="51" ht="15.75" customHeight="1">
      <c r="A51" s="2">
        <v>4.0</v>
      </c>
      <c r="B51" s="2" t="s">
        <v>215</v>
      </c>
      <c r="C51" s="2" t="s">
        <v>216</v>
      </c>
      <c r="D51" s="2" t="s">
        <v>20</v>
      </c>
      <c r="E51" s="2" t="s">
        <v>14</v>
      </c>
      <c r="F51" s="2" t="s">
        <v>15</v>
      </c>
      <c r="G51" s="2" t="s">
        <v>217</v>
      </c>
      <c r="H51" s="2" t="s">
        <v>218</v>
      </c>
      <c r="I51" s="3" t="str">
        <f>IFERROR(__xludf.DUMMYFUNCTION("GOOGLETRANSLATE(C51,""fr"",""en"")"),"Satisfied with the quote and the site. Well done and fast. I will look and compare before validating it. Thank you Direct Assurance. . Protection adapted to the customer")</f>
        <v>Satisfied with the quote and the site. Well done and fast. I will look and compare before validating it. Thank you Direct Assurance. . Protection adapted to the customer</v>
      </c>
    </row>
    <row r="52" ht="15.75" customHeight="1">
      <c r="A52" s="2">
        <v>2.0</v>
      </c>
      <c r="B52" s="2" t="s">
        <v>219</v>
      </c>
      <c r="C52" s="2" t="s">
        <v>220</v>
      </c>
      <c r="D52" s="2" t="s">
        <v>147</v>
      </c>
      <c r="E52" s="2" t="s">
        <v>31</v>
      </c>
      <c r="F52" s="2" t="s">
        <v>15</v>
      </c>
      <c r="G52" s="2" t="s">
        <v>221</v>
      </c>
      <c r="H52" s="2" t="s">
        <v>218</v>
      </c>
      <c r="I52" s="3" t="str">
        <f>IFERROR(__xludf.DUMMYFUNCTION("GOOGLETRANSLATE(C52,""fr"",""en"")"),"Insufficient management, especially on hearing aids, dental, and complement for single room")</f>
        <v>Insufficient management, especially on hearing aids, dental, and complement for single room</v>
      </c>
    </row>
    <row r="53" ht="15.75" customHeight="1">
      <c r="A53" s="2">
        <v>5.0</v>
      </c>
      <c r="B53" s="2" t="s">
        <v>222</v>
      </c>
      <c r="C53" s="2" t="s">
        <v>223</v>
      </c>
      <c r="D53" s="2" t="s">
        <v>147</v>
      </c>
      <c r="E53" s="2" t="s">
        <v>31</v>
      </c>
      <c r="F53" s="2" t="s">
        <v>15</v>
      </c>
      <c r="G53" s="2" t="s">
        <v>224</v>
      </c>
      <c r="H53" s="2" t="s">
        <v>33</v>
      </c>
      <c r="I53" s="3" t="str">
        <f>IFERROR(__xludf.DUMMYFUNCTION("GOOGLETRANSLATE(C53,""fr"",""en"")"),"Faced with solving two separate problems for my children attached to my MGP contract, I found listening, sympathy, details, politeness and great professionalism on the part of my interlocutor that I thank very much.")</f>
        <v>Faced with solving two separate problems for my children attached to my MGP contract, I found listening, sympathy, details, politeness and great professionalism on the part of my interlocutor that I thank very much.</v>
      </c>
    </row>
    <row r="54" ht="15.75" customHeight="1">
      <c r="A54" s="2">
        <v>4.0</v>
      </c>
      <c r="B54" s="2" t="s">
        <v>225</v>
      </c>
      <c r="C54" s="2" t="s">
        <v>226</v>
      </c>
      <c r="D54" s="2" t="s">
        <v>20</v>
      </c>
      <c r="E54" s="2" t="s">
        <v>14</v>
      </c>
      <c r="F54" s="2" t="s">
        <v>15</v>
      </c>
      <c r="G54" s="2" t="s">
        <v>227</v>
      </c>
      <c r="H54" s="2" t="s">
        <v>172</v>
      </c>
      <c r="I54" s="3" t="str">
        <f>IFERROR(__xludf.DUMMYFUNCTION("GOOGLETRANSLATE(C54,""fr"",""en"")"),"Satisfied with the service rendered. Easy to access, friendly and the line is quickly available. Would be interesting to develop competition offers for the 2 wheels.")</f>
        <v>Satisfied with the service rendered. Easy to access, friendly and the line is quickly available. Would be interesting to develop competition offers for the 2 wheels.</v>
      </c>
    </row>
    <row r="55" ht="15.75" customHeight="1">
      <c r="A55" s="2">
        <v>4.0</v>
      </c>
      <c r="B55" s="2" t="s">
        <v>228</v>
      </c>
      <c r="C55" s="2" t="s">
        <v>229</v>
      </c>
      <c r="D55" s="2" t="s">
        <v>20</v>
      </c>
      <c r="E55" s="2" t="s">
        <v>14</v>
      </c>
      <c r="F55" s="2" t="s">
        <v>15</v>
      </c>
      <c r="G55" s="2" t="s">
        <v>230</v>
      </c>
      <c r="H55" s="2" t="s">
        <v>133</v>
      </c>
      <c r="I55" s="3" t="str">
        <f>IFERROR(__xludf.DUMMYFUNCTION("GOOGLETRANSLATE(C55,""fr"",""en"")"),"I’m satisfied at the moment it’s too early to get an opinion, but it looks correct. So I would recommend this insurance to my loved ones")</f>
        <v>I’m satisfied at the moment it’s too early to get an opinion, but it looks correct. So I would recommend this insurance to my loved ones</v>
      </c>
    </row>
    <row r="56" ht="15.75" customHeight="1">
      <c r="A56" s="2">
        <v>4.0</v>
      </c>
      <c r="B56" s="2" t="s">
        <v>231</v>
      </c>
      <c r="C56" s="2" t="s">
        <v>232</v>
      </c>
      <c r="D56" s="2" t="s">
        <v>233</v>
      </c>
      <c r="E56" s="2" t="s">
        <v>14</v>
      </c>
      <c r="F56" s="2" t="s">
        <v>15</v>
      </c>
      <c r="G56" s="2" t="s">
        <v>234</v>
      </c>
      <c r="H56" s="2" t="s">
        <v>72</v>
      </c>
      <c r="I56" s="3" t="str">
        <f>IFERROR(__xludf.DUMMYFUNCTION("GOOGLETRANSLATE(C56,""fr"",""en"")"),"Very good value for money. Always satisfied with the services offered.
Intuitive and functional online service platform.
I highly recommend !")</f>
        <v>Very good value for money. Always satisfied with the services offered.
Intuitive and functional online service platform.
I highly recommend !</v>
      </c>
    </row>
    <row r="57" ht="15.75" customHeight="1">
      <c r="A57" s="2">
        <v>5.0</v>
      </c>
      <c r="B57" s="2" t="s">
        <v>235</v>
      </c>
      <c r="C57" s="2" t="s">
        <v>236</v>
      </c>
      <c r="D57" s="2" t="s">
        <v>20</v>
      </c>
      <c r="E57" s="2" t="s">
        <v>14</v>
      </c>
      <c r="F57" s="2" t="s">
        <v>15</v>
      </c>
      <c r="G57" s="2" t="s">
        <v>237</v>
      </c>
      <c r="H57" s="2" t="s">
        <v>133</v>
      </c>
      <c r="I57" s="3" t="str">
        <f>IFERROR(__xludf.DUMMYFUNCTION("GOOGLETRANSLATE(C57,""fr"",""en"")"),"Super satisfied prices and services offered Variable Options Adaptability, multiple formula with different variables.
Long live sponsorship and bravo direct insurance")</f>
        <v>Super satisfied prices and services offered Variable Options Adaptability, multiple formula with different variables.
Long live sponsorship and bravo direct insurance</v>
      </c>
    </row>
    <row r="58" ht="15.75" customHeight="1">
      <c r="A58" s="2">
        <v>1.0</v>
      </c>
      <c r="B58" s="2" t="s">
        <v>238</v>
      </c>
      <c r="C58" s="2" t="s">
        <v>239</v>
      </c>
      <c r="D58" s="2" t="s">
        <v>20</v>
      </c>
      <c r="E58" s="2" t="s">
        <v>14</v>
      </c>
      <c r="F58" s="2" t="s">
        <v>15</v>
      </c>
      <c r="G58" s="2" t="s">
        <v>240</v>
      </c>
      <c r="H58" s="2" t="s">
        <v>149</v>
      </c>
      <c r="I58" s="3" t="str">
        <f>IFERROR(__xludf.DUMMYFUNCTION("GOOGLETRANSLATE(C58,""fr"",""en"")"),"Hello,
Insured at Direct Insurance since April 2018, I changed my vehicle in December 2020.
I ensured any risk of an Audi A4 before 2016 on December 08 for an amount of 737.37 euros.
This sale canceled because the seller has withdrawn, I resume my rese"&amp;"arch.
I find exactly the same model and assures it on December 22 for this time 862.23 euros including tax.
On March 10, I receive my schedule for the year which is this time 931.03 euros including tax.
Surprised by these successive increases, I take t"&amp;"he process for an online quote and this one rises for the same vehicle and the same services at 417.34 euros TTC !!! Not even half of what I pay.
On March 15, I phoned an advisor who explained to me that this quote is only aimed at new customers and that"&amp;" the increases are consecutive to accidentability in my region. I was then offered a ridiculous reduction of 50 euros on my annual bonus.
I specify that I had no claim since I was with this insurer and has a 50%bonus.
Is it legal to practice such differ"&amp;"ence between new customers and loyal customers ???
At this price no interest in staying with an online insurer, I can find an agency in my street with a single contact.
Cordially.
Pascal Mathieu
84500 Bollene
PS: I keep the different documents at y"&amp;"our disposal if necessary.
")</f>
        <v>Hello,
Insured at Direct Insurance since April 2018, I changed my vehicle in December 2020.
I ensured any risk of an Audi A4 before 2016 on December 08 for an amount of 737.37 euros.
This sale canceled because the seller has withdrawn, I resume my research.
I find exactly the same model and assures it on December 22 for this time 862.23 euros including tax.
On March 10, I receive my schedule for the year which is this time 931.03 euros including tax.
Surprised by these successive increases, I take the process for an online quote and this one rises for the same vehicle and the same services at 417.34 euros TTC !!! Not even half of what I pay.
On March 15, I phoned an advisor who explained to me that this quote is only aimed at new customers and that the increases are consecutive to accidentability in my region. I was then offered a ridiculous reduction of 50 euros on my annual bonus.
I specify that I had no claim since I was with this insurer and has a 50%bonus.
Is it legal to practice such difference between new customers and loyal customers ???
At this price no interest in staying with an online insurer, I can find an agency in my street with a single contact.
Cordially.
Pascal Mathieu
84500 Bollene
PS: I keep the different documents at your disposal if necessary.
</v>
      </c>
    </row>
    <row r="59" ht="15.75" customHeight="1">
      <c r="A59" s="2">
        <v>1.0</v>
      </c>
      <c r="B59" s="2" t="s">
        <v>241</v>
      </c>
      <c r="C59" s="2" t="s">
        <v>242</v>
      </c>
      <c r="D59" s="2" t="s">
        <v>43</v>
      </c>
      <c r="E59" s="2" t="s">
        <v>91</v>
      </c>
      <c r="F59" s="2" t="s">
        <v>15</v>
      </c>
      <c r="G59" s="2" t="s">
        <v>218</v>
      </c>
      <c r="H59" s="2" t="s">
        <v>218</v>
      </c>
      <c r="I59" s="3" t="str">
        <f>IFERROR(__xludf.DUMMYFUNCTION("GOOGLETRANSLATE(C59,""fr"",""en"")"),"Customer of the Macif for 20 years, I now plan to change insurer, due to deplorable customer service. Following a water damage in January, I still don't know what will be taken care of by insurance !!! (For info, the expert passed on February 5; therefore"&amp;" that I am not told that the COVVIR is responsible: between February 5 and March 16, beginning of confinement, we had time to process my file! ..). Unless you move in an agency (when it is 20 km from your home, it's practical ...), it is impossible to get"&amp;" a reliable response: by phone, 10 calls, 10 different responses. As for messaging via personal space, even better, nobody responds! In short, no respect for customers.")</f>
        <v>Customer of the Macif for 20 years, I now plan to change insurer, due to deplorable customer service. Following a water damage in January, I still don't know what will be taken care of by insurance !!! (For info, the expert passed on February 5; therefore that I am not told that the COVVIR is responsible: between February 5 and March 16, beginning of confinement, we had time to process my file! ..). Unless you move in an agency (when it is 20 km from your home, it's practical ...), it is impossible to get a reliable response: by phone, 10 calls, 10 different responses. As for messaging via personal space, even better, nobody responds! In short, no respect for customers.</v>
      </c>
    </row>
    <row r="60" ht="15.75" customHeight="1">
      <c r="A60" s="2">
        <v>1.0</v>
      </c>
      <c r="B60" s="2" t="s">
        <v>243</v>
      </c>
      <c r="C60" s="2" t="s">
        <v>244</v>
      </c>
      <c r="D60" s="2" t="s">
        <v>43</v>
      </c>
      <c r="E60" s="2" t="s">
        <v>14</v>
      </c>
      <c r="F60" s="2" t="s">
        <v>15</v>
      </c>
      <c r="G60" s="2" t="s">
        <v>245</v>
      </c>
      <c r="H60" s="2" t="s">
        <v>45</v>
      </c>
      <c r="I60" s="3" t="str">
        <f>IFERROR(__xludf.DUMMYFUNCTION("GOOGLETRANSLATE(C60,""fr"",""en"")"),"Nonexistent customer service, after 18 years spent at home I strongly advise against whether it is for mutual or car.
Impossible to reach them except by phone after a long wait more they answer N'Porte what.
Here is the email sent today:
 Hello,
Why"&amp;" is it so complicated to have a simple certificate from you
01/04 = call at 09 69 39 49 39 I am told ok I will have the certificate in 48 hours
06/04 = call at 09 69 39 49 39 I am not told the right number (while it is the same as 01/04)
06/04 = call a"&amp;"t 09 69 39 49 69 I am told no problem, I receive the certificate but no mention of my spouse
06/04 = I remember I am not told you must send an email to wged@macif.fr what I did on 04/04 then 04/04, on 10/04
I therefore renew my request for the 8th tim"&amp;"e:
Can you set me by an information statement over the last 5 years which mentions my spouse and the real vehicles that I had assured at home and send it to me by email")</f>
        <v>Nonexistent customer service, after 18 years spent at home I strongly advise against whether it is for mutual or car.
Impossible to reach them except by phone after a long wait more they answer N'Porte what.
Here is the email sent today:
 Hello,
Why is it so complicated to have a simple certificate from you
01/04 = call at 09 69 39 49 39 I am told ok I will have the certificate in 48 hours
06/04 = call at 09 69 39 49 39 I am not told the right number (while it is the same as 01/04)
06/04 = call at 09 69 39 49 69 I am told no problem, I receive the certificate but no mention of my spouse
06/04 = I remember I am not told you must send an email to wged@macif.fr what I did on 04/04 then 04/04, on 10/04
I therefore renew my request for the 8th time:
Can you set me by an information statement over the last 5 years which mentions my spouse and the real vehicles that I had assured at home and send it to me by email</v>
      </c>
    </row>
    <row r="61" ht="15.75" customHeight="1">
      <c r="A61" s="2">
        <v>1.0</v>
      </c>
      <c r="B61" s="2" t="s">
        <v>246</v>
      </c>
      <c r="C61" s="2" t="s">
        <v>247</v>
      </c>
      <c r="D61" s="2" t="s">
        <v>13</v>
      </c>
      <c r="E61" s="2" t="s">
        <v>14</v>
      </c>
      <c r="F61" s="2" t="s">
        <v>15</v>
      </c>
      <c r="G61" s="2" t="s">
        <v>248</v>
      </c>
      <c r="H61" s="2" t="s">
        <v>33</v>
      </c>
      <c r="I61" s="3" t="str">
        <f>IFERROR(__xludf.DUMMYFUNCTION("GOOGLETRANSLATE(C61,""fr"",""en"")"),"I declared a claim on 06/17 ... I have had no news since.
Paying 100 € per month my insurance, and not necessarily being able to advance repairs, I am completely outraged by the management of this disaster.
If I do not call them, they do absolutely noth"&amp;"ing !!!!!
I'm really shocked")</f>
        <v>I declared a claim on 06/17 ... I have had no news since.
Paying 100 € per month my insurance, and not necessarily being able to advance repairs, I am completely outraged by the management of this disaster.
If I do not call them, they do absolutely nothing !!!!!
I'm really shocked</v>
      </c>
    </row>
    <row r="62" ht="15.75" customHeight="1">
      <c r="A62" s="2">
        <v>5.0</v>
      </c>
      <c r="B62" s="2" t="s">
        <v>249</v>
      </c>
      <c r="C62" s="2" t="s">
        <v>250</v>
      </c>
      <c r="D62" s="2" t="s">
        <v>13</v>
      </c>
      <c r="E62" s="2" t="s">
        <v>14</v>
      </c>
      <c r="F62" s="2" t="s">
        <v>15</v>
      </c>
      <c r="G62" s="2" t="s">
        <v>251</v>
      </c>
      <c r="H62" s="2" t="s">
        <v>17</v>
      </c>
      <c r="I62" s="3" t="str">
        <f>IFERROR(__xludf.DUMMYFUNCTION("GOOGLETRANSLATE(C62,""fr"",""en"")"),"Satisfied with the service.
I would have liked to have a better support on the insured expert also and always insured because it lacks a plant of plants which is not found")</f>
        <v>Satisfied with the service.
I would have liked to have a better support on the insured expert also and always insured because it lacks a plant of plants which is not found</v>
      </c>
    </row>
    <row r="63" ht="15.75" customHeight="1">
      <c r="A63" s="2">
        <v>3.0</v>
      </c>
      <c r="B63" s="2" t="s">
        <v>252</v>
      </c>
      <c r="C63" s="2" t="s">
        <v>253</v>
      </c>
      <c r="D63" s="2" t="s">
        <v>233</v>
      </c>
      <c r="E63" s="2" t="s">
        <v>14</v>
      </c>
      <c r="F63" s="2" t="s">
        <v>15</v>
      </c>
      <c r="G63" s="2" t="s">
        <v>254</v>
      </c>
      <c r="H63" s="2" t="s">
        <v>255</v>
      </c>
      <c r="I63" s="3" t="str">
        <f>IFERROR(__xludf.DUMMYFUNCTION("GOOGLETRANSLATE(C63,""fr"",""en"")"),"We are really dealing with ""civil servants"" of insurance, no possibility of discussion and negotiation, refusal of rendering auto insurance, unlike others compared to the covid under false pretexts, no possible discussion, only the Prices have been attr"&amp;"active, but without disaster for years, how to judge any reimbursements? No wonder the insured are turning to online insurance.")</f>
        <v>We are really dealing with "civil servants" of insurance, no possibility of discussion and negotiation, refusal of rendering auto insurance, unlike others compared to the covid under false pretexts, no possible discussion, only the Prices have been attractive, but without disaster for years, how to judge any reimbursements? No wonder the insured are turning to online insurance.</v>
      </c>
    </row>
    <row r="64" ht="15.75" customHeight="1">
      <c r="A64" s="2">
        <v>5.0</v>
      </c>
      <c r="B64" s="2" t="s">
        <v>256</v>
      </c>
      <c r="C64" s="2" t="s">
        <v>257</v>
      </c>
      <c r="D64" s="2" t="s">
        <v>13</v>
      </c>
      <c r="E64" s="2" t="s">
        <v>14</v>
      </c>
      <c r="F64" s="2" t="s">
        <v>15</v>
      </c>
      <c r="G64" s="2" t="s">
        <v>258</v>
      </c>
      <c r="H64" s="2" t="s">
        <v>172</v>
      </c>
      <c r="I64" s="3" t="str">
        <f>IFERROR(__xludf.DUMMYFUNCTION("GOOGLETRANSLATE(C64,""fr"",""en"")"),"I am satisfied with the service. Maxime was great and competent. Thank you for your work and all the information about the contract, I am so happy.")</f>
        <v>I am satisfied with the service. Maxime was great and competent. Thank you for your work and all the information about the contract, I am so happy.</v>
      </c>
    </row>
    <row r="65" ht="15.75" customHeight="1">
      <c r="A65" s="2">
        <v>1.0</v>
      </c>
      <c r="B65" s="2" t="s">
        <v>259</v>
      </c>
      <c r="C65" s="2" t="s">
        <v>260</v>
      </c>
      <c r="D65" s="2" t="s">
        <v>48</v>
      </c>
      <c r="E65" s="2" t="s">
        <v>14</v>
      </c>
      <c r="F65" s="2" t="s">
        <v>15</v>
      </c>
      <c r="G65" s="2" t="s">
        <v>261</v>
      </c>
      <c r="H65" s="2" t="s">
        <v>262</v>
      </c>
      <c r="I65" s="3" t="str">
        <f>IFERROR(__xludf.DUMMYFUNCTION("GOOGLETRANSLATE(C65,""fr"",""en"")"),"Very very disappointed. MAIF customer for my home insurance + GAV, for over 15 years, then for cars for 2 years ... Having my 2 parents in Maif for over 40 years, it's really disappointing to see the recognition loyalty of this insurance.
I asked for a c"&amp;"ommercial gesture following the declaration of a disaster and I am answered negatively without even calling or exchanging with me. I sincerely think that I will change everything in terms of insurance. I am in the process of making quotes. Perhaps I will "&amp;"even talk to my parents about it who will probably be well disappointed with this insurance which they have so much thought of. I think things have changed for years ...")</f>
        <v>Very very disappointed. MAIF customer for my home insurance + GAV, for over 15 years, then for cars for 2 years ... Having my 2 parents in Maif for over 40 years, it's really disappointing to see the recognition loyalty of this insurance.
I asked for a commercial gesture following the declaration of a disaster and I am answered negatively without even calling or exchanging with me. I sincerely think that I will change everything in terms of insurance. I am in the process of making quotes. Perhaps I will even talk to my parents about it who will probably be well disappointed with this insurance which they have so much thought of. I think things have changed for years ...</v>
      </c>
    </row>
    <row r="66" ht="15.75" customHeight="1">
      <c r="A66" s="2">
        <v>4.0</v>
      </c>
      <c r="B66" s="2" t="s">
        <v>263</v>
      </c>
      <c r="C66" s="2" t="s">
        <v>264</v>
      </c>
      <c r="D66" s="2" t="s">
        <v>13</v>
      </c>
      <c r="E66" s="2" t="s">
        <v>14</v>
      </c>
      <c r="F66" s="2" t="s">
        <v>15</v>
      </c>
      <c r="G66" s="2" t="s">
        <v>265</v>
      </c>
      <c r="H66" s="2" t="s">
        <v>125</v>
      </c>
      <c r="I66" s="3" t="str">
        <f>IFERROR(__xludf.DUMMYFUNCTION("GOOGLETRANSLATE(C66,""fr"",""en"")"),"I am completely satisfied with this insurance company. Customer service was attentive, the prices are attractive and the coverage satisfactory.")</f>
        <v>I am completely satisfied with this insurance company. Customer service was attentive, the prices are attractive and the coverage satisfactory.</v>
      </c>
    </row>
    <row r="67" ht="15.75" customHeight="1">
      <c r="A67" s="2">
        <v>5.0</v>
      </c>
      <c r="B67" s="2" t="s">
        <v>266</v>
      </c>
      <c r="C67" s="2" t="s">
        <v>267</v>
      </c>
      <c r="D67" s="2" t="s">
        <v>233</v>
      </c>
      <c r="E67" s="2" t="s">
        <v>14</v>
      </c>
      <c r="F67" s="2" t="s">
        <v>15</v>
      </c>
      <c r="G67" s="2" t="s">
        <v>268</v>
      </c>
      <c r="H67" s="2" t="s">
        <v>27</v>
      </c>
      <c r="I67" s="3" t="str">
        <f>IFERROR(__xludf.DUMMYFUNCTION("GOOGLETRANSLATE(C67,""fr"",""en"")"),"Simple and practical
Allows you to directly access all my insurance services
Declare an online claim and bring the elements in a simple way")</f>
        <v>Simple and practical
Allows you to directly access all my insurance services
Declare an online claim and bring the elements in a simple way</v>
      </c>
    </row>
    <row r="68" ht="15.75" customHeight="1">
      <c r="A68" s="2">
        <v>3.0</v>
      </c>
      <c r="B68" s="2" t="s">
        <v>269</v>
      </c>
      <c r="C68" s="2" t="s">
        <v>270</v>
      </c>
      <c r="D68" s="2" t="s">
        <v>190</v>
      </c>
      <c r="E68" s="2" t="s">
        <v>31</v>
      </c>
      <c r="F68" s="2" t="s">
        <v>15</v>
      </c>
      <c r="G68" s="2" t="s">
        <v>271</v>
      </c>
      <c r="H68" s="2" t="s">
        <v>54</v>
      </c>
      <c r="I68" s="3" t="str">
        <f>IFERROR(__xludf.DUMMYFUNCTION("GOOGLETRANSLATE(C68,""fr"",""en"")"),"Very good performance by Mr. Khalid")</f>
        <v>Very good performance by Mr. Khalid</v>
      </c>
    </row>
    <row r="69" ht="15.75" customHeight="1">
      <c r="A69" s="2">
        <v>4.0</v>
      </c>
      <c r="B69" s="2" t="s">
        <v>272</v>
      </c>
      <c r="C69" s="2" t="s">
        <v>273</v>
      </c>
      <c r="D69" s="2" t="s">
        <v>128</v>
      </c>
      <c r="E69" s="2" t="s">
        <v>97</v>
      </c>
      <c r="F69" s="2" t="s">
        <v>15</v>
      </c>
      <c r="G69" s="2" t="s">
        <v>274</v>
      </c>
      <c r="H69" s="2" t="s">
        <v>27</v>
      </c>
      <c r="I69" s="3" t="str">
        <f>IFERROR(__xludf.DUMMYFUNCTION("GOOGLETRANSLATE(C69,""fr"",""en"")"),"Service satisfied
Interesting prices
A priori interesting quality /price ratio
Quick and quality telephone service.
Listening interlocutor")</f>
        <v>Service satisfied
Interesting prices
A priori interesting quality /price ratio
Quick and quality telephone service.
Listening interlocutor</v>
      </c>
    </row>
    <row r="70" ht="15.75" customHeight="1">
      <c r="A70" s="2">
        <v>4.0</v>
      </c>
      <c r="B70" s="2" t="s">
        <v>275</v>
      </c>
      <c r="C70" s="2" t="s">
        <v>276</v>
      </c>
      <c r="D70" s="2" t="s">
        <v>13</v>
      </c>
      <c r="E70" s="2" t="s">
        <v>14</v>
      </c>
      <c r="F70" s="2" t="s">
        <v>15</v>
      </c>
      <c r="G70" s="2" t="s">
        <v>277</v>
      </c>
      <c r="H70" s="2" t="s">
        <v>58</v>
      </c>
      <c r="I70" s="3" t="str">
        <f>IFERROR(__xludf.DUMMYFUNCTION("GOOGLETRANSLATE(C70,""fr"",""en"")"),"For the moment I have no negative points to highlight. I am satisfied with the service and a very good note to my interlocutor Jason. :) :) :) :)")</f>
        <v>For the moment I have no negative points to highlight. I am satisfied with the service and a very good note to my interlocutor Jason. :) :) :) :)</v>
      </c>
    </row>
    <row r="71" ht="15.75" customHeight="1">
      <c r="A71" s="2">
        <v>3.0</v>
      </c>
      <c r="B71" s="2" t="s">
        <v>278</v>
      </c>
      <c r="C71" s="2" t="s">
        <v>279</v>
      </c>
      <c r="D71" s="2" t="s">
        <v>280</v>
      </c>
      <c r="E71" s="2" t="s">
        <v>14</v>
      </c>
      <c r="F71" s="2" t="s">
        <v>15</v>
      </c>
      <c r="G71" s="2" t="s">
        <v>281</v>
      </c>
      <c r="H71" s="2" t="s">
        <v>103</v>
      </c>
      <c r="I71" s="3" t="str">
        <f>IFERROR(__xludf.DUMMYFUNCTION("GOOGLETRANSLATE(C71,""fr"",""en"")"),"Very nice home. Smiling .... very competitive prices. A responsiveness in the event of a problem")</f>
        <v>Very nice home. Smiling .... very competitive prices. A responsiveness in the event of a problem</v>
      </c>
    </row>
    <row r="72" ht="15.75" customHeight="1">
      <c r="A72" s="2">
        <v>1.0</v>
      </c>
      <c r="B72" s="2" t="s">
        <v>282</v>
      </c>
      <c r="C72" s="2" t="s">
        <v>283</v>
      </c>
      <c r="D72" s="2" t="s">
        <v>284</v>
      </c>
      <c r="E72" s="2" t="s">
        <v>285</v>
      </c>
      <c r="F72" s="2" t="s">
        <v>15</v>
      </c>
      <c r="G72" s="2" t="s">
        <v>286</v>
      </c>
      <c r="H72" s="2" t="s">
        <v>287</v>
      </c>
      <c r="I72" s="3" t="str">
        <f>IFERROR(__xludf.DUMMYFUNCTION("GOOGLETRANSLATE(C72,""fr"",""en"")"),"My mother has subscribed to life insurance with the BNP She died on 30/11/2018 and since then something is missing to settle her insurance")</f>
        <v>My mother has subscribed to life insurance with the BNP She died on 30/11/2018 and since then something is missing to settle her insurance</v>
      </c>
    </row>
    <row r="73" ht="15.75" customHeight="1">
      <c r="A73" s="2">
        <v>5.0</v>
      </c>
      <c r="B73" s="2" t="s">
        <v>288</v>
      </c>
      <c r="C73" s="2" t="s">
        <v>289</v>
      </c>
      <c r="D73" s="2" t="s">
        <v>147</v>
      </c>
      <c r="E73" s="2" t="s">
        <v>31</v>
      </c>
      <c r="F73" s="2" t="s">
        <v>15</v>
      </c>
      <c r="G73" s="2" t="s">
        <v>290</v>
      </c>
      <c r="H73" s="2" t="s">
        <v>77</v>
      </c>
      <c r="I73" s="3" t="str">
        <f>IFERROR(__xludf.DUMMYFUNCTION("GOOGLETRANSLATE(C73,""fr"",""en"")"),"Hello no problem to report. Customer service is responsive and pleasant. I have been insured since 2005 and I have no desire to change my mutual insurance for the moment. Thank you")</f>
        <v>Hello no problem to report. Customer service is responsive and pleasant. I have been insured since 2005 and I have no desire to change my mutual insurance for the moment. Thank you</v>
      </c>
    </row>
    <row r="74" ht="15.75" customHeight="1">
      <c r="A74" s="2">
        <v>3.0</v>
      </c>
      <c r="B74" s="2" t="s">
        <v>291</v>
      </c>
      <c r="C74" s="2" t="s">
        <v>292</v>
      </c>
      <c r="D74" s="2" t="s">
        <v>20</v>
      </c>
      <c r="E74" s="2" t="s">
        <v>14</v>
      </c>
      <c r="F74" s="2" t="s">
        <v>15</v>
      </c>
      <c r="G74" s="2" t="s">
        <v>293</v>
      </c>
      <c r="H74" s="2" t="s">
        <v>172</v>
      </c>
      <c r="I74" s="3" t="str">
        <f>IFERROR(__xludf.DUMMYFUNCTION("GOOGLETRANSLATE(C74,""fr"",""en"")"),"The price does not drop automatic I always pay the same subscription I must leave for you to make me a price you have to line up on the market.
Thank you")</f>
        <v>The price does not drop automatic I always pay the same subscription I must leave for you to make me a price you have to line up on the market.
Thank you</v>
      </c>
    </row>
    <row r="75" ht="15.75" customHeight="1">
      <c r="A75" s="2">
        <v>4.0</v>
      </c>
      <c r="B75" s="2" t="s">
        <v>294</v>
      </c>
      <c r="C75" s="2" t="s">
        <v>295</v>
      </c>
      <c r="D75" s="2" t="s">
        <v>20</v>
      </c>
      <c r="E75" s="2" t="s">
        <v>14</v>
      </c>
      <c r="F75" s="2" t="s">
        <v>15</v>
      </c>
      <c r="G75" s="2" t="s">
        <v>296</v>
      </c>
      <c r="H75" s="2" t="s">
        <v>218</v>
      </c>
      <c r="I75" s="3" t="str">
        <f>IFERROR(__xludf.DUMMYFUNCTION("GOOGLETRANSLATE(C75,""fr"",""en"")"),"I am satisfied with the service. Prices suit me. Simple and practical.
I went through the ferrets to compare the insurance and it was released in 2nd position. In view of advertising I am allowed to be guided.")</f>
        <v>I am satisfied with the service. Prices suit me. Simple and practical.
I went through the ferrets to compare the insurance and it was released in 2nd position. In view of advertising I am allowed to be guided.</v>
      </c>
    </row>
    <row r="76" ht="15.75" customHeight="1">
      <c r="A76" s="2">
        <v>4.0</v>
      </c>
      <c r="B76" s="2" t="s">
        <v>297</v>
      </c>
      <c r="C76" s="2" t="s">
        <v>298</v>
      </c>
      <c r="D76" s="2" t="s">
        <v>20</v>
      </c>
      <c r="E76" s="2" t="s">
        <v>14</v>
      </c>
      <c r="F76" s="2" t="s">
        <v>15</v>
      </c>
      <c r="G76" s="2" t="s">
        <v>299</v>
      </c>
      <c r="H76" s="2" t="s">
        <v>149</v>
      </c>
      <c r="I76" s="3" t="str">
        <f>IFERROR(__xludf.DUMMYFUNCTION("GOOGLETRANSLATE(C76,""fr"",""en"")"),"Satisfied with the online service. Impeccable assistance
Prices suit me. Unfortunately concerning collectible vehicles, some brands like Porsche cannot be guaranteed.")</f>
        <v>Satisfied with the online service. Impeccable assistance
Prices suit me. Unfortunately concerning collectible vehicles, some brands like Porsche cannot be guaranteed.</v>
      </c>
    </row>
    <row r="77" ht="15.75" customHeight="1">
      <c r="A77" s="2">
        <v>5.0</v>
      </c>
      <c r="B77" s="2" t="s">
        <v>300</v>
      </c>
      <c r="C77" s="2" t="s">
        <v>301</v>
      </c>
      <c r="D77" s="2" t="s">
        <v>24</v>
      </c>
      <c r="E77" s="2" t="s">
        <v>25</v>
      </c>
      <c r="F77" s="2" t="s">
        <v>15</v>
      </c>
      <c r="G77" s="2" t="s">
        <v>277</v>
      </c>
      <c r="H77" s="2" t="s">
        <v>58</v>
      </c>
      <c r="I77" s="3" t="str">
        <f>IFERROR(__xludf.DUMMYFUNCTION("GOOGLETRANSLATE(C77,""fr"",""en"")"),"I haven't met any worries for the moment, because you just made sure! The prices are attractive… to see! Hoping never to need it !!")</f>
        <v>I haven't met any worries for the moment, because you just made sure! The prices are attractive… to see! Hoping never to need it !!</v>
      </c>
    </row>
    <row r="78" ht="15.75" customHeight="1">
      <c r="A78" s="2">
        <v>3.0</v>
      </c>
      <c r="B78" s="2" t="s">
        <v>302</v>
      </c>
      <c r="C78" s="2" t="s">
        <v>303</v>
      </c>
      <c r="D78" s="2" t="s">
        <v>20</v>
      </c>
      <c r="E78" s="2" t="s">
        <v>14</v>
      </c>
      <c r="F78" s="2" t="s">
        <v>15</v>
      </c>
      <c r="G78" s="2" t="s">
        <v>304</v>
      </c>
      <c r="H78" s="2" t="s">
        <v>114</v>
      </c>
      <c r="I78" s="3" t="str">
        <f>IFERROR(__xludf.DUMMYFUNCTION("GOOGLETRANSLATE(C78,""fr"",""en"")"),"I terminated at 31/08/2018 with all the Honorés Automatic Drawings. They continue to take me the following months when the termination is effective in my personal space. In addition, I have the right to a recovery cabinet ...")</f>
        <v>I terminated at 31/08/2018 with all the Honorés Automatic Drawings. They continue to take me the following months when the termination is effective in my personal space. In addition, I have the right to a recovery cabinet ...</v>
      </c>
    </row>
    <row r="79" ht="15.75" customHeight="1">
      <c r="A79" s="2">
        <v>1.0</v>
      </c>
      <c r="B79" s="2" t="s">
        <v>305</v>
      </c>
      <c r="C79" s="2" t="s">
        <v>306</v>
      </c>
      <c r="D79" s="2" t="s">
        <v>307</v>
      </c>
      <c r="E79" s="2" t="s">
        <v>31</v>
      </c>
      <c r="F79" s="2" t="s">
        <v>15</v>
      </c>
      <c r="G79" s="2" t="s">
        <v>308</v>
      </c>
      <c r="H79" s="2" t="s">
        <v>309</v>
      </c>
      <c r="I79" s="3" t="str">
        <f>IFERROR(__xludf.DUMMYFUNCTION("GOOGLETRANSLATE(C79,""fr"",""en"")"),"Mutual of a notorious incompetence !!!
Abusive cancellation linked to multiple errors on their part &amp; clearly stated by phone but nothing has moved since!
We have repeatedly received letters in formal notice indicating the non -receipt of our RIB while "&amp;"the samples took place without PB the month before ...
It's been 2 times that we send our RIB by registered mail with acknowledgment of receipt ... The person had on the phone told me that indeed, everything was well received and recorded, but that the o"&amp;"verall status had not been changed!
But what a shame !!!
And where is the mail indicating that a radiation was going to take place? I am not even sure that the practice is legal !!
I am particularly angry, and I have been waiting since last Thursday my"&amp;" answer ""during the day"" ...
Only one advice, clearly go your way if you are waiting for a competent customer service and a minimum of consideration ... :-(")</f>
        <v>Mutual of a notorious incompetence !!!
Abusive cancellation linked to multiple errors on their part &amp; clearly stated by phone but nothing has moved since!
We have repeatedly received letters in formal notice indicating the non -receipt of our RIB while the samples took place without PB the month before ...
It's been 2 times that we send our RIB by registered mail with acknowledgment of receipt ... The person had on the phone told me that indeed, everything was well received and recorded, but that the overall status had not been changed!
But what a shame !!!
And where is the mail indicating that a radiation was going to take place? I am not even sure that the practice is legal !!
I am particularly angry, and I have been waiting since last Thursday my answer "during the day" ...
Only one advice, clearly go your way if you are waiting for a competent customer service and a minimum of consideration ... :-(</v>
      </c>
    </row>
    <row r="80" ht="15.75" customHeight="1">
      <c r="A80" s="2">
        <v>1.0</v>
      </c>
      <c r="B80" s="2" t="s">
        <v>310</v>
      </c>
      <c r="C80" s="2" t="s">
        <v>311</v>
      </c>
      <c r="D80" s="2" t="s">
        <v>20</v>
      </c>
      <c r="E80" s="2" t="s">
        <v>91</v>
      </c>
      <c r="F80" s="2" t="s">
        <v>15</v>
      </c>
      <c r="G80" s="2" t="s">
        <v>312</v>
      </c>
      <c r="H80" s="2" t="s">
        <v>313</v>
      </c>
      <c r="I80" s="3" t="str">
        <f>IFERROR(__xludf.DUMMYFUNCTION("GOOGLETRANSLATE(C80,""fr"",""en"")"),"With Direct Insurance .... it's as if we were not insured, but we pay contributions ....")</f>
        <v>With Direct Insurance .... it's as if we were not insured, but we pay contributions ....</v>
      </c>
    </row>
    <row r="81" ht="15.75" customHeight="1">
      <c r="A81" s="2">
        <v>5.0</v>
      </c>
      <c r="B81" s="2" t="s">
        <v>314</v>
      </c>
      <c r="C81" s="2" t="s">
        <v>315</v>
      </c>
      <c r="D81" s="2" t="s">
        <v>20</v>
      </c>
      <c r="E81" s="2" t="s">
        <v>14</v>
      </c>
      <c r="F81" s="2" t="s">
        <v>15</v>
      </c>
      <c r="G81" s="2" t="s">
        <v>316</v>
      </c>
      <c r="H81" s="2" t="s">
        <v>133</v>
      </c>
      <c r="I81" s="3" t="str">
        <f>IFERROR(__xludf.DUMMYFUNCTION("GOOGLETRANSLATE(C81,""fr"",""en"")"),"Customer since 2002, no concern, always satisfied. The telephone platform is efficient and the advisers are competent. Thank you Direct Assurance!")</f>
        <v>Customer since 2002, no concern, always satisfied. The telephone platform is efficient and the advisers are competent. Thank you Direct Assurance!</v>
      </c>
    </row>
    <row r="82" ht="15.75" customHeight="1">
      <c r="A82" s="2">
        <v>4.0</v>
      </c>
      <c r="B82" s="2" t="s">
        <v>317</v>
      </c>
      <c r="C82" s="2" t="s">
        <v>318</v>
      </c>
      <c r="D82" s="2" t="s">
        <v>13</v>
      </c>
      <c r="E82" s="2" t="s">
        <v>14</v>
      </c>
      <c r="F82" s="2" t="s">
        <v>15</v>
      </c>
      <c r="G82" s="2" t="s">
        <v>319</v>
      </c>
      <c r="H82" s="2" t="s">
        <v>133</v>
      </c>
      <c r="I82" s="3" t="str">
        <f>IFERROR(__xludf.DUMMYFUNCTION("GOOGLETRANSLATE(C82,""fr"",""en"")"),"I am satisfied with the service, price, responsive and attentive, clear and understandable dialogues as well as their kindness on the phone. Very professional.")</f>
        <v>I am satisfied with the service, price, responsive and attentive, clear and understandable dialogues as well as their kindness on the phone. Very professional.</v>
      </c>
    </row>
    <row r="83" ht="15.75" customHeight="1">
      <c r="A83" s="2">
        <v>3.0</v>
      </c>
      <c r="B83" s="2" t="s">
        <v>320</v>
      </c>
      <c r="C83" s="2" t="s">
        <v>321</v>
      </c>
      <c r="D83" s="2" t="s">
        <v>20</v>
      </c>
      <c r="E83" s="2" t="s">
        <v>14</v>
      </c>
      <c r="F83" s="2" t="s">
        <v>15</v>
      </c>
      <c r="G83" s="2" t="s">
        <v>322</v>
      </c>
      <c r="H83" s="2" t="s">
        <v>172</v>
      </c>
      <c r="I83" s="3" t="str">
        <f>IFERROR(__xludf.DUMMYFUNCTION("GOOGLETRANSLATE(C83,""fr"",""en"")"),"I am satisfied with the service provided by Direct Assurances, the prices are competitive, the guarantees correct. I recommend this insurance, even if the latter does not have a physical agency")</f>
        <v>I am satisfied with the service provided by Direct Assurances, the prices are competitive, the guarantees correct. I recommend this insurance, even if the latter does not have a physical agency</v>
      </c>
    </row>
    <row r="84" ht="15.75" customHeight="1">
      <c r="A84" s="2">
        <v>3.0</v>
      </c>
      <c r="B84" s="2" t="s">
        <v>323</v>
      </c>
      <c r="C84" s="2" t="s">
        <v>324</v>
      </c>
      <c r="D84" s="2" t="s">
        <v>13</v>
      </c>
      <c r="E84" s="2" t="s">
        <v>14</v>
      </c>
      <c r="F84" s="2" t="s">
        <v>15</v>
      </c>
      <c r="G84" s="2" t="s">
        <v>325</v>
      </c>
      <c r="H84" s="2" t="s">
        <v>72</v>
      </c>
      <c r="I84" s="3" t="str">
        <f>IFERROR(__xludf.DUMMYFUNCTION("GOOGLETRANSLATE(C84,""fr"",""en"")"),"Very correct price on the other hand no customer monitoring because in the meantime I still have not received my green card because I had simply forgot to sign my contract")</f>
        <v>Very correct price on the other hand no customer monitoring because in the meantime I still have not received my green card because I had simply forgot to sign my contract</v>
      </c>
    </row>
    <row r="85" ht="15.75" customHeight="1">
      <c r="A85" s="2">
        <v>5.0</v>
      </c>
      <c r="B85" s="2" t="s">
        <v>326</v>
      </c>
      <c r="C85" s="2" t="s">
        <v>327</v>
      </c>
      <c r="D85" s="2" t="s">
        <v>328</v>
      </c>
      <c r="E85" s="2" t="s">
        <v>329</v>
      </c>
      <c r="F85" s="2" t="s">
        <v>15</v>
      </c>
      <c r="G85" s="2" t="s">
        <v>330</v>
      </c>
      <c r="H85" s="2" t="s">
        <v>309</v>
      </c>
      <c r="I85" s="3" t="str">
        <f>IFERROR(__xludf.DUMMYFUNCTION("GOOGLETRANSLATE(C85,""fr"",""en"")"),"A big thank you to Eva for her professionalism, her listening and her explanations.
She takes the time and knows her job perfectly with a kindness and rare kindness!
Congratulations has a real manager with all the qualities the top ??")</f>
        <v>A big thank you to Eva for her professionalism, her listening and her explanations.
She takes the time and knows her job perfectly with a kindness and rare kindness!
Congratulations has a real manager with all the qualities the top ??</v>
      </c>
    </row>
    <row r="86" ht="15.75" customHeight="1">
      <c r="A86" s="2">
        <v>1.0</v>
      </c>
      <c r="B86" s="2" t="s">
        <v>331</v>
      </c>
      <c r="C86" s="2" t="s">
        <v>332</v>
      </c>
      <c r="D86" s="2" t="s">
        <v>61</v>
      </c>
      <c r="E86" s="2" t="s">
        <v>91</v>
      </c>
      <c r="F86" s="2" t="s">
        <v>15</v>
      </c>
      <c r="G86" s="2" t="s">
        <v>333</v>
      </c>
      <c r="H86" s="2" t="s">
        <v>334</v>
      </c>
      <c r="I86" s="3" t="str">
        <f>IFERROR(__xludf.DUMMYFUNCTION("GOOGLETRANSLATE(C86,""fr"",""en"")"),"I have been at the maaf for 2 years and I call myself that when we need them for information it is at this moment that we realize that they do not understand anything
People incompetent in such it is lamentable person knows how to inform you about your c"&amp;"ontract after more than 2 hours of expectations in such
We stroll from Servives in services and PERONNE does not know
Insurance that is useless")</f>
        <v>I have been at the maaf for 2 years and I call myself that when we need them for information it is at this moment that we realize that they do not understand anything
People incompetent in such it is lamentable person knows how to inform you about your contract after more than 2 hours of expectations in such
We stroll from Servives in services and PERONNE does not know
Insurance that is useless</v>
      </c>
    </row>
    <row r="87" ht="15.75" customHeight="1">
      <c r="A87" s="2">
        <v>1.0</v>
      </c>
      <c r="B87" s="2" t="s">
        <v>335</v>
      </c>
      <c r="C87" s="2" t="s">
        <v>336</v>
      </c>
      <c r="D87" s="2" t="s">
        <v>185</v>
      </c>
      <c r="E87" s="2" t="s">
        <v>31</v>
      </c>
      <c r="F87" s="2" t="s">
        <v>15</v>
      </c>
      <c r="G87" s="2" t="s">
        <v>337</v>
      </c>
      <c r="H87" s="2" t="s">
        <v>125</v>
      </c>
      <c r="I87" s="3" t="str">
        <f>IFERROR(__xludf.DUMMYFUNCTION("GOOGLETRANSLATE(C87,""fr"",""en"")"),"Already client April for more than 15 years I wanted to detach my daughter (20 years) from my contract is the combination of the combination !! Two days to finalize! And since 8/10/2021 everything is returned by email and I still have no answer !!!!!! I d"&amp;"o not even know if my daughter is assured I find that disappointing, dozen telephone calls send me back has another number. Too bad not to have at least one competent person ...")</f>
        <v>Already client April for more than 15 years I wanted to detach my daughter (20 years) from my contract is the combination of the combination !! Two days to finalize! And since 8/10/2021 everything is returned by email and I still have no answer !!!!!! I do not even know if my daughter is assured I find that disappointing, dozen telephone calls send me back has another number. Too bad not to have at least one competent person ...</v>
      </c>
    </row>
    <row r="88" ht="15.75" customHeight="1">
      <c r="A88" s="2">
        <v>1.0</v>
      </c>
      <c r="B88" s="2" t="s">
        <v>338</v>
      </c>
      <c r="C88" s="2" t="s">
        <v>339</v>
      </c>
      <c r="D88" s="2" t="s">
        <v>13</v>
      </c>
      <c r="E88" s="2" t="s">
        <v>14</v>
      </c>
      <c r="F88" s="2" t="s">
        <v>15</v>
      </c>
      <c r="G88" s="2" t="s">
        <v>340</v>
      </c>
      <c r="H88" s="2" t="s">
        <v>341</v>
      </c>
      <c r="I88" s="3" t="str">
        <f>IFERROR(__xludf.DUMMYFUNCTION("GOOGLETRANSLATE(C88,""fr"",""en"")"),"No reliability in terms of this insurer: withdrawal of the Blue Carte References, as an officially taken, then from the prices that vary from one day to the other depending on the date of telephone call")</f>
        <v>No reliability in terms of this insurer: withdrawal of the Blue Carte References, as an officially taken, then from the prices that vary from one day to the other depending on the date of telephone call</v>
      </c>
    </row>
    <row r="89" ht="15.75" customHeight="1">
      <c r="A89" s="2">
        <v>5.0</v>
      </c>
      <c r="B89" s="2" t="s">
        <v>342</v>
      </c>
      <c r="C89" s="2" t="s">
        <v>343</v>
      </c>
      <c r="D89" s="2" t="s">
        <v>13</v>
      </c>
      <c r="E89" s="2" t="s">
        <v>14</v>
      </c>
      <c r="F89" s="2" t="s">
        <v>15</v>
      </c>
      <c r="G89" s="2" t="s">
        <v>344</v>
      </c>
      <c r="H89" s="2" t="s">
        <v>133</v>
      </c>
      <c r="I89" s="3" t="str">
        <f>IFERROR(__xludf.DUMMYFUNCTION("GOOGLETRANSLATE(C89,""fr"",""en"")"),"Very satisfied with the service and the telephone reception. I am happy to be at the olive tree and to have a 10% discount for my new contract.")</f>
        <v>Very satisfied with the service and the telephone reception. I am happy to be at the olive tree and to have a 10% discount for my new contract.</v>
      </c>
    </row>
    <row r="90" ht="15.75" customHeight="1">
      <c r="A90" s="2">
        <v>2.0</v>
      </c>
      <c r="B90" s="2" t="s">
        <v>345</v>
      </c>
      <c r="C90" s="2" t="s">
        <v>346</v>
      </c>
      <c r="D90" s="2" t="s">
        <v>233</v>
      </c>
      <c r="E90" s="2" t="s">
        <v>14</v>
      </c>
      <c r="F90" s="2" t="s">
        <v>15</v>
      </c>
      <c r="G90" s="2" t="s">
        <v>347</v>
      </c>
      <c r="H90" s="2" t="s">
        <v>133</v>
      </c>
      <c r="I90" s="3" t="str">
        <f>IFERROR(__xludf.DUMMYFUNCTION("GOOGLETRANSLATE(C90,""fr"",""en"")"),"I don't know what it is worth yet because I haven't needed it so far and I never want to use it.
I will tell you if it's worth the time.")</f>
        <v>I don't know what it is worth yet because I haven't needed it so far and I never want to use it.
I will tell you if it's worth the time.</v>
      </c>
    </row>
    <row r="91" ht="15.75" customHeight="1">
      <c r="A91" s="2">
        <v>1.0</v>
      </c>
      <c r="B91" s="2" t="s">
        <v>348</v>
      </c>
      <c r="C91" s="2" t="s">
        <v>349</v>
      </c>
      <c r="D91" s="2" t="s">
        <v>101</v>
      </c>
      <c r="E91" s="2" t="s">
        <v>31</v>
      </c>
      <c r="F91" s="2" t="s">
        <v>15</v>
      </c>
      <c r="G91" s="2" t="s">
        <v>350</v>
      </c>
      <c r="H91" s="2" t="s">
        <v>77</v>
      </c>
      <c r="I91" s="3" t="str">
        <f>IFERROR(__xludf.DUMMYFUNCTION("GOOGLETRANSLATE(C91,""fr"",""en"")"),"Be careful with Néoliane Health and Provident Do not take out any contract with them.
You may regret it bitterly.
In addition impossible to contact them, neither by phone nor by email.")</f>
        <v>Be careful with Néoliane Health and Provident Do not take out any contract with them.
You may regret it bitterly.
In addition impossible to contact them, neither by phone nor by email.</v>
      </c>
    </row>
    <row r="92" ht="15.75" customHeight="1">
      <c r="A92" s="2">
        <v>3.0</v>
      </c>
      <c r="B92" s="2" t="s">
        <v>351</v>
      </c>
      <c r="C92" s="2" t="s">
        <v>352</v>
      </c>
      <c r="D92" s="2" t="s">
        <v>117</v>
      </c>
      <c r="E92" s="2" t="s">
        <v>14</v>
      </c>
      <c r="F92" s="2" t="s">
        <v>15</v>
      </c>
      <c r="G92" s="2" t="s">
        <v>353</v>
      </c>
      <c r="H92" s="2" t="s">
        <v>354</v>
      </c>
      <c r="I92" s="3" t="str">
        <f>IFERROR(__xludf.DUMMYFUNCTION("GOOGLETRANSLATE(C92,""fr"",""en"")"),"Insured for cars
 Since May 28, 2018, I asked twice by phone and 83 times by email my insurance green card as well as my contract (which I still haven't signed), since everything is done by phone, I am answered that it has been sent several times, in my "&amp;"opinion, these employees make fun of the world! To take from my bank account they are faster! I made this sample revoke! Finished, I no longer want to hear from this insurance!")</f>
        <v>Insured for cars
 Since May 28, 2018, I asked twice by phone and 83 times by email my insurance green card as well as my contract (which I still haven't signed), since everything is done by phone, I am answered that it has been sent several times, in my opinion, these employees make fun of the world! To take from my bank account they are faster! I made this sample revoke! Finished, I no longer want to hear from this insurance!</v>
      </c>
    </row>
    <row r="93" ht="15.75" customHeight="1">
      <c r="A93" s="2">
        <v>1.0</v>
      </c>
      <c r="B93" s="2" t="s">
        <v>355</v>
      </c>
      <c r="C93" s="2" t="s">
        <v>356</v>
      </c>
      <c r="D93" s="2" t="s">
        <v>20</v>
      </c>
      <c r="E93" s="2" t="s">
        <v>14</v>
      </c>
      <c r="F93" s="2" t="s">
        <v>15</v>
      </c>
      <c r="G93" s="2" t="s">
        <v>357</v>
      </c>
      <c r="H93" s="2" t="s">
        <v>358</v>
      </c>
      <c r="I93" s="3" t="str">
        <f>IFERROR(__xludf.DUMMYFUNCTION("GOOGLETRANSLATE(C93,""fr"",""en"")"),"Unreachable when you need them, although ""relocated"", they do the bridge, weekends and holidays. Although ""too overwhelmed"" to be reachable, you will always have a person to answer the subscription service !!!")</f>
        <v>Unreachable when you need them, although "relocated", they do the bridge, weekends and holidays. Although "too overwhelmed" to be reachable, you will always have a person to answer the subscription service !!!</v>
      </c>
    </row>
    <row r="94" ht="15.75" customHeight="1">
      <c r="A94" s="2">
        <v>5.0</v>
      </c>
      <c r="B94" s="2" t="s">
        <v>359</v>
      </c>
      <c r="C94" s="2" t="s">
        <v>360</v>
      </c>
      <c r="D94" s="2" t="s">
        <v>185</v>
      </c>
      <c r="E94" s="2" t="s">
        <v>31</v>
      </c>
      <c r="F94" s="2" t="s">
        <v>15</v>
      </c>
      <c r="G94" s="2" t="s">
        <v>361</v>
      </c>
      <c r="H94" s="2" t="s">
        <v>93</v>
      </c>
      <c r="I94" s="3" t="str">
        <f>IFERROR(__xludf.DUMMYFUNCTION("GOOGLETRANSLATE(C94,""fr"",""en"")"),"I am satisfied with the products of the health mutual level 4 and the third -party third party is great to pay, however, a person in the sales department spoke to me in a notable way")</f>
        <v>I am satisfied with the products of the health mutual level 4 and the third -party third party is great to pay, however, a person in the sales department spoke to me in a notable way</v>
      </c>
    </row>
    <row r="95" ht="15.75" customHeight="1">
      <c r="A95" s="2">
        <v>4.0</v>
      </c>
      <c r="B95" s="2" t="s">
        <v>362</v>
      </c>
      <c r="C95" s="2" t="s">
        <v>363</v>
      </c>
      <c r="D95" s="2" t="s">
        <v>13</v>
      </c>
      <c r="E95" s="2" t="s">
        <v>14</v>
      </c>
      <c r="F95" s="2" t="s">
        <v>15</v>
      </c>
      <c r="G95" s="2" t="s">
        <v>364</v>
      </c>
      <c r="H95" s="2" t="s">
        <v>17</v>
      </c>
      <c r="I95" s="3" t="str">
        <f>IFERROR(__xludf.DUMMYFUNCTION("GOOGLETRANSLATE(C95,""fr"",""en"")"),"The telephone reception is very friendly,
The information is clear,
The prices are competitive.
I recommend for the clarity of the info and the ease of registration.
")</f>
        <v>The telephone reception is very friendly,
The information is clear,
The prices are competitive.
I recommend for the clarity of the info and the ease of registration.
</v>
      </c>
    </row>
    <row r="96" ht="15.75" customHeight="1">
      <c r="A96" s="2">
        <v>1.0</v>
      </c>
      <c r="B96" s="2" t="s">
        <v>365</v>
      </c>
      <c r="C96" s="2" t="s">
        <v>366</v>
      </c>
      <c r="D96" s="2" t="s">
        <v>367</v>
      </c>
      <c r="E96" s="2" t="s">
        <v>107</v>
      </c>
      <c r="F96" s="2" t="s">
        <v>15</v>
      </c>
      <c r="G96" s="2" t="s">
        <v>248</v>
      </c>
      <c r="H96" s="2" t="s">
        <v>33</v>
      </c>
      <c r="I96" s="3" t="str">
        <f>IFERROR(__xludf.DUMMYFUNCTION("GOOGLETRANSLATE(C96,""fr"",""en"")"),"Hello, I do not complain about the savings bank, my bank. But from the C.N.P. I write, I phone continuously and nothing advances. I just want to know which document (is this my only work stoppage of March 08, 2018), my care of my loans is validated. knows"&amp;" the C.N.P. Go through a CBP4You intermediary, ready -made response and nothing is done. I was waiting for the general assembly, but the covid, postponed my intervention, I will explain all this before the director as soon as possible.
My phone number 03"&amp;" 86 50 02 59")</f>
        <v>Hello, I do not complain about the savings bank, my bank. But from the C.N.P. I write, I phone continuously and nothing advances. I just want to know which document (is this my only work stoppage of March 08, 2018), my care of my loans is validated. knows the C.N.P. Go through a CBP4You intermediary, ready -made response and nothing is done. I was waiting for the general assembly, but the covid, postponed my intervention, I will explain all this before the director as soon as possible.
My phone number 03 86 50 02 59</v>
      </c>
    </row>
    <row r="97" ht="15.75" customHeight="1">
      <c r="A97" s="2">
        <v>2.0</v>
      </c>
      <c r="B97" s="2" t="s">
        <v>368</v>
      </c>
      <c r="C97" s="2" t="s">
        <v>369</v>
      </c>
      <c r="D97" s="2" t="s">
        <v>20</v>
      </c>
      <c r="E97" s="2" t="s">
        <v>14</v>
      </c>
      <c r="F97" s="2" t="s">
        <v>15</v>
      </c>
      <c r="G97" s="2" t="s">
        <v>370</v>
      </c>
      <c r="H97" s="2" t="s">
        <v>33</v>
      </c>
      <c r="I97" s="3" t="str">
        <f>IFERROR(__xludf.DUMMYFUNCTION("GOOGLETRANSLATE(C97,""fr"",""en"")"),"To flee at all costs! This insurance has no qualms about leaving its customers in the galley. Impossible to discuss as soon as the situation is out of framework. Very amateur interlocutors, quickly become impatient and unpleasant.
I ended up with an unin"&amp;"sured vehicle following an amendment of contract carried out before confinement. Unable to have it reassured when I have been a customer for 10 years and the situation Staitexceptional! I went to competition (MAIF) which, in view of the situation, was kin"&amp;"d enough to make me.
Direct Insurance did not rebate to its post confidence customers while the MAIF yes for the vehicle of my partner.")</f>
        <v>To flee at all costs! This insurance has no qualms about leaving its customers in the galley. Impossible to discuss as soon as the situation is out of framework. Very amateur interlocutors, quickly become impatient and unpleasant.
I ended up with an uninsured vehicle following an amendment of contract carried out before confinement. Unable to have it reassured when I have been a customer for 10 years and the situation Staitexceptional! I went to competition (MAIF) which, in view of the situation, was kind enough to make me.
Direct Insurance did not rebate to its post confidence customers while the MAIF yes for the vehicle of my partner.</v>
      </c>
    </row>
    <row r="98" ht="15.75" customHeight="1">
      <c r="A98" s="2">
        <v>1.0</v>
      </c>
      <c r="B98" s="2" t="s">
        <v>371</v>
      </c>
      <c r="C98" s="2" t="s">
        <v>372</v>
      </c>
      <c r="D98" s="2" t="s">
        <v>373</v>
      </c>
      <c r="E98" s="2" t="s">
        <v>31</v>
      </c>
      <c r="F98" s="2" t="s">
        <v>15</v>
      </c>
      <c r="G98" s="2" t="s">
        <v>374</v>
      </c>
      <c r="H98" s="2" t="s">
        <v>172</v>
      </c>
      <c r="I98" s="3" t="str">
        <f>IFERROR(__xludf.DUMMYFUNCTION("GOOGLETRANSLATE(C98,""fr"",""en"")"),"Hello
I left my old mutual for Cegema. What problems since: no one answers the phone
In addition 2 samples at 2 days interval.
It is bullshit.
For little price difference
That is why we say we know what we have but we do not know what we will have
1"&amp;"4/4/2021")</f>
        <v>Hello
I left my old mutual for Cegema. What problems since: no one answers the phone
In addition 2 samples at 2 days interval.
It is bullshit.
For little price difference
That is why we say we know what we have but we do not know what we will have
14/4/2021</v>
      </c>
    </row>
    <row r="99" ht="15.75" customHeight="1">
      <c r="A99" s="2">
        <v>1.0</v>
      </c>
      <c r="B99" s="2" t="s">
        <v>375</v>
      </c>
      <c r="C99" s="2" t="s">
        <v>376</v>
      </c>
      <c r="D99" s="2" t="s">
        <v>307</v>
      </c>
      <c r="E99" s="2" t="s">
        <v>31</v>
      </c>
      <c r="F99" s="2" t="s">
        <v>15</v>
      </c>
      <c r="G99" s="2" t="s">
        <v>377</v>
      </c>
      <c r="H99" s="2" t="s">
        <v>149</v>
      </c>
      <c r="I99" s="3" t="str">
        <f>IFERROR(__xludf.DUMMYFUNCTION("GOOGLETRANSLATE(C99,""fr"",""en"")"),"Following the hiring of my companion in early February, we made the choice to join the complementary health Mercer. And there I go any disappointment in disappointment, customer service is more than mediocre despite a dozen calls for their services, and a"&amp;"lmost the same amount of emails I have no return on their part of our membership.
I sent all the documents required by email, via the Mercer portal, and by mail and I receive that eccentric responses.
Being pregnant, I have already advanced several medi"&amp;"cal costs and currently I cannot be reimbursed because we have no member number. In short, it is the dog who dresses his tail.
If only we had a clear and precise response this would reduce ""a little"" our dissatisfied.")</f>
        <v>Following the hiring of my companion in early February, we made the choice to join the complementary health Mercer. And there I go any disappointment in disappointment, customer service is more than mediocre despite a dozen calls for their services, and almost the same amount of emails I have no return on their part of our membership.
I sent all the documents required by email, via the Mercer portal, and by mail and I receive that eccentric responses.
Being pregnant, I have already advanced several medical costs and currently I cannot be reimbursed because we have no member number. In short, it is the dog who dresses his tail.
If only we had a clear and precise response this would reduce "a little" our dissatisfied.</v>
      </c>
    </row>
    <row r="100" ht="15.75" customHeight="1">
      <c r="A100" s="2">
        <v>1.0</v>
      </c>
      <c r="B100" s="2" t="s">
        <v>378</v>
      </c>
      <c r="C100" s="2" t="s">
        <v>379</v>
      </c>
      <c r="D100" s="2" t="s">
        <v>48</v>
      </c>
      <c r="E100" s="2" t="s">
        <v>91</v>
      </c>
      <c r="F100" s="2" t="s">
        <v>15</v>
      </c>
      <c r="G100" s="2" t="s">
        <v>380</v>
      </c>
      <c r="H100" s="2" t="s">
        <v>381</v>
      </c>
      <c r="I100" s="3" t="str">
        <f>IFERROR(__xludf.DUMMYFUNCTION("GOOGLETRANSLATE(C100,""fr"",""en"")"),"Maif costs dear and does not provide anything. The principle of the home is to make a declarative on the value of vis -à -vis property. The more you raise your heritage, the more it costs. Problem: in the event of a claim, you will only be refunded on the"&amp;" value of the invoices. So forget all the items that inflate your subscription but without invoice")</f>
        <v>Maif costs dear and does not provide anything. The principle of the home is to make a declarative on the value of vis -à -vis property. The more you raise your heritage, the more it costs. Problem: in the event of a claim, you will only be refunded on the value of the invoices. So forget all the items that inflate your subscription but without invoice</v>
      </c>
    </row>
    <row r="101" ht="15.75" customHeight="1">
      <c r="A101" s="2">
        <v>3.0</v>
      </c>
      <c r="B101" s="2" t="s">
        <v>382</v>
      </c>
      <c r="C101" s="2" t="s">
        <v>383</v>
      </c>
      <c r="D101" s="2" t="s">
        <v>24</v>
      </c>
      <c r="E101" s="2" t="s">
        <v>25</v>
      </c>
      <c r="F101" s="2" t="s">
        <v>15</v>
      </c>
      <c r="G101" s="2" t="s">
        <v>384</v>
      </c>
      <c r="H101" s="2" t="s">
        <v>133</v>
      </c>
      <c r="I101" s="3" t="str">
        <f>IFERROR(__xludf.DUMMYFUNCTION("GOOGLETRANSLATE(C101,""fr"",""en"")"),"I generally find the prices are very high and insurance comparisons are difficult to achieve. Some options should be included as zero km assistance")</f>
        <v>I generally find the prices are very high and insurance comparisons are difficult to achieve. Some options should be included as zero km assistance</v>
      </c>
    </row>
    <row r="102" ht="15.75" customHeight="1">
      <c r="A102" s="2">
        <v>5.0</v>
      </c>
      <c r="B102" s="2" t="s">
        <v>385</v>
      </c>
      <c r="C102" s="2" t="s">
        <v>386</v>
      </c>
      <c r="D102" s="2" t="s">
        <v>13</v>
      </c>
      <c r="E102" s="2" t="s">
        <v>14</v>
      </c>
      <c r="F102" s="2" t="s">
        <v>15</v>
      </c>
      <c r="G102" s="2" t="s">
        <v>387</v>
      </c>
      <c r="H102" s="2" t="s">
        <v>17</v>
      </c>
      <c r="I102" s="3" t="str">
        <f>IFERROR(__xludf.DUMMYFUNCTION("GOOGLETRANSLATE(C102,""fr"",""en"")"),"The service was perfect and I got answers to all my questions.
The subscription was followed from start to finish with professionalism and personalization.
I am satisfied.")</f>
        <v>The service was perfect and I got answers to all my questions.
The subscription was followed from start to finish with professionalism and personalization.
I am satisfied.</v>
      </c>
    </row>
    <row r="103" ht="15.75" customHeight="1">
      <c r="A103" s="2">
        <v>1.0</v>
      </c>
      <c r="B103" s="2" t="s">
        <v>388</v>
      </c>
      <c r="C103" s="2" t="s">
        <v>389</v>
      </c>
      <c r="D103" s="2" t="s">
        <v>101</v>
      </c>
      <c r="E103" s="2" t="s">
        <v>31</v>
      </c>
      <c r="F103" s="2" t="s">
        <v>15</v>
      </c>
      <c r="G103" s="2" t="s">
        <v>390</v>
      </c>
      <c r="H103" s="2" t="s">
        <v>255</v>
      </c>
      <c r="I103" s="3" t="str">
        <f>IFERROR(__xludf.DUMMYFUNCTION("GOOGLETRANSLATE(C103,""fr"",""en"")"),"Néoliane - This mutual insurance company is not recommended: I have contracted this mutual insurance company for two years, years, despite letters and the telephone 5 or 6 reimbursements. Last year I wanted to terminate, on the phone, they told me that it"&amp;" had to be done for the anniversary date in September, so there I send my termination, they do not want to take it into account before '' ' - I have been retired since February and my monthly payments are 139.84 euros and I have no intention of continuing"&amp;" to pay. I specify that this mutual insurance company has never made TV transcription to Social Security and that therefore I have never been reimbursed over more than a year. The level of satisfaction is 0")</f>
        <v>Néoliane - This mutual insurance company is not recommended: I have contracted this mutual insurance company for two years, years, despite letters and the telephone 5 or 6 reimbursements. Last year I wanted to terminate, on the phone, they told me that it had to be done for the anniversary date in September, so there I send my termination, they do not want to take it into account before '' ' - I have been retired since February and my monthly payments are 139.84 euros and I have no intention of continuing to pay. I specify that this mutual insurance company has never made TV transcription to Social Security and that therefore I have never been reimbursed over more than a year. The level of satisfaction is 0</v>
      </c>
    </row>
    <row r="104" ht="15.75" customHeight="1">
      <c r="A104" s="2">
        <v>2.0</v>
      </c>
      <c r="B104" s="2" t="s">
        <v>391</v>
      </c>
      <c r="C104" s="2" t="s">
        <v>392</v>
      </c>
      <c r="D104" s="2" t="s">
        <v>393</v>
      </c>
      <c r="E104" s="2" t="s">
        <v>107</v>
      </c>
      <c r="F104" s="2" t="s">
        <v>15</v>
      </c>
      <c r="G104" s="2" t="s">
        <v>394</v>
      </c>
      <c r="H104" s="2" t="s">
        <v>395</v>
      </c>
      <c r="I104" s="3" t="str">
        <f>IFERROR(__xludf.DUMMYFUNCTION("GOOGLETRANSLATE(C104,""fr"",""en"")"),"Swisslife has to pay compensation since 26.10.2018. To date, no service has yet been paid despite a complete file for several months. Why ? No explanation. It is desperate, distressing and revolting.")</f>
        <v>Swisslife has to pay compensation since 26.10.2018. To date, no service has yet been paid despite a complete file for several months. Why ? No explanation. It is desperate, distressing and revolting.</v>
      </c>
    </row>
    <row r="105" ht="15.75" customHeight="1">
      <c r="A105" s="2">
        <v>1.0</v>
      </c>
      <c r="B105" s="2" t="s">
        <v>396</v>
      </c>
      <c r="C105" s="2" t="s">
        <v>397</v>
      </c>
      <c r="D105" s="2" t="s">
        <v>328</v>
      </c>
      <c r="E105" s="2" t="s">
        <v>329</v>
      </c>
      <c r="F105" s="2" t="s">
        <v>15</v>
      </c>
      <c r="G105" s="2" t="s">
        <v>398</v>
      </c>
      <c r="H105" s="2" t="s">
        <v>164</v>
      </c>
      <c r="I105" s="3" t="str">
        <f>IFERROR(__xludf.DUMMYFUNCTION("GOOGLETRANSLATE(C105,""fr"",""en"")"),"Owner of a 6 -year -old French Bulldog, I had it operated on December 19 of a stenosis and veil of the puck
I have a mutual insurance company, so I called this mutual insurance company to find out if the operation was taken care of before having it opera"&amp;"ted I had been told yes. This operation cost me 1320 euros knowing that 2 years ago I also had my dog ​​operated for a herniated disc 1800 euros. I had 600 euros in my pocket which were not supported by the mutual
Today, still not having been reimbursed "&amp;"for this operation and having to pay the veterinarian, I call the Mutual Assuropoil who tells me that this congenital disease is excluded from the contract and therefore they cannot reimburse me because it is a disease Congenital. I remain speechless.
Th"&amp;"is same mutual that I pay 50 euros per month, had also increased my monthly payments by 25 euros per month, from 30 to 55 euros, following the hernia disc operation two years ago, you pay A mutual but in case of operation we increase your monthly payments"&amp;" the year after to compensate for the cost ... is it really a mutual
If congenital diseases are excluded from the contract, there is no detail about the diseases in question. And I didn't even know it was a congenital disease the veterinarian said nothin"&amp;"g to me.
I do not recommend this mutual. They are bad times especially since I have been paying 50 euros for two years, which would reimburse the cost of the operation in question. To forbid
")</f>
        <v>Owner of a 6 -year -old French Bulldog, I had it operated on December 19 of a stenosis and veil of the puck
I have a mutual insurance company, so I called this mutual insurance company to find out if the operation was taken care of before having it operated I had been told yes. This operation cost me 1320 euros knowing that 2 years ago I also had my dog ​​operated for a herniated disc 1800 euros. I had 600 euros in my pocket which were not supported by the mutual
Today, still not having been reimbursed for this operation and having to pay the veterinarian, I call the Mutual Assuropoil who tells me that this congenital disease is excluded from the contract and therefore they cannot reimburse me because it is a disease Congenital. I remain speechless.
This same mutual that I pay 50 euros per month, had also increased my monthly payments by 25 euros per month, from 30 to 55 euros, following the hernia disc operation two years ago, you pay A mutual but in case of operation we increase your monthly payments the year after to compensate for the cost ... is it really a mutual
If congenital diseases are excluded from the contract, there is no detail about the diseases in question. And I didn't even know it was a congenital disease the veterinarian said nothing to me.
I do not recommend this mutual. They are bad times especially since I have been paying 50 euros for two years, which would reimburse the cost of the operation in question. To forbid
</v>
      </c>
    </row>
    <row r="106" ht="15.75" customHeight="1">
      <c r="A106" s="2">
        <v>4.0</v>
      </c>
      <c r="B106" s="2" t="s">
        <v>399</v>
      </c>
      <c r="C106" s="2" t="s">
        <v>400</v>
      </c>
      <c r="D106" s="2" t="s">
        <v>20</v>
      </c>
      <c r="E106" s="2" t="s">
        <v>14</v>
      </c>
      <c r="F106" s="2" t="s">
        <v>15</v>
      </c>
      <c r="G106" s="2" t="s">
        <v>401</v>
      </c>
      <c r="H106" s="2" t="s">
        <v>27</v>
      </c>
      <c r="I106" s="3" t="str">
        <f>IFERROR(__xludf.DUMMYFUNCTION("GOOGLETRANSLATE(C106,""fr"",""en"")"),"I am satisfied with the service, I was very surprised by the difference among the various insurances.
In terms of rapidísimo! Estoy Muy well! I recommend")</f>
        <v>I am satisfied with the service, I was very surprised by the difference among the various insurances.
In terms of rapidísimo! Estoy Muy well! I recommend</v>
      </c>
    </row>
    <row r="107" ht="15.75" customHeight="1">
      <c r="A107" s="2">
        <v>4.0</v>
      </c>
      <c r="B107" s="2" t="s">
        <v>402</v>
      </c>
      <c r="C107" s="2" t="s">
        <v>403</v>
      </c>
      <c r="D107" s="2" t="s">
        <v>30</v>
      </c>
      <c r="E107" s="2" t="s">
        <v>31</v>
      </c>
      <c r="F107" s="2" t="s">
        <v>15</v>
      </c>
      <c r="G107" s="2" t="s">
        <v>404</v>
      </c>
      <c r="H107" s="2" t="s">
        <v>72</v>
      </c>
      <c r="I107" s="3" t="str">
        <f>IFERROR(__xludf.DUMMYFUNCTION("GOOGLETRANSLATE(C107,""fr"",""en"")"),"Very good mutual, rapid reimbursement, supporting many services, this deriére is perfect for the retiree that I am, because as they get older, care becomes more and more numerous.")</f>
        <v>Very good mutual, rapid reimbursement, supporting many services, this deriére is perfect for the retiree that I am, because as they get older, care becomes more and more numerous.</v>
      </c>
    </row>
    <row r="108" ht="15.75" customHeight="1">
      <c r="A108" s="2">
        <v>2.0</v>
      </c>
      <c r="B108" s="2" t="s">
        <v>405</v>
      </c>
      <c r="C108" s="2" t="s">
        <v>406</v>
      </c>
      <c r="D108" s="2" t="s">
        <v>20</v>
      </c>
      <c r="E108" s="2" t="s">
        <v>14</v>
      </c>
      <c r="F108" s="2" t="s">
        <v>15</v>
      </c>
      <c r="G108" s="2" t="s">
        <v>148</v>
      </c>
      <c r="H108" s="2" t="s">
        <v>149</v>
      </c>
      <c r="I108" s="3" t="str">
        <f>IFERROR(__xludf.DUMMYFUNCTION("GOOGLETRANSLATE(C108,""fr"",""en"")"),"I have encountered a problem when I registered in 2014 and since despite the various steps your insurance refuses to revise my contract.")</f>
        <v>I have encountered a problem when I registered in 2014 and since despite the various steps your insurance refuses to revise my contract.</v>
      </c>
    </row>
    <row r="109" ht="15.75" customHeight="1">
      <c r="A109" s="2">
        <v>1.0</v>
      </c>
      <c r="B109" s="2" t="s">
        <v>407</v>
      </c>
      <c r="C109" s="2" t="s">
        <v>408</v>
      </c>
      <c r="D109" s="2" t="s">
        <v>367</v>
      </c>
      <c r="E109" s="2" t="s">
        <v>107</v>
      </c>
      <c r="F109" s="2" t="s">
        <v>15</v>
      </c>
      <c r="G109" s="2" t="s">
        <v>409</v>
      </c>
      <c r="H109" s="2" t="s">
        <v>410</v>
      </c>
      <c r="I109" s="3" t="str">
        <f>IFERROR(__xludf.DUMMYFUNCTION("GOOGLETRANSLATE(C109,""fr"",""en"")"),"My 93 -year -old aunt has just learned that she has a retirement collective contract. He
It took more than 30 years to CNP to find her, when she never moved. We sent all the documents requested by email and postal way over 1 month ago. Not the slightest "&amp;"news ...")</f>
        <v>My 93 -year -old aunt has just learned that she has a retirement collective contract. He
It took more than 30 years to CNP to find her, when she never moved. We sent all the documents requested by email and postal way over 1 month ago. Not the slightest news ...</v>
      </c>
    </row>
    <row r="110" ht="15.75" customHeight="1">
      <c r="A110" s="2">
        <v>4.0</v>
      </c>
      <c r="B110" s="2" t="s">
        <v>411</v>
      </c>
      <c r="C110" s="2" t="s">
        <v>412</v>
      </c>
      <c r="D110" s="2" t="s">
        <v>20</v>
      </c>
      <c r="E110" s="2" t="s">
        <v>14</v>
      </c>
      <c r="F110" s="2" t="s">
        <v>15</v>
      </c>
      <c r="G110" s="2" t="s">
        <v>413</v>
      </c>
      <c r="H110" s="2" t="s">
        <v>149</v>
      </c>
      <c r="I110" s="3" t="str">
        <f>IFERROR(__xludf.DUMMYFUNCTION("GOOGLETRANSLATE(C110,""fr"",""en"")"),"Simple and practical, no particular, fast and efficient worries. I recommend, hoping that I have no worries when I have a disaster and hoping never to have it!")</f>
        <v>Simple and practical, no particular, fast and efficient worries. I recommend, hoping that I have no worries when I have a disaster and hoping never to have it!</v>
      </c>
    </row>
    <row r="111" ht="15.75" customHeight="1">
      <c r="A111" s="2">
        <v>3.0</v>
      </c>
      <c r="B111" s="2" t="s">
        <v>414</v>
      </c>
      <c r="C111" s="2" t="s">
        <v>415</v>
      </c>
      <c r="D111" s="2" t="s">
        <v>48</v>
      </c>
      <c r="E111" s="2" t="s">
        <v>14</v>
      </c>
      <c r="F111" s="2" t="s">
        <v>15</v>
      </c>
      <c r="G111" s="2" t="s">
        <v>416</v>
      </c>
      <c r="H111" s="2" t="s">
        <v>140</v>
      </c>
      <c r="I111" s="3" t="str">
        <f>IFERROR(__xludf.DUMMYFUNCTION("GOOGLETRANSLATE(C111,""fr"",""en"")"),"or find insurance after termination altered relationship after termination how to find insurance")</f>
        <v>or find insurance after termination altered relationship after termination how to find insurance</v>
      </c>
    </row>
    <row r="112" ht="15.75" customHeight="1">
      <c r="A112" s="2">
        <v>5.0</v>
      </c>
      <c r="B112" s="2" t="s">
        <v>417</v>
      </c>
      <c r="C112" s="2" t="s">
        <v>418</v>
      </c>
      <c r="D112" s="2" t="s">
        <v>13</v>
      </c>
      <c r="E112" s="2" t="s">
        <v>14</v>
      </c>
      <c r="F112" s="2" t="s">
        <v>15</v>
      </c>
      <c r="G112" s="2" t="s">
        <v>419</v>
      </c>
      <c r="H112" s="2" t="s">
        <v>58</v>
      </c>
      <c r="I112" s="3" t="str">
        <f>IFERROR(__xludf.DUMMYFUNCTION("GOOGLETRANSLATE(C112,""fr"",""en"")"),"For the moment everything is perfect. Subject, the day we need to contact them for an incident. But for the moment RAS. Quick and efficient subscription.")</f>
        <v>For the moment everything is perfect. Subject, the day we need to contact them for an incident. But for the moment RAS. Quick and efficient subscription.</v>
      </c>
    </row>
    <row r="113" ht="15.75" customHeight="1">
      <c r="A113" s="2">
        <v>1.0</v>
      </c>
      <c r="B113" s="2" t="s">
        <v>420</v>
      </c>
      <c r="C113" s="2" t="s">
        <v>421</v>
      </c>
      <c r="D113" s="2" t="s">
        <v>280</v>
      </c>
      <c r="E113" s="2" t="s">
        <v>14</v>
      </c>
      <c r="F113" s="2" t="s">
        <v>15</v>
      </c>
      <c r="G113" s="2" t="s">
        <v>422</v>
      </c>
      <c r="H113" s="2" t="s">
        <v>423</v>
      </c>
      <c r="I113" s="3" t="str">
        <f>IFERROR(__xludf.DUMMYFUNCTION("GOOGLETRANSLATE(C113,""fr"",""en"")"),"Flee, run away, sincerely and once again flee this insurer which absolutely does not keep its commitments. My case has certainly happened here or will arrive at other people one day, which I don't want anyone. My vehicle was stolen from me in January 2017"&amp;", the ""complicated files"" service ruled that I was not going to be reimbursed for the flight my vehicle because according to them the car I bought is considered wreck. I can assure you that this was not the case. If I bought a wreck, how could I have a "&amp;"non-aging certificate? How could the former owner have a gray card? And especially how the matmut when I wanted to make sure I didn't tell me attention your car is a wreck? And finally why does the Matmut not reimburse me ?? I am a new client, that is the"&amp;" reason why we were strolled and file that dragged in length? !! So many unanswered questions. I am furious, and amazed by this affair. I am a victim !!!! We never think of the worst when we make sure and above all we do not think that his insurer will dr"&amp;"op you and not take responsibility that is the reason why we generally ensure where the name assurances all risks. I was with another insurer before going to the Matmut (if I had known ...) the Matmut offer was cheaper and the Hamon law allowing to termin"&amp;"ate its car insurance after 1 year with another insurer I said to myself why ... and much never!")</f>
        <v>Flee, run away, sincerely and once again flee this insurer which absolutely does not keep its commitments. My case has certainly happened here or will arrive at other people one day, which I don't want anyone. My vehicle was stolen from me in January 2017, the "complicated files" service ruled that I was not going to be reimbursed for the flight my vehicle because according to them the car I bought is considered wreck. I can assure you that this was not the case. If I bought a wreck, how could I have a non-aging certificate? How could the former owner have a gray card? And especially how the matmut when I wanted to make sure I didn't tell me attention your car is a wreck? And finally why does the Matmut not reimburse me ?? I am a new client, that is the reason why we were strolled and file that dragged in length? !! So many unanswered questions. I am furious, and amazed by this affair. I am a victim !!!! We never think of the worst when we make sure and above all we do not think that his insurer will drop you and not take responsibility that is the reason why we generally ensure where the name assurances all risks. I was with another insurer before going to the Matmut (if I had known ...) the Matmut offer was cheaper and the Hamon law allowing to terminate its car insurance after 1 year with another insurer I said to myself why ... and much never!</v>
      </c>
    </row>
    <row r="114" ht="15.75" customHeight="1">
      <c r="A114" s="2">
        <v>2.0</v>
      </c>
      <c r="B114" s="2" t="s">
        <v>424</v>
      </c>
      <c r="C114" s="2" t="s">
        <v>425</v>
      </c>
      <c r="D114" s="2" t="s">
        <v>426</v>
      </c>
      <c r="E114" s="2" t="s">
        <v>31</v>
      </c>
      <c r="F114" s="2" t="s">
        <v>15</v>
      </c>
      <c r="G114" s="2" t="s">
        <v>427</v>
      </c>
      <c r="H114" s="2" t="s">
        <v>255</v>
      </c>
      <c r="I114" s="3" t="str">
        <f>IFERROR(__xludf.DUMMYFUNCTION("GOOGLETRANSLATE(C114,""fr"",""en"")"),"Poor organisation. On the other hand, I work with Nutuus which offers a service really suitable for students and their budget. The services offered include a prevention pack (and it is the only mutual to do so) which reimburses you with female hygiene pro"&amp;"ducts, contraception, alternative medicine and sessions with a psychologist. It is also the only mutual insurance without membership fees and which retains a single price regardless of your age and your medical history. There is also the code 58751mor to "&amp;"benefit from a free month.")</f>
        <v>Poor organisation. On the other hand, I work with Nutuus which offers a service really suitable for students and their budget. The services offered include a prevention pack (and it is the only mutual to do so) which reimburses you with female hygiene products, contraception, alternative medicine and sessions with a psychologist. It is also the only mutual insurance without membership fees and which retains a single price regardless of your age and your medical history. There is also the code 58751mor to benefit from a free month.</v>
      </c>
    </row>
    <row r="115" ht="15.75" customHeight="1">
      <c r="A115" s="2">
        <v>4.0</v>
      </c>
      <c r="B115" s="2" t="s">
        <v>428</v>
      </c>
      <c r="C115" s="2" t="s">
        <v>429</v>
      </c>
      <c r="D115" s="2" t="s">
        <v>20</v>
      </c>
      <c r="E115" s="2" t="s">
        <v>14</v>
      </c>
      <c r="F115" s="2" t="s">
        <v>15</v>
      </c>
      <c r="G115" s="2" t="s">
        <v>430</v>
      </c>
      <c r="H115" s="2" t="s">
        <v>133</v>
      </c>
      <c r="I115" s="3" t="str">
        <f>IFERROR(__xludf.DUMMYFUNCTION("GOOGLETRANSLATE(C115,""fr"",""en"")"),"Everything is clear for subscription and it is easy to find the information. The different options are well presented and easy to choose. The price is more competitive than my acutual insurance")</f>
        <v>Everything is clear for subscription and it is easy to find the information. The different options are well presented and easy to choose. The price is more competitive than my acutual insurance</v>
      </c>
    </row>
    <row r="116" ht="15.75" customHeight="1">
      <c r="A116" s="2">
        <v>3.0</v>
      </c>
      <c r="B116" s="2" t="s">
        <v>431</v>
      </c>
      <c r="C116" s="2" t="s">
        <v>432</v>
      </c>
      <c r="D116" s="2" t="s">
        <v>147</v>
      </c>
      <c r="E116" s="2" t="s">
        <v>31</v>
      </c>
      <c r="F116" s="2" t="s">
        <v>15</v>
      </c>
      <c r="G116" s="2" t="s">
        <v>290</v>
      </c>
      <c r="H116" s="2" t="s">
        <v>77</v>
      </c>
      <c r="I116" s="3" t="str">
        <f>IFERROR(__xludf.DUMMYFUNCTION("GOOGLETRANSLATE(C116,""fr"",""en"")"),"Very good telephone reception and very complete information ...
Very friendly and pleasant interlocutor.
For a platform it is really top ..
More than waiting if the request will be properly processed.")</f>
        <v>Very good telephone reception and very complete information ...
Very friendly and pleasant interlocutor.
For a platform it is really top ..
More than waiting if the request will be properly processed.</v>
      </c>
    </row>
    <row r="117" ht="15.75" customHeight="1">
      <c r="A117" s="2">
        <v>4.0</v>
      </c>
      <c r="B117" s="2" t="s">
        <v>433</v>
      </c>
      <c r="C117" s="2" t="s">
        <v>434</v>
      </c>
      <c r="D117" s="2" t="s">
        <v>13</v>
      </c>
      <c r="E117" s="2" t="s">
        <v>14</v>
      </c>
      <c r="F117" s="2" t="s">
        <v>15</v>
      </c>
      <c r="G117" s="2" t="s">
        <v>435</v>
      </c>
      <c r="H117" s="2" t="s">
        <v>133</v>
      </c>
      <c r="I117" s="3" t="str">
        <f>IFERROR(__xludf.DUMMYFUNCTION("GOOGLETRANSLATE(C117,""fr"",""en"")"),"Very good connection with the advisor: fast and clear. The prices are suitable and the digital subscription procedure is effective.")</f>
        <v>Very good connection with the advisor: fast and clear. The prices are suitable and the digital subscription procedure is effective.</v>
      </c>
    </row>
    <row r="118" ht="15.75" customHeight="1">
      <c r="A118" s="2">
        <v>4.0</v>
      </c>
      <c r="B118" s="2" t="s">
        <v>436</v>
      </c>
      <c r="C118" s="2" t="s">
        <v>437</v>
      </c>
      <c r="D118" s="2" t="s">
        <v>13</v>
      </c>
      <c r="E118" s="2" t="s">
        <v>14</v>
      </c>
      <c r="F118" s="2" t="s">
        <v>15</v>
      </c>
      <c r="G118" s="2" t="s">
        <v>438</v>
      </c>
      <c r="H118" s="2" t="s">
        <v>172</v>
      </c>
      <c r="I118" s="3" t="str">
        <f>IFERROR(__xludf.DUMMYFUNCTION("GOOGLETRANSLATE(C118,""fr"",""en"")"),"Very well, I could recommend. The price level is very satisfactory, the site is easy to access and intuitive. I would surely use for the future too")</f>
        <v>Very well, I could recommend. The price level is very satisfactory, the site is easy to access and intuitive. I would surely use for the future too</v>
      </c>
    </row>
    <row r="119" ht="15.75" customHeight="1">
      <c r="A119" s="2">
        <v>5.0</v>
      </c>
      <c r="B119" s="2" t="s">
        <v>439</v>
      </c>
      <c r="C119" s="2" t="s">
        <v>440</v>
      </c>
      <c r="D119" s="2" t="s">
        <v>80</v>
      </c>
      <c r="E119" s="2" t="s">
        <v>25</v>
      </c>
      <c r="F119" s="2" t="s">
        <v>15</v>
      </c>
      <c r="G119" s="2" t="s">
        <v>441</v>
      </c>
      <c r="H119" s="2" t="s">
        <v>17</v>
      </c>
      <c r="I119" s="3" t="str">
        <f>IFERROR(__xludf.DUMMYFUNCTION("GOOGLETRANSLATE(C119,""fr"",""en"")"),"I am satisfied with the service, very good information near Lionel, a very affordable price. I advise this insurance thank you to you. Oceane Guillard")</f>
        <v>I am satisfied with the service, very good information near Lionel, a very affordable price. I advise this insurance thank you to you. Oceane Guillard</v>
      </c>
    </row>
    <row r="120" ht="15.75" customHeight="1">
      <c r="A120" s="2">
        <v>2.0</v>
      </c>
      <c r="B120" s="2" t="s">
        <v>442</v>
      </c>
      <c r="C120" s="2" t="s">
        <v>443</v>
      </c>
      <c r="D120" s="2" t="s">
        <v>307</v>
      </c>
      <c r="E120" s="2" t="s">
        <v>31</v>
      </c>
      <c r="F120" s="2" t="s">
        <v>15</v>
      </c>
      <c r="G120" s="2" t="s">
        <v>444</v>
      </c>
      <c r="H120" s="2" t="s">
        <v>445</v>
      </c>
      <c r="I120" s="3" t="str">
        <f>IFERROR(__xludf.DUMMYFUNCTION("GOOGLETRANSLATE(C120,""fr"",""en"")"),"Good insurance the time I work in the company but it is complicated the day when I was dismissed for incapacity more tele transmission with the CPAM more code of unpleasant access to a care of an additional year approved by the company. Assurance impossib"&amp;"le to reach by phone shipments contradictory mail all this so as not to reimburse you")</f>
        <v>Good insurance the time I work in the company but it is complicated the day when I was dismissed for incapacity more tele transmission with the CPAM more code of unpleasant access to a care of an additional year approved by the company. Assurance impossible to reach by phone shipments contradictory mail all this so as not to reimburse you</v>
      </c>
    </row>
    <row r="121" ht="15.75" customHeight="1">
      <c r="A121" s="2">
        <v>4.0</v>
      </c>
      <c r="B121" s="2" t="s">
        <v>446</v>
      </c>
      <c r="C121" s="2" t="s">
        <v>447</v>
      </c>
      <c r="D121" s="2" t="s">
        <v>147</v>
      </c>
      <c r="E121" s="2" t="s">
        <v>31</v>
      </c>
      <c r="F121" s="2" t="s">
        <v>15</v>
      </c>
      <c r="G121" s="2" t="s">
        <v>448</v>
      </c>
      <c r="H121" s="2" t="s">
        <v>255</v>
      </c>
      <c r="I121" s="3" t="str">
        <f>IFERROR(__xludf.DUMMYFUNCTION("GOOGLETRANSLATE(C121,""fr"",""en"")"),"So far I have not encountered any difficulty with the MGP. I would just say that the prices remain somewhat high compared with other mutuals and superior guarantees.
Regards Didier Metais")</f>
        <v>So far I have not encountered any difficulty with the MGP. I would just say that the prices remain somewhat high compared with other mutuals and superior guarantees.
Regards Didier Metais</v>
      </c>
    </row>
    <row r="122" ht="15.75" customHeight="1">
      <c r="A122" s="2">
        <v>5.0</v>
      </c>
      <c r="B122" s="2" t="s">
        <v>449</v>
      </c>
      <c r="C122" s="2" t="s">
        <v>450</v>
      </c>
      <c r="D122" s="2" t="s">
        <v>13</v>
      </c>
      <c r="E122" s="2" t="s">
        <v>14</v>
      </c>
      <c r="F122" s="2" t="s">
        <v>15</v>
      </c>
      <c r="G122" s="2" t="s">
        <v>430</v>
      </c>
      <c r="H122" s="2" t="s">
        <v>133</v>
      </c>
      <c r="I122" s="3" t="str">
        <f>IFERROR(__xludf.DUMMYFUNCTION("GOOGLETRANSLATE(C122,""fr"",""en"")"),"very good service and fast. Singlers even during late hours when the other insurance offices firm")</f>
        <v>very good service and fast. Singlers even during late hours when the other insurance offices firm</v>
      </c>
    </row>
    <row r="123" ht="15.75" customHeight="1">
      <c r="A123" s="2">
        <v>1.0</v>
      </c>
      <c r="B123" s="2" t="s">
        <v>451</v>
      </c>
      <c r="C123" s="2" t="s">
        <v>452</v>
      </c>
      <c r="D123" s="2" t="s">
        <v>453</v>
      </c>
      <c r="E123" s="2" t="s">
        <v>329</v>
      </c>
      <c r="F123" s="2" t="s">
        <v>15</v>
      </c>
      <c r="G123" s="2" t="s">
        <v>454</v>
      </c>
      <c r="H123" s="2" t="s">
        <v>255</v>
      </c>
      <c r="I123" s="3" t="str">
        <f>IFERROR(__xludf.DUMMYFUNCTION("GOOGLETRANSLATE(C123,""fr"",""en"")"),"Recently ensured at Santévet and already very disappointed!
Landy insurance, when opening a file we are sold for the dream to ultimately be reimbursed only € 50 per year.")</f>
        <v>Recently ensured at Santévet and already very disappointed!
Landy insurance, when opening a file we are sold for the dream to ultimately be reimbursed only € 50 per year.</v>
      </c>
    </row>
    <row r="124" ht="15.75" customHeight="1">
      <c r="A124" s="2">
        <v>2.0</v>
      </c>
      <c r="B124" s="2" t="s">
        <v>455</v>
      </c>
      <c r="C124" s="2" t="s">
        <v>456</v>
      </c>
      <c r="D124" s="2" t="s">
        <v>75</v>
      </c>
      <c r="E124" s="2" t="s">
        <v>31</v>
      </c>
      <c r="F124" s="2" t="s">
        <v>15</v>
      </c>
      <c r="G124" s="2" t="s">
        <v>457</v>
      </c>
      <c r="H124" s="2" t="s">
        <v>458</v>
      </c>
      <c r="I124" s="3" t="str">
        <f>IFERROR(__xludf.DUMMYFUNCTION("GOOGLETRANSLATE(C124,""fr"",""en"")"),"Top many years at Harmonie, I will not take back a mutual insurance for them this one deteriorates at the speed of the lulle")</f>
        <v>Top many years at Harmonie, I will not take back a mutual insurance for them this one deteriorates at the speed of the lulle</v>
      </c>
    </row>
    <row r="125" ht="15.75" customHeight="1">
      <c r="A125" s="2">
        <v>1.0</v>
      </c>
      <c r="B125" s="2" t="s">
        <v>459</v>
      </c>
      <c r="C125" s="2" t="s">
        <v>460</v>
      </c>
      <c r="D125" s="2" t="s">
        <v>373</v>
      </c>
      <c r="E125" s="2" t="s">
        <v>31</v>
      </c>
      <c r="F125" s="2" t="s">
        <v>15</v>
      </c>
      <c r="G125" s="2" t="s">
        <v>461</v>
      </c>
      <c r="H125" s="2" t="s">
        <v>287</v>
      </c>
      <c r="I125" s="3" t="str">
        <f>IFERROR(__xludf.DUMMYFUNCTION("GOOGLETRANSLATE(C125,""fr"",""en"")"),"Far too expensive.")</f>
        <v>Far too expensive.</v>
      </c>
    </row>
    <row r="126" ht="15.75" customHeight="1">
      <c r="A126" s="2">
        <v>3.0</v>
      </c>
      <c r="B126" s="2" t="s">
        <v>462</v>
      </c>
      <c r="C126" s="2" t="s">
        <v>463</v>
      </c>
      <c r="D126" s="2" t="s">
        <v>20</v>
      </c>
      <c r="E126" s="2" t="s">
        <v>14</v>
      </c>
      <c r="F126" s="2" t="s">
        <v>15</v>
      </c>
      <c r="G126" s="2" t="s">
        <v>464</v>
      </c>
      <c r="H126" s="2" t="s">
        <v>27</v>
      </c>
      <c r="I126" s="3" t="str">
        <f>IFERROR(__xludf.DUMMYFUNCTION("GOOGLETRANSLATE(C126,""fr"",""en"")"),"I am satisfied with the service because the service is fast and efficient. And very understanding.
Meets the need for customers.
The steps are simple")</f>
        <v>I am satisfied with the service because the service is fast and efficient. And very understanding.
Meets the need for customers.
The steps are simple</v>
      </c>
    </row>
    <row r="127" ht="15.75" customHeight="1">
      <c r="A127" s="2">
        <v>5.0</v>
      </c>
      <c r="B127" s="2" t="s">
        <v>465</v>
      </c>
      <c r="C127" s="2" t="s">
        <v>466</v>
      </c>
      <c r="D127" s="2" t="s">
        <v>80</v>
      </c>
      <c r="E127" s="2" t="s">
        <v>25</v>
      </c>
      <c r="F127" s="2" t="s">
        <v>15</v>
      </c>
      <c r="G127" s="2" t="s">
        <v>234</v>
      </c>
      <c r="H127" s="2" t="s">
        <v>72</v>
      </c>
      <c r="I127" s="3" t="str">
        <f>IFERROR(__xludf.DUMMYFUNCTION("GOOGLETRANSLATE(C127,""fr"",""en"")"),"Fast, inexpensive, well informed by the very courteous advisor.
For the moment very satisfied.
I hope there is a mobile app to manage even more easily")</f>
        <v>Fast, inexpensive, well informed by the very courteous advisor.
For the moment very satisfied.
I hope there is a mobile app to manage even more easily</v>
      </c>
    </row>
    <row r="128" ht="15.75" customHeight="1">
      <c r="A128" s="2">
        <v>1.0</v>
      </c>
      <c r="B128" s="2" t="s">
        <v>467</v>
      </c>
      <c r="C128" s="2" t="s">
        <v>468</v>
      </c>
      <c r="D128" s="2" t="s">
        <v>469</v>
      </c>
      <c r="E128" s="2" t="s">
        <v>285</v>
      </c>
      <c r="F128" s="2" t="s">
        <v>15</v>
      </c>
      <c r="G128" s="2" t="s">
        <v>470</v>
      </c>
      <c r="H128" s="2" t="s">
        <v>195</v>
      </c>
      <c r="I128" s="3" t="str">
        <f>IFERROR(__xludf.DUMMYFUNCTION("GOOGLETRANSLATE(C128,""fr"",""en"")"),"Succession not settled for months despite numerous calls and letters. Scandalous behavior")</f>
        <v>Succession not settled for months despite numerous calls and letters. Scandalous behavior</v>
      </c>
    </row>
    <row r="129" ht="15.75" customHeight="1">
      <c r="A129" s="2">
        <v>4.0</v>
      </c>
      <c r="B129" s="2" t="s">
        <v>471</v>
      </c>
      <c r="C129" s="2" t="s">
        <v>472</v>
      </c>
      <c r="D129" s="2" t="s">
        <v>80</v>
      </c>
      <c r="E129" s="2" t="s">
        <v>25</v>
      </c>
      <c r="F129" s="2" t="s">
        <v>15</v>
      </c>
      <c r="G129" s="2" t="s">
        <v>473</v>
      </c>
      <c r="H129" s="2" t="s">
        <v>133</v>
      </c>
      <c r="I129" s="3" t="str">
        <f>IFERROR(__xludf.DUMMYFUNCTION("GOOGLETRANSLATE(C129,""fr"",""en"")"),"Thank you for your help and responsiveness see you soon more than downloading the documents and being able to ride with my motorcycle. But why do you have to write so much to validate my motorcycle insurance c'edt crazy")</f>
        <v>Thank you for your help and responsiveness see you soon more than downloading the documents and being able to ride with my motorcycle. But why do you have to write so much to validate my motorcycle insurance c'edt crazy</v>
      </c>
    </row>
    <row r="130" ht="15.75" customHeight="1">
      <c r="A130" s="2">
        <v>5.0</v>
      </c>
      <c r="B130" s="2" t="s">
        <v>474</v>
      </c>
      <c r="C130" s="2" t="s">
        <v>475</v>
      </c>
      <c r="D130" s="2" t="s">
        <v>190</v>
      </c>
      <c r="E130" s="2" t="s">
        <v>31</v>
      </c>
      <c r="F130" s="2" t="s">
        <v>15</v>
      </c>
      <c r="G130" s="2" t="s">
        <v>476</v>
      </c>
      <c r="H130" s="2" t="s">
        <v>477</v>
      </c>
      <c r="I130" s="3" t="str">
        <f>IFERROR(__xludf.DUMMYFUNCTION("GOOGLETRANSLATE(C130,""fr"",""en"")"),"I am a new member I have repeatedly needed help I had Sara M who advised me very well on my steps to do very pro each time their availability is impeccable I hope to continue like that")</f>
        <v>I am a new member I have repeatedly needed help I had Sara M who advised me very well on my steps to do very pro each time their availability is impeccable I hope to continue like that</v>
      </c>
    </row>
    <row r="131" ht="15.75" customHeight="1">
      <c r="A131" s="2">
        <v>2.0</v>
      </c>
      <c r="B131" s="2" t="s">
        <v>478</v>
      </c>
      <c r="C131" s="2" t="s">
        <v>479</v>
      </c>
      <c r="D131" s="2" t="s">
        <v>66</v>
      </c>
      <c r="E131" s="2" t="s">
        <v>14</v>
      </c>
      <c r="F131" s="2" t="s">
        <v>15</v>
      </c>
      <c r="G131" s="2" t="s">
        <v>480</v>
      </c>
      <c r="H131" s="2" t="s">
        <v>168</v>
      </c>
      <c r="I131" s="3" t="str">
        <f>IFERROR(__xludf.DUMMYFUNCTION("GOOGLETRANSLATE(C131,""fr"",""en"")"),"Watch out for the contract on this insurer! There are abusive clauses !!! Let you not be warned when signing the contract!
I thought it was a franchise, but in fact I discovered that it is a penalty! So be careful not to lend your car if you are at Eurof"&amp;"il
A penalty (fine) of 3,000 euros if you lend your vehicle to someone who has been allowed for less than 5 years
I lent my vehicle to my son who had a disaster whose wrongs are recognized shared by Eurofil. (I will not go into details, because I disput"&amp;"e the twists, several letters with photos in the support) I understand better why Eurofil does not make the effort to contact the opposing insurer, it is more interesting for them of win 3000 euros.
Therefore a penalty of 3000 euros applies
.Ci below "&amp;"the mail received by Eurofil: your responsibility being partially engaged, half of your damage quosted by the expert at 561.84 euros and settled by the opposing party will be deducted from this sum. Consequently, the amount remaining at your expense for t"&amp;"his claim amounts to 2438.16 euros
1. I am surprised at the calculation by Eurofil, that would mean that if the damage of my car would have been higher. I would have less to pay ???
 2. I can't find honofil honof to recover money on the backs of the ins"&amp;"ured! (Work on the opposing party would not exceed € 500)
That the total amount of the damage of the 2 cars is divided and paid by the insured it seems more logical.
It's an abusive clause !! I had not understood this on their contract. A franchise of €"&amp;" 3000 yes, but a penalty of 3000 euros no!
Even a lawyer warns the insured: https://www.opinion-assurances.fr/eurofil-assurance-auto-avis-71945.html
")</f>
        <v>Watch out for the contract on this insurer! There are abusive clauses !!! Let you not be warned when signing the contract!
I thought it was a franchise, but in fact I discovered that it is a penalty! So be careful not to lend your car if you are at Eurofil
A penalty (fine) of 3,000 euros if you lend your vehicle to someone who has been allowed for less than 5 years
I lent my vehicle to my son who had a disaster whose wrongs are recognized shared by Eurofil. (I will not go into details, because I dispute the twists, several letters with photos in the support) I understand better why Eurofil does not make the effort to contact the opposing insurer, it is more interesting for them of win 3000 euros.
Therefore a penalty of 3000 euros applies
.Ci below the mail received by Eurofil: your responsibility being partially engaged, half of your damage quosted by the expert at 561.84 euros and settled by the opposing party will be deducted from this sum. Consequently, the amount remaining at your expense for this claim amounts to 2438.16 euros
1. I am surprised at the calculation by Eurofil, that would mean that if the damage of my car would have been higher. I would have less to pay ???
 2. I can't find honofil honof to recover money on the backs of the insured! (Work on the opposing party would not exceed € 500)
That the total amount of the damage of the 2 cars is divided and paid by the insured it seems more logical.
It's an abusive clause !! I had not understood this on their contract. A franchise of € 3000 yes, but a penalty of 3000 euros no!
Even a lawyer warns the insured: https://www.opinion-assurances.fr/eurofil-assurance-auto-avis-71945.html
</v>
      </c>
    </row>
    <row r="132" ht="15.75" customHeight="1">
      <c r="A132" s="2">
        <v>2.0</v>
      </c>
      <c r="B132" s="2" t="s">
        <v>481</v>
      </c>
      <c r="C132" s="2" t="s">
        <v>482</v>
      </c>
      <c r="D132" s="2" t="s">
        <v>426</v>
      </c>
      <c r="E132" s="2" t="s">
        <v>31</v>
      </c>
      <c r="F132" s="2" t="s">
        <v>15</v>
      </c>
      <c r="G132" s="2" t="s">
        <v>483</v>
      </c>
      <c r="H132" s="2" t="s">
        <v>87</v>
      </c>
      <c r="I132" s="3" t="str">
        <f>IFERROR(__xludf.DUMMYFUNCTION("GOOGLETRANSLATE(C132,""fr"",""en"")")," Increasingly incompetent staff recruited from diplomas 30 years ago had a value,
A guarantee of capacity, but today are distributed to the shovel and no longer make sense.
 The MGEN is ""directed by a circle of teachers who has nothing to do in a pri"&amp;"vate company.
  The young teachers no longer adhere.
 ")</f>
        <v> Increasingly incompetent staff recruited from diplomas 30 years ago had a value,
A guarantee of capacity, but today are distributed to the shovel and no longer make sense.
 The MGEN is "directed by a circle of teachers who has nothing to do in a private company.
  The young teachers no longer adhere.
 </v>
      </c>
    </row>
    <row r="133" ht="15.75" customHeight="1">
      <c r="A133" s="2">
        <v>3.0</v>
      </c>
      <c r="B133" s="2" t="s">
        <v>484</v>
      </c>
      <c r="C133" s="2" t="s">
        <v>485</v>
      </c>
      <c r="D133" s="2" t="s">
        <v>117</v>
      </c>
      <c r="E133" s="2" t="s">
        <v>25</v>
      </c>
      <c r="F133" s="2" t="s">
        <v>15</v>
      </c>
      <c r="G133" s="2" t="s">
        <v>486</v>
      </c>
      <c r="H133" s="2" t="s">
        <v>313</v>
      </c>
      <c r="I133" s="3" t="str">
        <f>IFERROR(__xludf.DUMMYFUNCTION("GOOGLETRANSLATE(C133,""fr"",""en"")"),"I am currently looking at the competition 1169 euros for a 2016 FJR with the most 50% bonus")</f>
        <v>I am currently looking at the competition 1169 euros for a 2016 FJR with the most 50% bonus</v>
      </c>
    </row>
    <row r="134" ht="15.75" customHeight="1">
      <c r="A134" s="2">
        <v>5.0</v>
      </c>
      <c r="B134" s="2" t="s">
        <v>487</v>
      </c>
      <c r="C134" s="2" t="s">
        <v>488</v>
      </c>
      <c r="D134" s="2" t="s">
        <v>13</v>
      </c>
      <c r="E134" s="2" t="s">
        <v>14</v>
      </c>
      <c r="F134" s="2" t="s">
        <v>15</v>
      </c>
      <c r="G134" s="2" t="s">
        <v>489</v>
      </c>
      <c r="H134" s="2" t="s">
        <v>72</v>
      </c>
      <c r="I134" s="3" t="str">
        <f>IFERROR(__xludf.DUMMYFUNCTION("GOOGLETRANSLATE(C134,""fr"",""en"")"),"Super helpful, fast service, explains very well takes the tempt that needs, prices are affordable, the application online and easy to access, bravo")</f>
        <v>Super helpful, fast service, explains very well takes the tempt that needs, prices are affordable, the application online and easy to access, bravo</v>
      </c>
    </row>
    <row r="135" ht="15.75" customHeight="1">
      <c r="A135" s="2">
        <v>5.0</v>
      </c>
      <c r="B135" s="2" t="s">
        <v>490</v>
      </c>
      <c r="C135" s="2" t="s">
        <v>491</v>
      </c>
      <c r="D135" s="2" t="s">
        <v>80</v>
      </c>
      <c r="E135" s="2" t="s">
        <v>25</v>
      </c>
      <c r="F135" s="2" t="s">
        <v>15</v>
      </c>
      <c r="G135" s="2" t="s">
        <v>492</v>
      </c>
      <c r="H135" s="2" t="s">
        <v>125</v>
      </c>
      <c r="I135" s="3" t="str">
        <f>IFERROR(__xludf.DUMMYFUNCTION("GOOGLETRANSLATE(C135,""fr"",""en"")"),"The price is very interesting given the services provided very good value for money Simple and fast process very well explained I recommend April Moto Moto")</f>
        <v>The price is very interesting given the services provided very good value for money Simple and fast process very well explained I recommend April Moto Moto</v>
      </c>
    </row>
    <row r="136" ht="15.75" customHeight="1">
      <c r="A136" s="2">
        <v>4.0</v>
      </c>
      <c r="B136" s="2" t="s">
        <v>493</v>
      </c>
      <c r="C136" s="2" t="s">
        <v>494</v>
      </c>
      <c r="D136" s="2" t="s">
        <v>20</v>
      </c>
      <c r="E136" s="2" t="s">
        <v>14</v>
      </c>
      <c r="F136" s="2" t="s">
        <v>15</v>
      </c>
      <c r="G136" s="2" t="s">
        <v>268</v>
      </c>
      <c r="H136" s="2" t="s">
        <v>27</v>
      </c>
      <c r="I136" s="3" t="str">
        <f>IFERROR(__xludf.DUMMYFUNCTION("GOOGLETRANSLATE(C136,""fr"",""en"")"),"I am satisfied with the price and services offered compared to other competitors. My family is a client at home and she advised me to make sure at home.")</f>
        <v>I am satisfied with the price and services offered compared to other competitors. My family is a client at home and she advised me to make sure at home.</v>
      </c>
    </row>
    <row r="137" ht="15.75" customHeight="1">
      <c r="A137" s="2">
        <v>4.0</v>
      </c>
      <c r="B137" s="2" t="s">
        <v>495</v>
      </c>
      <c r="C137" s="2" t="s">
        <v>496</v>
      </c>
      <c r="D137" s="2" t="s">
        <v>13</v>
      </c>
      <c r="E137" s="2" t="s">
        <v>14</v>
      </c>
      <c r="F137" s="2" t="s">
        <v>15</v>
      </c>
      <c r="G137" s="2" t="s">
        <v>497</v>
      </c>
      <c r="H137" s="2" t="s">
        <v>125</v>
      </c>
      <c r="I137" s="3" t="str">
        <f>IFERROR(__xludf.DUMMYFUNCTION("GOOGLETRANSLATE(C137,""fr"",""en"")"),"I am satisfied with the service, the person on the phone very pleasant.
The price is satisfactory for my vehicle, I will resume contact for my other vehicle for the end of the year")</f>
        <v>I am satisfied with the service, the person on the phone very pleasant.
The price is satisfactory for my vehicle, I will resume contact for my other vehicle for the end of the year</v>
      </c>
    </row>
    <row r="138" ht="15.75" customHeight="1">
      <c r="A138" s="2">
        <v>4.0</v>
      </c>
      <c r="B138" s="2" t="s">
        <v>498</v>
      </c>
      <c r="C138" s="2" t="s">
        <v>499</v>
      </c>
      <c r="D138" s="2" t="s">
        <v>13</v>
      </c>
      <c r="E138" s="2" t="s">
        <v>14</v>
      </c>
      <c r="F138" s="2" t="s">
        <v>15</v>
      </c>
      <c r="G138" s="2" t="s">
        <v>347</v>
      </c>
      <c r="H138" s="2" t="s">
        <v>133</v>
      </c>
      <c r="I138" s="3" t="str">
        <f>IFERROR(__xludf.DUMMYFUNCTION("GOOGLETRANSLATE(C138,""fr"",""en"")"),"Cheaper than competitors, listening and professional customer service.
They answer questions and help for the procedures. I recommend")</f>
        <v>Cheaper than competitors, listening and professional customer service.
They answer questions and help for the procedures. I recommend</v>
      </c>
    </row>
    <row r="139" ht="15.75" customHeight="1">
      <c r="A139" s="2">
        <v>2.0</v>
      </c>
      <c r="B139" s="2" t="s">
        <v>500</v>
      </c>
      <c r="C139" s="2" t="s">
        <v>501</v>
      </c>
      <c r="D139" s="2" t="s">
        <v>502</v>
      </c>
      <c r="E139" s="2" t="s">
        <v>25</v>
      </c>
      <c r="F139" s="2" t="s">
        <v>15</v>
      </c>
      <c r="G139" s="2" t="s">
        <v>503</v>
      </c>
      <c r="H139" s="2" t="s">
        <v>504</v>
      </c>
      <c r="I139" s="3" t="str">
        <f>IFERROR(__xludf.DUMMYFUNCTION("GOOGLETRANSLATE(C139,""fr"",""en"")"),"Disappointed with the prices made to have 2 contracts with them")</f>
        <v>Disappointed with the prices made to have 2 contracts with them</v>
      </c>
    </row>
    <row r="140" ht="15.75" customHeight="1">
      <c r="A140" s="2">
        <v>4.0</v>
      </c>
      <c r="B140" s="2" t="s">
        <v>505</v>
      </c>
      <c r="C140" s="2" t="s">
        <v>506</v>
      </c>
      <c r="D140" s="2" t="s">
        <v>20</v>
      </c>
      <c r="E140" s="2" t="s">
        <v>14</v>
      </c>
      <c r="F140" s="2" t="s">
        <v>15</v>
      </c>
      <c r="G140" s="2" t="s">
        <v>507</v>
      </c>
      <c r="H140" s="2" t="s">
        <v>133</v>
      </c>
      <c r="I140" s="3" t="str">
        <f>IFERROR(__xludf.DUMMYFUNCTION("GOOGLETRANSLATE(C140,""fr"",""en"")"),"I am satisfied with the speed and simplification of your platform,
See you soon for home insurance, I think I am broadcasting this experience with my friends.
")</f>
        <v>I am satisfied with the speed and simplification of your platform,
See you soon for home insurance, I think I am broadcasting this experience with my friends.
</v>
      </c>
    </row>
    <row r="141" ht="15.75" customHeight="1">
      <c r="A141" s="2">
        <v>2.0</v>
      </c>
      <c r="B141" s="2" t="s">
        <v>508</v>
      </c>
      <c r="C141" s="2" t="s">
        <v>509</v>
      </c>
      <c r="D141" s="2" t="s">
        <v>280</v>
      </c>
      <c r="E141" s="2" t="s">
        <v>91</v>
      </c>
      <c r="F141" s="2" t="s">
        <v>15</v>
      </c>
      <c r="G141" s="2" t="s">
        <v>510</v>
      </c>
      <c r="H141" s="2" t="s">
        <v>187</v>
      </c>
      <c r="I141" s="3" t="str">
        <f>IFERROR(__xludf.DUMMYFUNCTION("GOOGLETRANSLATE(C141,""fr"",""en"")"),"I was struck off from my home contract, after more than 5 years without any valid explanation except that defended, by management, of the interest of their subscribers !!")</f>
        <v>I was struck off from my home contract, after more than 5 years without any valid explanation except that defended, by management, of the interest of their subscribers !!</v>
      </c>
    </row>
    <row r="142" ht="15.75" customHeight="1">
      <c r="A142" s="2">
        <v>3.0</v>
      </c>
      <c r="B142" s="2" t="s">
        <v>511</v>
      </c>
      <c r="C142" s="2" t="s">
        <v>512</v>
      </c>
      <c r="D142" s="2" t="s">
        <v>513</v>
      </c>
      <c r="E142" s="2" t="s">
        <v>14</v>
      </c>
      <c r="F142" s="2" t="s">
        <v>15</v>
      </c>
      <c r="G142" s="2" t="s">
        <v>514</v>
      </c>
      <c r="H142" s="2" t="s">
        <v>208</v>
      </c>
      <c r="I142" s="3" t="str">
        <f>IFERROR(__xludf.DUMMYFUNCTION("GOOGLETRANSLATE(C142,""fr"",""en"")"),"Good insurance, until today no worries with them, I recently had to do with them for a break in ice and no deductible to pay while other insurers pay a big assistance game OK OK for The only time downside the 250th franchise when someone hangs on you and "&amp;"that he leaves and there is a big job to do on the vehicle while we are not wrong and also the price of the insurance at all risk that I find a little high except for all the guarantees it is not too bad")</f>
        <v>Good insurance, until today no worries with them, I recently had to do with them for a break in ice and no deductible to pay while other insurers pay a big assistance game OK OK for The only time downside the 250th franchise when someone hangs on you and that he leaves and there is a big job to do on the vehicle while we are not wrong and also the price of the insurance at all risk that I find a little high except for all the guarantees it is not too bad</v>
      </c>
    </row>
    <row r="143" ht="15.75" customHeight="1">
      <c r="A143" s="2">
        <v>3.0</v>
      </c>
      <c r="B143" s="2" t="s">
        <v>515</v>
      </c>
      <c r="C143" s="2" t="s">
        <v>516</v>
      </c>
      <c r="D143" s="2" t="s">
        <v>20</v>
      </c>
      <c r="E143" s="2" t="s">
        <v>14</v>
      </c>
      <c r="F143" s="2" t="s">
        <v>15</v>
      </c>
      <c r="G143" s="2" t="s">
        <v>240</v>
      </c>
      <c r="H143" s="2" t="s">
        <v>149</v>
      </c>
      <c r="I143" s="3" t="str">
        <f>IFERROR(__xludf.DUMMYFUNCTION("GOOGLETRANSLATE(C143,""fr"",""en"")"),"I am satisfied with the service, however the price is no longer the best for equivalent service. I would have liked to be contacted by a customer attaché to offer me a competing offer.
Shame.
The insurance market is aggressive.")</f>
        <v>I am satisfied with the service, however the price is no longer the best for equivalent service. I would have liked to be contacted by a customer attaché to offer me a competing offer.
Shame.
The insurance market is aggressive.</v>
      </c>
    </row>
    <row r="144" ht="15.75" customHeight="1">
      <c r="A144" s="2">
        <v>5.0</v>
      </c>
      <c r="B144" s="2" t="s">
        <v>517</v>
      </c>
      <c r="C144" s="2" t="s">
        <v>518</v>
      </c>
      <c r="D144" s="2" t="s">
        <v>13</v>
      </c>
      <c r="E144" s="2" t="s">
        <v>14</v>
      </c>
      <c r="F144" s="2" t="s">
        <v>15</v>
      </c>
      <c r="G144" s="2" t="s">
        <v>519</v>
      </c>
      <c r="H144" s="2" t="s">
        <v>149</v>
      </c>
      <c r="I144" s="3" t="str">
        <f>IFERROR(__xludf.DUMMYFUNCTION("GOOGLETRANSLATE(C144,""fr"",""en"")"),"Very warm welcome and very good information by Guillaume this day at telephone reception
THANK YOU")</f>
        <v>Very warm welcome and very good information by Guillaume this day at telephone reception
THANK YOU</v>
      </c>
    </row>
    <row r="145" ht="15.75" customHeight="1">
      <c r="A145" s="2">
        <v>3.0</v>
      </c>
      <c r="B145" s="2" t="s">
        <v>520</v>
      </c>
      <c r="C145" s="2" t="s">
        <v>521</v>
      </c>
      <c r="D145" s="2" t="s">
        <v>190</v>
      </c>
      <c r="E145" s="2" t="s">
        <v>31</v>
      </c>
      <c r="F145" s="2" t="s">
        <v>15</v>
      </c>
      <c r="G145" s="2" t="s">
        <v>522</v>
      </c>
      <c r="H145" s="2" t="s">
        <v>164</v>
      </c>
      <c r="I145" s="3" t="str">
        <f>IFERROR(__xludf.DUMMYFUNCTION("GOOGLETRANSLATE(C145,""fr"",""en"")")," Mr Gwendal turned out to be very effective, responsive, friendly and above all very professional but what am I saying !!!! When we have all these qualities it is necessarily professionalism")</f>
        <v> Mr Gwendal turned out to be very effective, responsive, friendly and above all very professional but what am I saying !!!! When we have all these qualities it is necessarily professionalism</v>
      </c>
    </row>
    <row r="146" ht="15.75" customHeight="1">
      <c r="A146" s="2">
        <v>2.0</v>
      </c>
      <c r="B146" s="2" t="s">
        <v>523</v>
      </c>
      <c r="C146" s="2" t="s">
        <v>524</v>
      </c>
      <c r="D146" s="2" t="s">
        <v>117</v>
      </c>
      <c r="E146" s="2" t="s">
        <v>91</v>
      </c>
      <c r="F146" s="2" t="s">
        <v>15</v>
      </c>
      <c r="G146" s="2" t="s">
        <v>63</v>
      </c>
      <c r="H146" s="2" t="s">
        <v>63</v>
      </c>
      <c r="I146" s="3" t="str">
        <f>IFERROR(__xludf.DUMMYFUNCTION("GOOGLETRANSLATE(C146,""fr"",""en"")"),"I have subscribed to Axa Insurance in Choisy-Le Roi, I advise against them, they have more than doubtful methods ... For my part,
I subscribed to an AXA home insurance in Choisy the King led by M.Eric Huard. I applied for a termination for moving to my h"&amp;"usband.
I therefore provided as proof my inventory as well as a letter of termination by registered mail acknowledgment, 10 months later, they still refuse to terminate and the Angelique Duguet councilor, now dispute having received my supporting documen"&amp;"ts inside My letter in accused receipt asking me if I took pictures of the content of my letter and that I am paying 250 euros. My file was sent to the bailiff ...
")</f>
        <v>I have subscribed to Axa Insurance in Choisy-Le Roi, I advise against them, they have more than doubtful methods ... For my part,
I subscribed to an AXA home insurance in Choisy the King led by M.Eric Huard. I applied for a termination for moving to my husband.
I therefore provided as proof my inventory as well as a letter of termination by registered mail acknowledgment, 10 months later, they still refuse to terminate and the Angelique Duguet councilor, now dispute having received my supporting documents inside My letter in accused receipt asking me if I took pictures of the content of my letter and that I am paying 250 euros. My file was sent to the bailiff ...
</v>
      </c>
    </row>
    <row r="147" ht="15.75" customHeight="1">
      <c r="A147" s="2">
        <v>3.0</v>
      </c>
      <c r="B147" s="2" t="s">
        <v>525</v>
      </c>
      <c r="C147" s="2" t="s">
        <v>526</v>
      </c>
      <c r="D147" s="2" t="s">
        <v>190</v>
      </c>
      <c r="E147" s="2" t="s">
        <v>31</v>
      </c>
      <c r="F147" s="2" t="s">
        <v>15</v>
      </c>
      <c r="G147" s="2" t="s">
        <v>527</v>
      </c>
      <c r="H147" s="2" t="s">
        <v>528</v>
      </c>
      <c r="I147" s="3" t="str">
        <f>IFERROR(__xludf.DUMMYFUNCTION("GOOGLETRANSLATE(C147,""fr"",""en"")"),"precise information, direct implementation, no approach on my part")</f>
        <v>precise information, direct implementation, no approach on my part</v>
      </c>
    </row>
    <row r="148" ht="15.75" customHeight="1">
      <c r="A148" s="2">
        <v>3.0</v>
      </c>
      <c r="B148" s="2" t="s">
        <v>529</v>
      </c>
      <c r="C148" s="2" t="s">
        <v>530</v>
      </c>
      <c r="D148" s="2" t="s">
        <v>20</v>
      </c>
      <c r="E148" s="2" t="s">
        <v>14</v>
      </c>
      <c r="F148" s="2" t="s">
        <v>15</v>
      </c>
      <c r="G148" s="2" t="s">
        <v>531</v>
      </c>
      <c r="H148" s="2" t="s">
        <v>58</v>
      </c>
      <c r="I148" s="3" t="str">
        <f>IFERROR(__xludf.DUMMYFUNCTION("GOOGLETRANSLATE(C148,""fr"",""en"")"),"I am satisfied with the services, pleasant welcome, warm staff, speed of maneuvers, simplicity via the Internet. On the other hand, the price is different between internet and by phone.")</f>
        <v>I am satisfied with the services, pleasant welcome, warm staff, speed of maneuvers, simplicity via the Internet. On the other hand, the price is different between internet and by phone.</v>
      </c>
    </row>
    <row r="149" ht="15.75" customHeight="1">
      <c r="A149" s="2">
        <v>2.0</v>
      </c>
      <c r="B149" s="2" t="s">
        <v>532</v>
      </c>
      <c r="C149" s="2" t="s">
        <v>533</v>
      </c>
      <c r="D149" s="2" t="s">
        <v>147</v>
      </c>
      <c r="E149" s="2" t="s">
        <v>31</v>
      </c>
      <c r="F149" s="2" t="s">
        <v>15</v>
      </c>
      <c r="G149" s="2" t="s">
        <v>534</v>
      </c>
      <c r="H149" s="2" t="s">
        <v>535</v>
      </c>
      <c r="I149" s="3" t="str">
        <f>IFERROR(__xludf.DUMMYFUNCTION("GOOGLETRANSLATE(C149,""fr"",""en"")"),"Waiting time before taking my phone call into account was very short. The lady who informed me was very pleasant and very clear. Efficient and professional contact.")</f>
        <v>Waiting time before taking my phone call into account was very short. The lady who informed me was very pleasant and very clear. Efficient and professional contact.</v>
      </c>
    </row>
    <row r="150" ht="15.75" customHeight="1">
      <c r="A150" s="2">
        <v>2.0</v>
      </c>
      <c r="B150" s="2" t="s">
        <v>536</v>
      </c>
      <c r="C150" s="2" t="s">
        <v>537</v>
      </c>
      <c r="D150" s="2" t="s">
        <v>106</v>
      </c>
      <c r="E150" s="2" t="s">
        <v>31</v>
      </c>
      <c r="F150" s="2" t="s">
        <v>15</v>
      </c>
      <c r="G150" s="2" t="s">
        <v>538</v>
      </c>
      <c r="H150" s="2" t="s">
        <v>152</v>
      </c>
      <c r="I150" s="3" t="str">
        <f>IFERROR(__xludf.DUMMYFUNCTION("GOOGLETRANSLATE(C150,""fr"",""en"")"),"Latable telephone reception, you call on a hotline but that's not where they process the files, it is in Lyon I believe, so you have to do with relay interlocutors who do not understand the outcome of the file. .
Before merging, it was Partéo, it worked "&amp;"perfectly with people on the phone who directly managed the files .... We were forced to change (mutual company) to land in this galley.
I sent a request by mail on 18/11 to answer me on 30/12 that it took another paper ..... it looks like it's done on p"&amp;"urpose !! I hope to be wrong, but in any case, another thing like that and I leave this mutual !!! To flee !")</f>
        <v>Latable telephone reception, you call on a hotline but that's not where they process the files, it is in Lyon I believe, so you have to do with relay interlocutors who do not understand the outcome of the file. .
Before merging, it was Partéo, it worked perfectly with people on the phone who directly managed the files .... We were forced to change (mutual company) to land in this galley.
I sent a request by mail on 18/11 to answer me on 30/12 that it took another paper ..... it looks like it's done on purpose !! I hope to be wrong, but in any case, another thing like that and I leave this mutual !!! To flee !</v>
      </c>
    </row>
    <row r="151" ht="15.75" customHeight="1">
      <c r="A151" s="2">
        <v>4.0</v>
      </c>
      <c r="B151" s="2" t="s">
        <v>539</v>
      </c>
      <c r="C151" s="2" t="s">
        <v>540</v>
      </c>
      <c r="D151" s="2" t="s">
        <v>101</v>
      </c>
      <c r="E151" s="2" t="s">
        <v>31</v>
      </c>
      <c r="F151" s="2" t="s">
        <v>15</v>
      </c>
      <c r="G151" s="2" t="s">
        <v>54</v>
      </c>
      <c r="H151" s="2" t="s">
        <v>54</v>
      </c>
      <c r="I151" s="3" t="str">
        <f>IFERROR(__xludf.DUMMYFUNCTION("GOOGLETRANSLATE(C151,""fr"",""en"")"),"Staff to qualify, listening to the customer, kind, responsive, helpful, available, and understandable for the customer, attentive to the customer's needs")</f>
        <v>Staff to qualify, listening to the customer, kind, responsive, helpful, available, and understandable for the customer, attentive to the customer's needs</v>
      </c>
    </row>
    <row r="152" ht="15.75" customHeight="1">
      <c r="A152" s="2">
        <v>4.0</v>
      </c>
      <c r="B152" s="2" t="s">
        <v>541</v>
      </c>
      <c r="C152" s="2" t="s">
        <v>542</v>
      </c>
      <c r="D152" s="2" t="s">
        <v>233</v>
      </c>
      <c r="E152" s="2" t="s">
        <v>14</v>
      </c>
      <c r="F152" s="2" t="s">
        <v>15</v>
      </c>
      <c r="G152" s="2" t="s">
        <v>435</v>
      </c>
      <c r="H152" s="2" t="s">
        <v>133</v>
      </c>
      <c r="I152" s="3" t="str">
        <f>IFERROR(__xludf.DUMMYFUNCTION("GOOGLETRANSLATE(C152,""fr"",""en"")"),"I am satisfied with your services, unfortunately the prices are
 still a little high.
I am also very satisfied with the explanations given by your agents and the help they bring to solve the problems
                            ")</f>
        <v>I am satisfied with your services, unfortunately the prices are
 still a little high.
I am also very satisfied with the explanations given by your agents and the help they bring to solve the problems
                            </v>
      </c>
    </row>
    <row r="153" ht="15.75" customHeight="1">
      <c r="A153" s="2">
        <v>4.0</v>
      </c>
      <c r="B153" s="2" t="s">
        <v>543</v>
      </c>
      <c r="C153" s="2" t="s">
        <v>544</v>
      </c>
      <c r="D153" s="2" t="s">
        <v>233</v>
      </c>
      <c r="E153" s="2" t="s">
        <v>14</v>
      </c>
      <c r="F153" s="2" t="s">
        <v>15</v>
      </c>
      <c r="G153" s="2" t="s">
        <v>545</v>
      </c>
      <c r="H153" s="2" t="s">
        <v>72</v>
      </c>
      <c r="I153" s="3" t="str">
        <f>IFERROR(__xludf.DUMMYFUNCTION("GOOGLETRANSLATE(C153,""fr"",""en"")"),"I am satisfied with all the services, offers offered.
Faithful for several years, I will remain so if your guarantees, prices, services")</f>
        <v>I am satisfied with all the services, offers offered.
Faithful for several years, I will remain so if your guarantees, prices, services</v>
      </c>
    </row>
    <row r="154" ht="15.75" customHeight="1">
      <c r="A154" s="2">
        <v>1.0</v>
      </c>
      <c r="B154" s="2" t="s">
        <v>546</v>
      </c>
      <c r="C154" s="2" t="s">
        <v>547</v>
      </c>
      <c r="D154" s="2" t="s">
        <v>48</v>
      </c>
      <c r="E154" s="2" t="s">
        <v>91</v>
      </c>
      <c r="F154" s="2" t="s">
        <v>15</v>
      </c>
      <c r="G154" s="2" t="s">
        <v>548</v>
      </c>
      <c r="H154" s="2" t="s">
        <v>50</v>
      </c>
      <c r="I154" s="3" t="str">
        <f>IFERROR(__xludf.DUMMYFUNCTION("GOOGLETRANSLATE(C154,""fr"",""en"")"),"To flee !!! In dispute for 4 months with the maif, file not followed, leave abandoned (the person had gone on vacation!), Incessant request of unnecessary papers, impossible to join, unpleasant advice and without empathy: I am shocked by this insurance ab"&amp;"solutely non -professional.
And I'm talking about a claim for less than 1500 euros!
Scandalous")</f>
        <v>To flee !!! In dispute for 4 months with the maif, file not followed, leave abandoned (the person had gone on vacation!), Incessant request of unnecessary papers, impossible to join, unpleasant advice and without empathy: I am shocked by this insurance absolutely non -professional.
And I'm talking about a claim for less than 1500 euros!
Scandalous</v>
      </c>
    </row>
    <row r="155" ht="15.75" customHeight="1">
      <c r="A155" s="2">
        <v>3.0</v>
      </c>
      <c r="B155" s="2" t="s">
        <v>549</v>
      </c>
      <c r="C155" s="2" t="s">
        <v>550</v>
      </c>
      <c r="D155" s="2" t="s">
        <v>13</v>
      </c>
      <c r="E155" s="2" t="s">
        <v>14</v>
      </c>
      <c r="F155" s="2" t="s">
        <v>15</v>
      </c>
      <c r="G155" s="2" t="s">
        <v>551</v>
      </c>
      <c r="H155" s="2" t="s">
        <v>17</v>
      </c>
      <c r="I155" s="3" t="str">
        <f>IFERROR(__xludf.DUMMYFUNCTION("GOOGLETRANSLATE(C155,""fr"",""en"")"),"I am satisfied with the service the price a little high but given my bonus I understand, I could probably master my home insurance if the price and interest.")</f>
        <v>I am satisfied with the service the price a little high but given my bonus I understand, I could probably master my home insurance if the price and interest.</v>
      </c>
    </row>
    <row r="156" ht="15.75" customHeight="1">
      <c r="A156" s="2">
        <v>1.0</v>
      </c>
      <c r="B156" s="2" t="s">
        <v>552</v>
      </c>
      <c r="C156" s="2" t="s">
        <v>553</v>
      </c>
      <c r="D156" s="2" t="s">
        <v>43</v>
      </c>
      <c r="E156" s="2" t="s">
        <v>14</v>
      </c>
      <c r="F156" s="2" t="s">
        <v>15</v>
      </c>
      <c r="G156" s="2" t="s">
        <v>554</v>
      </c>
      <c r="H156" s="2" t="s">
        <v>555</v>
      </c>
      <c r="I156" s="3" t="str">
        <f>IFERROR(__xludf.DUMMYFUNCTION("GOOGLETRANSLATE(C156,""fr"",""en"")"),"Allows yourself to harm yourself without notice or proof.
Does not reimburse the acts of ""vandalisms"" which are however indicated as care, to avoid")</f>
        <v>Allows yourself to harm yourself without notice or proof.
Does not reimburse the acts of "vandalisms" which are however indicated as care, to avoid</v>
      </c>
    </row>
    <row r="157" ht="15.75" customHeight="1">
      <c r="A157" s="2">
        <v>1.0</v>
      </c>
      <c r="B157" s="2" t="s">
        <v>556</v>
      </c>
      <c r="C157" s="2" t="s">
        <v>557</v>
      </c>
      <c r="D157" s="2" t="s">
        <v>30</v>
      </c>
      <c r="E157" s="2" t="s">
        <v>31</v>
      </c>
      <c r="F157" s="2" t="s">
        <v>15</v>
      </c>
      <c r="G157" s="2" t="s">
        <v>558</v>
      </c>
      <c r="H157" s="2" t="s">
        <v>133</v>
      </c>
      <c r="I157" s="3" t="str">
        <f>IFERROR(__xludf.DUMMYFUNCTION("GOOGLETRANSLATE(C157,""fr"",""en"")"),"Curiously enough, I do not enter any warranty covered by this mutual health
With each health expense, I am never reimbursed, and when I ask for the table of guarantees, it is not sent to me !! Despite a subscription of 233 € per month for 2")</f>
        <v>Curiously enough, I do not enter any warranty covered by this mutual health
With each health expense, I am never reimbursed, and when I ask for the table of guarantees, it is not sent to me !! Despite a subscription of 233 € per month for 2</v>
      </c>
    </row>
    <row r="158" ht="15.75" customHeight="1">
      <c r="A158" s="2">
        <v>5.0</v>
      </c>
      <c r="B158" s="2" t="s">
        <v>559</v>
      </c>
      <c r="C158" s="2" t="s">
        <v>560</v>
      </c>
      <c r="D158" s="2" t="s">
        <v>20</v>
      </c>
      <c r="E158" s="2" t="s">
        <v>14</v>
      </c>
      <c r="F158" s="2" t="s">
        <v>15</v>
      </c>
      <c r="G158" s="2" t="s">
        <v>561</v>
      </c>
      <c r="H158" s="2" t="s">
        <v>72</v>
      </c>
      <c r="I158" s="3" t="str">
        <f>IFERROR(__xludf.DUMMYFUNCTION("GOOGLETRANSLATE(C158,""fr"",""en"")"),"For the moment very satisfied with the service. And prices as long as there is no claim everything is fine! Afterwards, beware of the increase in spectacular contribution ...")</f>
        <v>For the moment very satisfied with the service. And prices as long as there is no claim everything is fine! Afterwards, beware of the increase in spectacular contribution ...</v>
      </c>
    </row>
    <row r="159" ht="15.75" customHeight="1">
      <c r="A159" s="2">
        <v>5.0</v>
      </c>
      <c r="B159" s="2" t="s">
        <v>562</v>
      </c>
      <c r="C159" s="2" t="s">
        <v>563</v>
      </c>
      <c r="D159" s="2" t="s">
        <v>13</v>
      </c>
      <c r="E159" s="2" t="s">
        <v>14</v>
      </c>
      <c r="F159" s="2" t="s">
        <v>15</v>
      </c>
      <c r="G159" s="2" t="s">
        <v>564</v>
      </c>
      <c r="H159" s="2" t="s">
        <v>149</v>
      </c>
      <c r="I159" s="3" t="str">
        <f>IFERROR(__xludf.DUMMYFUNCTION("GOOGLETRANSLATE(C159,""fr"",""en"")"),"I am satisfied with and the price suits me I recommend the olive assurance to all my entourage thank you early. '' '' '' '' '' '' '' '' '' '' '' '' '' '")</f>
        <v>I am satisfied with and the price suits me I recommend the olive assurance to all my entourage thank you early. '' '' '' '' '' '' '' '' '' '' '' '' '' '</v>
      </c>
    </row>
    <row r="160" ht="15.75" customHeight="1">
      <c r="A160" s="2">
        <v>5.0</v>
      </c>
      <c r="B160" s="2" t="s">
        <v>565</v>
      </c>
      <c r="C160" s="2" t="s">
        <v>566</v>
      </c>
      <c r="D160" s="2" t="s">
        <v>20</v>
      </c>
      <c r="E160" s="2" t="s">
        <v>14</v>
      </c>
      <c r="F160" s="2" t="s">
        <v>15</v>
      </c>
      <c r="G160" s="2" t="s">
        <v>384</v>
      </c>
      <c r="H160" s="2" t="s">
        <v>133</v>
      </c>
      <c r="I160" s="3" t="str">
        <f>IFERROR(__xludf.DUMMYFUNCTION("GOOGLETRANSLATE(C160,""fr"",""en"")"),"very good insurance
Speed ​​/ price
I have not yet tested the care in the event of a claim because no claim for the moment. So I can not judge the effectiveness of this insurance")</f>
        <v>very good insurance
Speed ​​/ price
I have not yet tested the care in the event of a claim because no claim for the moment. So I can not judge the effectiveness of this insurance</v>
      </c>
    </row>
    <row r="161" ht="15.75" customHeight="1">
      <c r="A161" s="2">
        <v>1.0</v>
      </c>
      <c r="B161" s="2" t="s">
        <v>567</v>
      </c>
      <c r="C161" s="2" t="s">
        <v>568</v>
      </c>
      <c r="D161" s="2" t="s">
        <v>48</v>
      </c>
      <c r="E161" s="2" t="s">
        <v>14</v>
      </c>
      <c r="F161" s="2" t="s">
        <v>15</v>
      </c>
      <c r="G161" s="2" t="s">
        <v>569</v>
      </c>
      <c r="H161" s="2" t="s">
        <v>309</v>
      </c>
      <c r="I161" s="3" t="str">
        <f>IFERROR(__xludf.DUMMYFUNCTION("GOOGLETRANSLATE(C161,""fr"",""en"")"),"Maif for 41 years, and having lost my 50% bonus following a simple clash, very angry by the lack of dialogue, I decide to turn to the competition.")</f>
        <v>Maif for 41 years, and having lost my 50% bonus following a simple clash, very angry by the lack of dialogue, I decide to turn to the competition.</v>
      </c>
    </row>
    <row r="162" ht="15.75" customHeight="1">
      <c r="A162" s="2">
        <v>1.0</v>
      </c>
      <c r="B162" s="2" t="s">
        <v>570</v>
      </c>
      <c r="C162" s="2" t="s">
        <v>571</v>
      </c>
      <c r="D162" s="2" t="s">
        <v>101</v>
      </c>
      <c r="E162" s="2" t="s">
        <v>31</v>
      </c>
      <c r="F162" s="2" t="s">
        <v>15</v>
      </c>
      <c r="G162" s="2" t="s">
        <v>572</v>
      </c>
      <c r="H162" s="2" t="s">
        <v>40</v>
      </c>
      <c r="I162" s="3" t="str">
        <f>IFERROR(__xludf.DUMMYFUNCTION("GOOGLETRANSLATE(C162,""fr"",""en"")"),"At the start a simple contract, then without signing any paper contract I ended up with other ever more expensive contracts by simple telephone call.
I sent a recommended to cancel everything on date but now they require a signed handwritten letter. We d"&amp;"ream. Not complicated to open but impossible to close ...")</f>
        <v>At the start a simple contract, then without signing any paper contract I ended up with other ever more expensive contracts by simple telephone call.
I sent a recommended to cancel everything on date but now they require a signed handwritten letter. We dream. Not complicated to open but impossible to close ...</v>
      </c>
    </row>
    <row r="163" ht="15.75" customHeight="1">
      <c r="A163" s="2">
        <v>5.0</v>
      </c>
      <c r="B163" s="2" t="s">
        <v>573</v>
      </c>
      <c r="C163" s="2" t="s">
        <v>574</v>
      </c>
      <c r="D163" s="2" t="s">
        <v>20</v>
      </c>
      <c r="E163" s="2" t="s">
        <v>14</v>
      </c>
      <c r="F163" s="2" t="s">
        <v>15</v>
      </c>
      <c r="G163" s="2" t="s">
        <v>575</v>
      </c>
      <c r="H163" s="2" t="s">
        <v>172</v>
      </c>
      <c r="I163" s="3" t="str">
        <f>IFERROR(__xludf.DUMMYFUNCTION("GOOGLETRANSLATE(C163,""fr"",""en"")"),"Acrapping price compared to the competitor, in equivalent service.
Now to see in the event of a problem.
I cannot decide in relation to the service since I just arrived, we will see later.
")</f>
        <v>Acrapping price compared to the competitor, in equivalent service.
Now to see in the event of a problem.
I cannot decide in relation to the service since I just arrived, we will see later.
</v>
      </c>
    </row>
    <row r="164" ht="15.75" customHeight="1">
      <c r="A164" s="2">
        <v>2.0</v>
      </c>
      <c r="B164" s="2" t="s">
        <v>576</v>
      </c>
      <c r="C164" s="2" t="s">
        <v>577</v>
      </c>
      <c r="D164" s="2" t="s">
        <v>280</v>
      </c>
      <c r="E164" s="2" t="s">
        <v>91</v>
      </c>
      <c r="F164" s="2" t="s">
        <v>15</v>
      </c>
      <c r="G164" s="2" t="s">
        <v>578</v>
      </c>
      <c r="H164" s="2" t="s">
        <v>40</v>
      </c>
      <c r="I164" s="3" t="str">
        <f>IFERROR(__xludf.DUMMYFUNCTION("GOOGLETRANSLATE(C164,""fr"",""en"")"),"I benefit from nomadic insurance as part of my home insurance, my daughter is robbed of her Huawei Mate 10 Pro Value Purchase Value 2 years ago.
Matmut compensation:
Current value taken into account 280 € (which I dispute invoice/quote in support) Deduc"&amp;"tion 40% of obsolescence on this rate (and not on the purchase value) and deduction deductible € 140 compensation € 29.
I dispute and we call into question my declaration and the Imei code which would not correspond, (when it was not the case) finally af"&amp;"ter exchange of letters more response or follow -up on this letter of dispute of my declaration but They question my daughter's cover (which has been ensured for several years and for which I pay this nomadic contribution each month) without consultation "&amp;"by evoking that she exercises a profession and that she would not be at my expense while these elements are wrong, finally having challenged the compensation they sought to question everything on my file, I am disconcerted by the lack of confidence of my "&amp;"insurer Matmut towards his insured, not to mention the response times (the flight has had Place 8 months ago), I have already left an opinion so that this dispute is treated fairly but for the very moment I am at the same stage.
The Matmut provides with "&amp;"preferential rates but at the compensation level (at least for my claim) I am not satisfied with their treatment of claims and their compensation I therefore objectively 1 star.
 ")</f>
        <v>I benefit from nomadic insurance as part of my home insurance, my daughter is robbed of her Huawei Mate 10 Pro Value Purchase Value 2 years ago.
Matmut compensation:
Current value taken into account 280 € (which I dispute invoice/quote in support) Deduction 40% of obsolescence on this rate (and not on the purchase value) and deduction deductible € 140 compensation € 29.
I dispute and we call into question my declaration and the Imei code which would not correspond, (when it was not the case) finally after exchange of letters more response or follow -up on this letter of dispute of my declaration but They question my daughter's cover (which has been ensured for several years and for which I pay this nomadic contribution each month) without consultation by evoking that she exercises a profession and that she would not be at my expense while these elements are wrong, finally having challenged the compensation they sought to question everything on my file, I am disconcerted by the lack of confidence of my insurer Matmut towards his insured, not to mention the response times (the flight has had Place 8 months ago), I have already left an opinion so that this dispute is treated fairly but for the very moment I am at the same stage.
The Matmut provides with preferential rates but at the compensation level (at least for my claim) I am not satisfied with their treatment of claims and their compensation I therefore objectively 1 star.
 </v>
      </c>
    </row>
    <row r="165" ht="15.75" customHeight="1">
      <c r="A165" s="2">
        <v>4.0</v>
      </c>
      <c r="B165" s="2" t="s">
        <v>579</v>
      </c>
      <c r="C165" s="2" t="s">
        <v>580</v>
      </c>
      <c r="D165" s="2" t="s">
        <v>13</v>
      </c>
      <c r="E165" s="2" t="s">
        <v>14</v>
      </c>
      <c r="F165" s="2" t="s">
        <v>15</v>
      </c>
      <c r="G165" s="2" t="s">
        <v>581</v>
      </c>
      <c r="H165" s="2" t="s">
        <v>133</v>
      </c>
      <c r="I165" s="3" t="str">
        <f>IFERROR(__xludf.DUMMYFUNCTION("GOOGLETRANSLATE(C165,""fr"",""en"")"),"Very well. Especially in terms of speed.
All this online and easily. The contract is precise and transmitted by email.
The digital signature is a more appreciated.")</f>
        <v>Very well. Especially in terms of speed.
All this online and easily. The contract is precise and transmitted by email.
The digital signature is a more appreciated.</v>
      </c>
    </row>
    <row r="166" ht="15.75" customHeight="1">
      <c r="A166" s="2">
        <v>4.0</v>
      </c>
      <c r="B166" s="2" t="s">
        <v>582</v>
      </c>
      <c r="C166" s="2" t="s">
        <v>583</v>
      </c>
      <c r="D166" s="2" t="s">
        <v>20</v>
      </c>
      <c r="E166" s="2" t="s">
        <v>14</v>
      </c>
      <c r="F166" s="2" t="s">
        <v>15</v>
      </c>
      <c r="G166" s="2" t="s">
        <v>136</v>
      </c>
      <c r="H166" s="2" t="s">
        <v>133</v>
      </c>
      <c r="I166" s="3" t="str">
        <f>IFERROR(__xludf.DUMMYFUNCTION("GOOGLETRANSLATE(C166,""fr"",""en"")"),"Price and interesting conditions.
Hope not to have to use these compensation or reimbursement services!
But in the meantime, simple and effective.")</f>
        <v>Price and interesting conditions.
Hope not to have to use these compensation or reimbursement services!
But in the meantime, simple and effective.</v>
      </c>
    </row>
    <row r="167" ht="15.75" customHeight="1">
      <c r="A167" s="2">
        <v>3.0</v>
      </c>
      <c r="B167" s="2" t="s">
        <v>584</v>
      </c>
      <c r="C167" s="2" t="s">
        <v>585</v>
      </c>
      <c r="D167" s="2" t="s">
        <v>13</v>
      </c>
      <c r="E167" s="2" t="s">
        <v>14</v>
      </c>
      <c r="F167" s="2" t="s">
        <v>15</v>
      </c>
      <c r="G167" s="2" t="s">
        <v>136</v>
      </c>
      <c r="H167" s="2" t="s">
        <v>133</v>
      </c>
      <c r="I167" s="3" t="str">
        <f>IFERROR(__xludf.DUMMYFUNCTION("GOOGLETRANSLATE(C167,""fr"",""en"")"),"New customer, I cannot yet assess the insurance services L’Olivier
Friendly and clear (fairly reactive) telephone contacts ....")</f>
        <v>New customer, I cannot yet assess the insurance services L’Olivier
Friendly and clear (fairly reactive) telephone contacts ....</v>
      </c>
    </row>
    <row r="168" ht="15.75" customHeight="1">
      <c r="A168" s="2">
        <v>2.0</v>
      </c>
      <c r="B168" s="2" t="s">
        <v>586</v>
      </c>
      <c r="C168" s="2" t="s">
        <v>587</v>
      </c>
      <c r="D168" s="2" t="s">
        <v>280</v>
      </c>
      <c r="E168" s="2" t="s">
        <v>91</v>
      </c>
      <c r="F168" s="2" t="s">
        <v>15</v>
      </c>
      <c r="G168" s="2" t="s">
        <v>588</v>
      </c>
      <c r="H168" s="2" t="s">
        <v>589</v>
      </c>
      <c r="I168" s="3" t="str">
        <f>IFERROR(__xludf.DUMMYFUNCTION("GOOGLETRANSLATE(C168,""fr"",""en"")"),"For having undergone 3 non -responsible claims during the last 2 years at my home, I have struck myself, by a registered letter. While I was a customer for more than 20 years without any sinstise ...")</f>
        <v>For having undergone 3 non -responsible claims during the last 2 years at my home, I have struck myself, by a registered letter. While I was a customer for more than 20 years without any sinstise ...</v>
      </c>
    </row>
    <row r="169" ht="15.75" customHeight="1">
      <c r="A169" s="2">
        <v>1.0</v>
      </c>
      <c r="B169" s="2" t="s">
        <v>590</v>
      </c>
      <c r="C169" s="2" t="s">
        <v>591</v>
      </c>
      <c r="D169" s="2" t="s">
        <v>159</v>
      </c>
      <c r="E169" s="2" t="s">
        <v>91</v>
      </c>
      <c r="F169" s="2" t="s">
        <v>15</v>
      </c>
      <c r="G169" s="2" t="s">
        <v>592</v>
      </c>
      <c r="H169" s="2" t="s">
        <v>445</v>
      </c>
      <c r="I169" s="3" t="str">
        <f>IFERROR(__xludf.DUMMYFUNCTION("GOOGLETRANSLATE(C169,""fr"",""en"")"),"Refuse to take into account the termination request, despite several requests, it is impossible to contact the litigation service to solve the problem.")</f>
        <v>Refuse to take into account the termination request, despite several requests, it is impossible to contact the litigation service to solve the problem.</v>
      </c>
    </row>
    <row r="170" ht="15.75" customHeight="1">
      <c r="A170" s="2">
        <v>2.0</v>
      </c>
      <c r="B170" s="2" t="s">
        <v>593</v>
      </c>
      <c r="C170" s="2" t="s">
        <v>594</v>
      </c>
      <c r="D170" s="2" t="s">
        <v>117</v>
      </c>
      <c r="E170" s="2" t="s">
        <v>91</v>
      </c>
      <c r="F170" s="2" t="s">
        <v>15</v>
      </c>
      <c r="G170" s="2" t="s">
        <v>595</v>
      </c>
      <c r="H170" s="2" t="s">
        <v>555</v>
      </c>
      <c r="I170" s="3" t="str">
        <f>IFERROR(__xludf.DUMMYFUNCTION("GOOGLETRANSLATE(C170,""fr"",""en"")"),"Following burglary, I have no AXA response on reimbursement and repairs procedures 58 days after declaration - (40 days after expert pass) - All days, I see the degradations of burglary, I am waiting for Repairs, broken doors.")</f>
        <v>Following burglary, I have no AXA response on reimbursement and repairs procedures 58 days after declaration - (40 days after expert pass) - All days, I see the degradations of burglary, I am waiting for Repairs, broken doors.</v>
      </c>
    </row>
    <row r="171" ht="15.75" customHeight="1">
      <c r="A171" s="2">
        <v>2.0</v>
      </c>
      <c r="B171" s="2" t="s">
        <v>596</v>
      </c>
      <c r="C171" s="2" t="s">
        <v>597</v>
      </c>
      <c r="D171" s="2" t="s">
        <v>598</v>
      </c>
      <c r="E171" s="2" t="s">
        <v>329</v>
      </c>
      <c r="F171" s="2" t="s">
        <v>15</v>
      </c>
      <c r="G171" s="2" t="s">
        <v>599</v>
      </c>
      <c r="H171" s="2" t="s">
        <v>445</v>
      </c>
      <c r="I171" s="3" t="str">
        <f>IFERROR(__xludf.DUMMYFUNCTION("GOOGLETRANSLATE(C171,""fr"",""en"")"),"In September 2020. My dog ​​has a big epilepsy crisis, I bring it to the veterinarian, who must keep it 72 hours, because in the meantime redid crises, I assured my female dog at his 3 months at ECA, apart from A few small problems, she never exceeded the"&amp;" sontant of the annual bonus at home because a vaccine is reimbursed 25 pa year and well they refused to take care telling me that the epilepsy crisis did not fit into the contract, I had subscribed to the comfort formula")</f>
        <v>In September 2020. My dog ​​has a big epilepsy crisis, I bring it to the veterinarian, who must keep it 72 hours, because in the meantime redid crises, I assured my female dog at his 3 months at ECA, apart from A few small problems, she never exceeded the sontant of the annual bonus at home because a vaccine is reimbursed 25 pa year and well they refused to take care telling me that the epilepsy crisis did not fit into the contract, I had subscribed to the comfort formula</v>
      </c>
    </row>
    <row r="172" ht="15.75" customHeight="1">
      <c r="A172" s="2">
        <v>1.0</v>
      </c>
      <c r="B172" s="2" t="s">
        <v>600</v>
      </c>
      <c r="C172" s="2" t="s">
        <v>601</v>
      </c>
      <c r="D172" s="2" t="s">
        <v>106</v>
      </c>
      <c r="E172" s="2" t="s">
        <v>31</v>
      </c>
      <c r="F172" s="2" t="s">
        <v>15</v>
      </c>
      <c r="G172" s="2" t="s">
        <v>602</v>
      </c>
      <c r="H172" s="2" t="s">
        <v>149</v>
      </c>
      <c r="I172" s="3" t="str">
        <f>IFERROR(__xludf.DUMMYFUNCTION("GOOGLETRANSLATE(C172,""fr"",""en"")"),"I sent a quote to redo a tooth at the end of October and I am still on hold. I made several requests and nothing. If they are overwhelmed that they hire !!! Fed up!")</f>
        <v>I sent a quote to redo a tooth at the end of October and I am still on hold. I made several requests and nothing. If they are overwhelmed that they hire !!! Fed up!</v>
      </c>
    </row>
    <row r="173" ht="15.75" customHeight="1">
      <c r="A173" s="2">
        <v>5.0</v>
      </c>
      <c r="B173" s="2" t="s">
        <v>603</v>
      </c>
      <c r="C173" s="2" t="s">
        <v>604</v>
      </c>
      <c r="D173" s="2" t="s">
        <v>20</v>
      </c>
      <c r="E173" s="2" t="s">
        <v>14</v>
      </c>
      <c r="F173" s="2" t="s">
        <v>15</v>
      </c>
      <c r="G173" s="2" t="s">
        <v>605</v>
      </c>
      <c r="H173" s="2" t="s">
        <v>172</v>
      </c>
      <c r="I173" s="3" t="str">
        <f>IFERROR(__xludf.DUMMYFUNCTION("GOOGLETRANSLATE(C173,""fr"",""en"")"),"I am satisfied with the price and the quote, as well as the rapid and effective service that Direct Insurance offers. Best value for money for insurance")</f>
        <v>I am satisfied with the price and the quote, as well as the rapid and effective service that Direct Insurance offers. Best value for money for insurance</v>
      </c>
    </row>
    <row r="174" ht="15.75" customHeight="1">
      <c r="A174" s="2">
        <v>5.0</v>
      </c>
      <c r="B174" s="2" t="s">
        <v>606</v>
      </c>
      <c r="C174" s="2" t="s">
        <v>607</v>
      </c>
      <c r="D174" s="2" t="s">
        <v>233</v>
      </c>
      <c r="E174" s="2" t="s">
        <v>14</v>
      </c>
      <c r="F174" s="2" t="s">
        <v>15</v>
      </c>
      <c r="G174" s="2" t="s">
        <v>608</v>
      </c>
      <c r="H174" s="2" t="s">
        <v>27</v>
      </c>
      <c r="I174" s="3" t="str">
        <f>IFERROR(__xludf.DUMMYFUNCTION("GOOGLETRANSLATE(C174,""fr"",""en"")"),"I am satisfied with the service and the prices suit me.
The service is more than satisfactory.
GMF is a true partner by its versatility and competitiveness.")</f>
        <v>I am satisfied with the service and the prices suit me.
The service is more than satisfactory.
GMF is a true partner by its versatility and competitiveness.</v>
      </c>
    </row>
    <row r="175" ht="15.75" customHeight="1">
      <c r="A175" s="2">
        <v>3.0</v>
      </c>
      <c r="B175" s="2" t="s">
        <v>609</v>
      </c>
      <c r="C175" s="2" t="s">
        <v>610</v>
      </c>
      <c r="D175" s="2" t="s">
        <v>611</v>
      </c>
      <c r="E175" s="2" t="s">
        <v>107</v>
      </c>
      <c r="F175" s="2" t="s">
        <v>15</v>
      </c>
      <c r="G175" s="2" t="s">
        <v>612</v>
      </c>
      <c r="H175" s="2" t="s">
        <v>58</v>
      </c>
      <c r="I175" s="3" t="str">
        <f>IFERROR(__xludf.DUMMYFUNCTION("GOOGLETRANSLATE(C175,""fr"",""en"")"),"Concerns the headquarters: very complicated administrative formalism, slowness in the processing of files you would do well to see what is also done rather than wanting to meet customers at all costs you will better have a more substantial back office , m"&amp;"ore responsive that deals with the files and responds quickly")</f>
        <v>Concerns the headquarters: very complicated administrative formalism, slowness in the processing of files you would do well to see what is also done rather than wanting to meet customers at all costs you will better have a more substantial back office , more responsive that deals with the files and responds quickly</v>
      </c>
    </row>
    <row r="176" ht="15.75" customHeight="1">
      <c r="A176" s="2">
        <v>3.0</v>
      </c>
      <c r="B176" s="2" t="s">
        <v>613</v>
      </c>
      <c r="C176" s="2" t="s">
        <v>614</v>
      </c>
      <c r="D176" s="2" t="s">
        <v>20</v>
      </c>
      <c r="E176" s="2" t="s">
        <v>14</v>
      </c>
      <c r="F176" s="2" t="s">
        <v>15</v>
      </c>
      <c r="G176" s="2" t="s">
        <v>615</v>
      </c>
      <c r="H176" s="2" t="s">
        <v>72</v>
      </c>
      <c r="I176" s="3" t="str">
        <f>IFERROR(__xludf.DUMMYFUNCTION("GOOGLETRANSLATE(C176,""fr"",""en"")"),"I am not very satisfied, I do not find all the criteria I need in my choices and my needs, I prefer to meet with an advisor who will be able to answer my questions")</f>
        <v>I am not very satisfied, I do not find all the criteria I need in my choices and my needs, I prefer to meet with an advisor who will be able to answer my questions</v>
      </c>
    </row>
    <row r="177" ht="15.75" customHeight="1">
      <c r="A177" s="2">
        <v>4.0</v>
      </c>
      <c r="B177" s="2" t="s">
        <v>616</v>
      </c>
      <c r="C177" s="2" t="s">
        <v>617</v>
      </c>
      <c r="D177" s="2" t="s">
        <v>48</v>
      </c>
      <c r="E177" s="2" t="s">
        <v>14</v>
      </c>
      <c r="F177" s="2" t="s">
        <v>15</v>
      </c>
      <c r="G177" s="2" t="s">
        <v>618</v>
      </c>
      <c r="H177" s="2" t="s">
        <v>40</v>
      </c>
      <c r="I177" s="3" t="str">
        <f>IFERROR(__xludf.DUMMYFUNCTION("GOOGLETRANSLATE(C177,""fr"",""en"")"),"I have always been very satisfied with Maif. Each time I had to do to charming and competent people. Thank you to this beautiful team who does everything to help their customers")</f>
        <v>I have always been very satisfied with Maif. Each time I had to do to charming and competent people. Thank you to this beautiful team who does everything to help their customers</v>
      </c>
    </row>
    <row r="178" ht="15.75" customHeight="1">
      <c r="A178" s="2">
        <v>1.0</v>
      </c>
      <c r="B178" s="2" t="s">
        <v>619</v>
      </c>
      <c r="C178" s="2" t="s">
        <v>620</v>
      </c>
      <c r="D178" s="2" t="s">
        <v>621</v>
      </c>
      <c r="E178" s="2" t="s">
        <v>91</v>
      </c>
      <c r="F178" s="2" t="s">
        <v>15</v>
      </c>
      <c r="G178" s="2" t="s">
        <v>299</v>
      </c>
      <c r="H178" s="2" t="s">
        <v>149</v>
      </c>
      <c r="I178" s="3" t="str">
        <f>IFERROR(__xludf.DUMMYFUNCTION("GOOGLETRANSLATE(C178,""fr"",""en"")"),"Run away!! At all legs !! If I could I would put negative points!
Our son had a serious accident several years ago. We wanted to save money by assuring ourselves at home, the prices were attractive, on the phone we were advised to make a declaration !! B"&amp;"ecause everything that was offered was private lessons, useless, it was the holidays.
It is a search for profit and that's all. They are not insurers, they do not know anything, do not reimburse, do not attend. It is a bank. Point. Flee elsewhere.")</f>
        <v>Run away!! At all legs !! If I could I would put negative points!
Our son had a serious accident several years ago. We wanted to save money by assuring ourselves at home, the prices were attractive, on the phone we were advised to make a declaration !! Because everything that was offered was private lessons, useless, it was the holidays.
It is a search for profit and that's all. They are not insurers, they do not know anything, do not reimburse, do not attend. It is a bank. Point. Flee elsewhere.</v>
      </c>
    </row>
    <row r="179" ht="15.75" customHeight="1">
      <c r="A179" s="2">
        <v>4.0</v>
      </c>
      <c r="B179" s="2" t="s">
        <v>622</v>
      </c>
      <c r="C179" s="2" t="s">
        <v>623</v>
      </c>
      <c r="D179" s="2" t="s">
        <v>48</v>
      </c>
      <c r="E179" s="2" t="s">
        <v>14</v>
      </c>
      <c r="F179" s="2" t="s">
        <v>15</v>
      </c>
      <c r="G179" s="2" t="s">
        <v>624</v>
      </c>
      <c r="H179" s="2" t="s">
        <v>477</v>
      </c>
      <c r="I179" s="3" t="str">
        <f>IFERROR(__xludf.DUMMYFUNCTION("GOOGLETRANSLATE(C179,""fr"",""en"")"),"Very good insurance that I recommend. Satisfied with guarantees, reimbursements and service. I also subscribed to home insurance and never had any reimbursement problems when I had claims. Always fast and effective")</f>
        <v>Very good insurance that I recommend. Satisfied with guarantees, reimbursements and service. I also subscribed to home insurance and never had any reimbursement problems when I had claims. Always fast and effective</v>
      </c>
    </row>
    <row r="180" ht="15.75" customHeight="1">
      <c r="A180" s="2">
        <v>3.0</v>
      </c>
      <c r="B180" s="2" t="s">
        <v>625</v>
      </c>
      <c r="C180" s="2" t="s">
        <v>626</v>
      </c>
      <c r="D180" s="2" t="s">
        <v>20</v>
      </c>
      <c r="E180" s="2" t="s">
        <v>14</v>
      </c>
      <c r="F180" s="2" t="s">
        <v>15</v>
      </c>
      <c r="G180" s="2" t="s">
        <v>627</v>
      </c>
      <c r="H180" s="2" t="s">
        <v>17</v>
      </c>
      <c r="I180" s="3" t="str">
        <f>IFERROR(__xludf.DUMMYFUNCTION("GOOGLETRANSLATE(C180,""fr"",""en"")"),"I just recovered my car following a disaster. The repairs took 2 weeks. It's very long to change a bumper. My car was immobilized all the first week only pending the passage of the expert, who made his report 7 days after the deposit of my car in the gara"&amp;"ge. It's extremely long. I would appreciate a better organization so that I can drop my car on the day or the day before the expert's passage.")</f>
        <v>I just recovered my car following a disaster. The repairs took 2 weeks. It's very long to change a bumper. My car was immobilized all the first week only pending the passage of the expert, who made his report 7 days after the deposit of my car in the garage. It's extremely long. I would appreciate a better organization so that I can drop my car on the day or the day before the expert's passage.</v>
      </c>
    </row>
    <row r="181" ht="15.75" customHeight="1">
      <c r="A181" s="2">
        <v>3.0</v>
      </c>
      <c r="B181" s="2" t="s">
        <v>628</v>
      </c>
      <c r="C181" s="2" t="s">
        <v>629</v>
      </c>
      <c r="D181" s="2" t="s">
        <v>147</v>
      </c>
      <c r="E181" s="2" t="s">
        <v>31</v>
      </c>
      <c r="F181" s="2" t="s">
        <v>15</v>
      </c>
      <c r="G181" s="2" t="s">
        <v>630</v>
      </c>
      <c r="H181" s="2" t="s">
        <v>535</v>
      </c>
      <c r="I181" s="3" t="str">
        <f>IFERROR(__xludf.DUMMYFUNCTION("GOOGLETRANSLATE(C181,""fr"",""en"")"),"Simple and efficient !
They make every effort to provide you with an answer as quickly as possible, the operators are attentive and responsive.
Overall satisfied since I was there.")</f>
        <v>Simple and efficient !
They make every effort to provide you with an answer as quickly as possible, the operators are attentive and responsive.
Overall satisfied since I was there.</v>
      </c>
    </row>
    <row r="182" ht="15.75" customHeight="1">
      <c r="A182" s="2">
        <v>3.0</v>
      </c>
      <c r="B182" s="2" t="s">
        <v>631</v>
      </c>
      <c r="C182" s="2" t="s">
        <v>632</v>
      </c>
      <c r="D182" s="2" t="s">
        <v>61</v>
      </c>
      <c r="E182" s="2" t="s">
        <v>14</v>
      </c>
      <c r="F182" s="2" t="s">
        <v>15</v>
      </c>
      <c r="G182" s="2" t="s">
        <v>633</v>
      </c>
      <c r="H182" s="2" t="s">
        <v>535</v>
      </c>
      <c r="I182" s="3" t="str">
        <f>IFERROR(__xludf.DUMMYFUNCTION("GOOGLETRANSLATE(C182,""fr"",""en"")"),"I went to the agency Tuesday to make a point on the contract and in order to see them again with Madame ALLAIS of the agency DUMESNIL in Angers, who is very attentive and with whom to exchange in a conclusive and positive way I I came out satisfied and re"&amp;"commends that the insureds of this move regularly to do the same thing thank you PS: less PUD on television and more contact with your customers will make you perpetuated twice as much. Regards NR Neau")</f>
        <v>I went to the agency Tuesday to make a point on the contract and in order to see them again with Madame ALLAIS of the agency DUMESNIL in Angers, who is very attentive and with whom to exchange in a conclusive and positive way I I came out satisfied and recommends that the insureds of this move regularly to do the same thing thank you PS: less PUD on television and more contact with your customers will make you perpetuated twice as much. Regards NR Neau</v>
      </c>
    </row>
    <row r="183" ht="15.75" customHeight="1">
      <c r="A183" s="2">
        <v>4.0</v>
      </c>
      <c r="B183" s="2" t="s">
        <v>634</v>
      </c>
      <c r="C183" s="2" t="s">
        <v>635</v>
      </c>
      <c r="D183" s="2" t="s">
        <v>80</v>
      </c>
      <c r="E183" s="2" t="s">
        <v>25</v>
      </c>
      <c r="F183" s="2" t="s">
        <v>15</v>
      </c>
      <c r="G183" s="2" t="s">
        <v>98</v>
      </c>
      <c r="H183" s="2" t="s">
        <v>17</v>
      </c>
      <c r="I183" s="3" t="str">
        <f>IFERROR(__xludf.DUMMYFUNCTION("GOOGLETRANSLATE(C183,""fr"",""en"")"),"Perfect follow-up was without problem the advice too and of course the price is there I will recommend it to my friends without any problem thank you")</f>
        <v>Perfect follow-up was without problem the advice too and of course the price is there I will recommend it to my friends without any problem thank you</v>
      </c>
    </row>
    <row r="184" ht="15.75" customHeight="1">
      <c r="A184" s="2">
        <v>1.0</v>
      </c>
      <c r="B184" s="2" t="s">
        <v>636</v>
      </c>
      <c r="C184" s="2" t="s">
        <v>637</v>
      </c>
      <c r="D184" s="2" t="s">
        <v>469</v>
      </c>
      <c r="E184" s="2" t="s">
        <v>285</v>
      </c>
      <c r="F184" s="2" t="s">
        <v>15</v>
      </c>
      <c r="G184" s="2" t="s">
        <v>638</v>
      </c>
      <c r="H184" s="2" t="s">
        <v>262</v>
      </c>
      <c r="I184" s="3" t="str">
        <f>IFERROR(__xludf.DUMMYFUNCTION("GOOGLETRANSLATE(C184,""fr"",""en"")"),"I lost 12% of my capital in 2018, and you ??????????????????")</f>
        <v>I lost 12% of my capital in 2018, and you ??????????????????</v>
      </c>
    </row>
    <row r="185" ht="15.75" customHeight="1">
      <c r="A185" s="2">
        <v>5.0</v>
      </c>
      <c r="B185" s="2" t="s">
        <v>639</v>
      </c>
      <c r="C185" s="2" t="s">
        <v>640</v>
      </c>
      <c r="D185" s="2" t="s">
        <v>20</v>
      </c>
      <c r="E185" s="2" t="s">
        <v>14</v>
      </c>
      <c r="F185" s="2" t="s">
        <v>15</v>
      </c>
      <c r="G185" s="2" t="s">
        <v>133</v>
      </c>
      <c r="H185" s="2" t="s">
        <v>133</v>
      </c>
      <c r="I185" s="3" t="str">
        <f>IFERROR(__xludf.DUMMYFUNCTION("GOOGLETRANSLATE(C185,""fr"",""en"")"),"I am very satisfied, simple, quick, concrete, easy to use, very competent price, total discretion, no loss of time, explanation Detaillee")</f>
        <v>I am very satisfied, simple, quick, concrete, easy to use, very competent price, total discretion, no loss of time, explanation Detaillee</v>
      </c>
    </row>
    <row r="186" ht="15.75" customHeight="1">
      <c r="A186" s="2">
        <v>2.0</v>
      </c>
      <c r="B186" s="2" t="s">
        <v>641</v>
      </c>
      <c r="C186" s="2" t="s">
        <v>642</v>
      </c>
      <c r="D186" s="2" t="s">
        <v>469</v>
      </c>
      <c r="E186" s="2" t="s">
        <v>285</v>
      </c>
      <c r="F186" s="2" t="s">
        <v>15</v>
      </c>
      <c r="G186" s="2" t="s">
        <v>643</v>
      </c>
      <c r="H186" s="2" t="s">
        <v>644</v>
      </c>
      <c r="I186" s="3" t="str">
        <f>IFERROR(__xludf.DUMMYFUNCTION("GOOGLETRANSLATE(C186,""fr"",""en"")"),"Sorry to manage to give an opinion ...
But I am idle, faced with the lack of customer service in this group. I await in vain the life insurance settlement following the death of my mother on January 2, 2020.
I completed the file provided by the wealth m"&amp;"anager as soon as possible, including the return of taxes, for non -exigibility.
I sent emails, read but no answers.
I called to join the ""succession"" service, a reception dam ""We transferred your contact details The succession service will remind yo"&amp;"u of little"".
My wealth manager tells me that they have all the elements and that the payment should be made.
In short, there is nothing worse than a silent ""customer service"" and it is certainly absent.")</f>
        <v>Sorry to manage to give an opinion ...
But I am idle, faced with the lack of customer service in this group. I await in vain the life insurance settlement following the death of my mother on January 2, 2020.
I completed the file provided by the wealth manager as soon as possible, including the return of taxes, for non -exigibility.
I sent emails, read but no answers.
I called to join the "succession" service, a reception dam "We transferred your contact details The succession service will remind you of little".
My wealth manager tells me that they have all the elements and that the payment should be made.
In short, there is nothing worse than a silent "customer service" and it is certainly absent.</v>
      </c>
    </row>
    <row r="187" ht="15.75" customHeight="1">
      <c r="A187" s="2">
        <v>5.0</v>
      </c>
      <c r="B187" s="2" t="s">
        <v>645</v>
      </c>
      <c r="C187" s="2" t="s">
        <v>646</v>
      </c>
      <c r="D187" s="2" t="s">
        <v>13</v>
      </c>
      <c r="E187" s="2" t="s">
        <v>14</v>
      </c>
      <c r="F187" s="2" t="s">
        <v>15</v>
      </c>
      <c r="G187" s="2" t="s">
        <v>647</v>
      </c>
      <c r="H187" s="2" t="s">
        <v>125</v>
      </c>
      <c r="I187" s="3" t="str">
        <f>IFERROR(__xludf.DUMMYFUNCTION("GOOGLETRANSLATE(C187,""fr"",""en"")"),"Very pro and pleasant price very affordable it accompanies you to fully fill your quote and find the best price for me I ensure a Mercedes for 1000euro very satisfied I highly recommend")</f>
        <v>Very pro and pleasant price very affordable it accompanies you to fully fill your quote and find the best price for me I ensure a Mercedes for 1000euro very satisfied I highly recommend</v>
      </c>
    </row>
    <row r="188" ht="15.75" customHeight="1">
      <c r="A188" s="2">
        <v>4.0</v>
      </c>
      <c r="B188" s="2" t="s">
        <v>648</v>
      </c>
      <c r="C188" s="2" t="s">
        <v>649</v>
      </c>
      <c r="D188" s="2" t="s">
        <v>13</v>
      </c>
      <c r="E188" s="2" t="s">
        <v>14</v>
      </c>
      <c r="F188" s="2" t="s">
        <v>15</v>
      </c>
      <c r="G188" s="2" t="s">
        <v>277</v>
      </c>
      <c r="H188" s="2" t="s">
        <v>58</v>
      </c>
      <c r="I188" s="3" t="str">
        <f>IFERROR(__xludf.DUMMYFUNCTION("GOOGLETRANSLATE(C188,""fr"",""en"")"),"Satisfied with the quote, for a young driver studying the price is reasonable, the subscription is simple and quick, nothing to be complained for the moment ....")</f>
        <v>Satisfied with the quote, for a young driver studying the price is reasonable, the subscription is simple and quick, nothing to be complained for the moment ....</v>
      </c>
    </row>
    <row r="189" ht="15.75" customHeight="1">
      <c r="A189" s="2">
        <v>2.0</v>
      </c>
      <c r="B189" s="2" t="s">
        <v>650</v>
      </c>
      <c r="C189" s="2" t="s">
        <v>651</v>
      </c>
      <c r="D189" s="2" t="s">
        <v>513</v>
      </c>
      <c r="E189" s="2" t="s">
        <v>91</v>
      </c>
      <c r="F189" s="2" t="s">
        <v>15</v>
      </c>
      <c r="G189" s="2" t="s">
        <v>652</v>
      </c>
      <c r="H189" s="2" t="s">
        <v>358</v>
      </c>
      <c r="I189" s="3" t="str">
        <f>IFERROR(__xludf.DUMMYFUNCTION("GOOGLETRANSLATE(C189,""fr"",""en"")"),"Pacifica is a good insurance ... but if like me you have 3 claims in 5 years (not responsible) ... He turns you as a plague!
Nothing to do, their decision is final and without appeal ...")</f>
        <v>Pacifica is a good insurance ... but if like me you have 3 claims in 5 years (not responsible) ... He turns you as a plague!
Nothing to do, their decision is final and without appeal ...</v>
      </c>
    </row>
    <row r="190" ht="15.75" customHeight="1">
      <c r="A190" s="2">
        <v>5.0</v>
      </c>
      <c r="B190" s="2" t="s">
        <v>653</v>
      </c>
      <c r="C190" s="2" t="s">
        <v>654</v>
      </c>
      <c r="D190" s="2" t="s">
        <v>20</v>
      </c>
      <c r="E190" s="2" t="s">
        <v>14</v>
      </c>
      <c r="F190" s="2" t="s">
        <v>15</v>
      </c>
      <c r="G190" s="2" t="s">
        <v>655</v>
      </c>
      <c r="H190" s="2" t="s">
        <v>133</v>
      </c>
      <c r="I190" s="3" t="str">
        <f>IFERROR(__xludf.DUMMYFUNCTION("GOOGLETRANSLATE(C190,""fr"",""en"")"),"I am satisfied, the prices suit me as well as the guarantees, cheaper than the quotes made at other insurers
Different addable packs as we wish according to our needs")</f>
        <v>I am satisfied, the prices suit me as well as the guarantees, cheaper than the quotes made at other insurers
Different addable packs as we wish according to our needs</v>
      </c>
    </row>
    <row r="191" ht="15.75" customHeight="1">
      <c r="A191" s="2">
        <v>3.0</v>
      </c>
      <c r="B191" s="2" t="s">
        <v>656</v>
      </c>
      <c r="C191" s="2" t="s">
        <v>657</v>
      </c>
      <c r="D191" s="2" t="s">
        <v>20</v>
      </c>
      <c r="E191" s="2" t="s">
        <v>14</v>
      </c>
      <c r="F191" s="2" t="s">
        <v>15</v>
      </c>
      <c r="G191" s="2" t="s">
        <v>211</v>
      </c>
      <c r="H191" s="2" t="s">
        <v>156</v>
      </c>
      <c r="I191" s="3" t="str">
        <f>IFERROR(__xludf.DUMMYFUNCTION("GOOGLETRANSLATE(C191,""fr"",""en"")"),"Very satisfied. All information is available. The approach is very easy. The quote is sent by email. The options offered are clear. Thank you")</f>
        <v>Very satisfied. All information is available. The approach is very easy. The quote is sent by email. The options offered are clear. Thank you</v>
      </c>
    </row>
    <row r="192" ht="15.75" customHeight="1">
      <c r="A192" s="2">
        <v>5.0</v>
      </c>
      <c r="B192" s="2" t="s">
        <v>658</v>
      </c>
      <c r="C192" s="2" t="s">
        <v>659</v>
      </c>
      <c r="D192" s="2" t="s">
        <v>80</v>
      </c>
      <c r="E192" s="2" t="s">
        <v>25</v>
      </c>
      <c r="F192" s="2" t="s">
        <v>15</v>
      </c>
      <c r="G192" s="2" t="s">
        <v>660</v>
      </c>
      <c r="H192" s="2" t="s">
        <v>58</v>
      </c>
      <c r="I192" s="3" t="str">
        <f>IFERROR(__xludf.DUMMYFUNCTION("GOOGLETRANSLATE(C192,""fr"",""en"")"),"Very good quality price I really like am ready to recommend to anyone because I see the price level and the level of assistance and really good")</f>
        <v>Very good quality price I really like am ready to recommend to anyone because I see the price level and the level of assistance and really good</v>
      </c>
    </row>
    <row r="193" ht="15.75" customHeight="1">
      <c r="A193" s="2">
        <v>2.0</v>
      </c>
      <c r="B193" s="2" t="s">
        <v>661</v>
      </c>
      <c r="C193" s="2" t="s">
        <v>662</v>
      </c>
      <c r="D193" s="2" t="s">
        <v>112</v>
      </c>
      <c r="E193" s="2" t="s">
        <v>14</v>
      </c>
      <c r="F193" s="2" t="s">
        <v>15</v>
      </c>
      <c r="G193" s="2" t="s">
        <v>663</v>
      </c>
      <c r="H193" s="2" t="s">
        <v>156</v>
      </c>
      <c r="I193" s="3" t="str">
        <f>IFERROR(__xludf.DUMMYFUNCTION("GOOGLETRANSLATE(C193,""fr"",""en"")"),"I apply for a quote on lefuret.com. After viewing each insurance proposal, I was satisfied with the quote that Active Insurance sent to me. However, I have them on the phone to validate the quote, the lady gives me the number of my quote file which corres"&amp;"ponds very well with my quote sent by email. Following that, I answer the questions she asks me, we almost finalize the file. I ask him to make a summary of the quote. And there! Nothing to do with the email quote.")</f>
        <v>I apply for a quote on lefuret.com. After viewing each insurance proposal, I was satisfied with the quote that Active Insurance sent to me. However, I have them on the phone to validate the quote, the lady gives me the number of my quote file which corresponds very well with my quote sent by email. Following that, I answer the questions she asks me, we almost finalize the file. I ask him to make a summary of the quote. And there! Nothing to do with the email quote.</v>
      </c>
    </row>
    <row r="194" ht="15.75" customHeight="1">
      <c r="A194" s="2">
        <v>1.0</v>
      </c>
      <c r="B194" s="2" t="s">
        <v>664</v>
      </c>
      <c r="C194" s="2" t="s">
        <v>665</v>
      </c>
      <c r="D194" s="2" t="s">
        <v>513</v>
      </c>
      <c r="E194" s="2" t="s">
        <v>91</v>
      </c>
      <c r="F194" s="2" t="s">
        <v>15</v>
      </c>
      <c r="G194" s="2" t="s">
        <v>666</v>
      </c>
      <c r="H194" s="2" t="s">
        <v>156</v>
      </c>
      <c r="I194" s="3" t="str">
        <f>IFERROR(__xludf.DUMMYFUNCTION("GOOGLETRANSLATE(C194,""fr"",""en"")"),"Everything is ambiguous! Which is assured as well as exclusions. To read absolutely CGs before signing. You have to wait a year before terminating. Alas!")</f>
        <v>Everything is ambiguous! Which is assured as well as exclusions. To read absolutely CGs before signing. You have to wait a year before terminating. Alas!</v>
      </c>
    </row>
    <row r="195" ht="15.75" customHeight="1">
      <c r="A195" s="2">
        <v>1.0</v>
      </c>
      <c r="B195" s="2" t="s">
        <v>667</v>
      </c>
      <c r="C195" s="2" t="s">
        <v>668</v>
      </c>
      <c r="D195" s="2" t="s">
        <v>284</v>
      </c>
      <c r="E195" s="2" t="s">
        <v>285</v>
      </c>
      <c r="F195" s="2" t="s">
        <v>15</v>
      </c>
      <c r="G195" s="2" t="s">
        <v>669</v>
      </c>
      <c r="H195" s="2" t="s">
        <v>109</v>
      </c>
      <c r="I195" s="3" t="str">
        <f>IFERROR(__xludf.DUMMYFUNCTION("GOOGLETRANSLATE(C195,""fr"",""en"")"),"To flee, I have a life insurance already 3 weeks that I have the file to return documents!
Very long deadlines and customer service gives different versions each call. Terrible to do it with the money of others !!!!")</f>
        <v>To flee, I have a life insurance already 3 weeks that I have the file to return documents!
Very long deadlines and customer service gives different versions each call. Terrible to do it with the money of others !!!!</v>
      </c>
    </row>
    <row r="196" ht="15.75" customHeight="1">
      <c r="A196" s="2">
        <v>5.0</v>
      </c>
      <c r="B196" s="2" t="s">
        <v>670</v>
      </c>
      <c r="C196" s="2" t="s">
        <v>671</v>
      </c>
      <c r="D196" s="2" t="s">
        <v>13</v>
      </c>
      <c r="E196" s="2" t="s">
        <v>14</v>
      </c>
      <c r="F196" s="2" t="s">
        <v>15</v>
      </c>
      <c r="G196" s="2" t="s">
        <v>672</v>
      </c>
      <c r="H196" s="2" t="s">
        <v>149</v>
      </c>
      <c r="I196" s="3" t="str">
        <f>IFERROR(__xludf.DUMMYFUNCTION("GOOGLETRANSLATE(C196,""fr"",""en"")"),"I am satisfied with the contract and the price Apply person competent and good explanations answer to my quick and non -evasive questions I recommend the Olivier Insurance")</f>
        <v>I am satisfied with the contract and the price Apply person competent and good explanations answer to my quick and non -evasive questions I recommend the Olivier Insurance</v>
      </c>
    </row>
    <row r="197" ht="15.75" customHeight="1">
      <c r="A197" s="2">
        <v>3.0</v>
      </c>
      <c r="B197" s="2" t="s">
        <v>673</v>
      </c>
      <c r="C197" s="2" t="s">
        <v>674</v>
      </c>
      <c r="D197" s="2" t="s">
        <v>20</v>
      </c>
      <c r="E197" s="2" t="s">
        <v>14</v>
      </c>
      <c r="F197" s="2" t="s">
        <v>15</v>
      </c>
      <c r="G197" s="2" t="s">
        <v>675</v>
      </c>
      <c r="H197" s="2" t="s">
        <v>50</v>
      </c>
      <c r="I197" s="3" t="str">
        <f>IFERROR(__xludf.DUMMYFUNCTION("GOOGLETRANSLATE(C197,""fr"",""en"")"),"Following the compensation and attacks that occurred in 2016,
 All insurance companies have decided to increase contributions from 1 to 2.5% on average.
Besides, if less compensation in 2017, we can legitimately require a drop in the annual subscription"&amp;" ....
In the meantime, the Direct Assurance company allows itself to set up a 14% increase in its prices for its members.
Of course, no clear comunation is accompanying this increase.
At the time of the annual deadline, I hope that a maximum of members"&amp;" of this company will take the sanction that deserves this type of behavioral impairment.
live the insurance comparators ....")</f>
        <v>Following the compensation and attacks that occurred in 2016,
 All insurance companies have decided to increase contributions from 1 to 2.5% on average.
Besides, if less compensation in 2017, we can legitimately require a drop in the annual subscription ....
In the meantime, the Direct Assurance company allows itself to set up a 14% increase in its prices for its members.
Of course, no clear comunation is accompanying this increase.
At the time of the annual deadline, I hope that a maximum of members of this company will take the sanction that deserves this type of behavioral impairment.
live the insurance comparators ....</v>
      </c>
    </row>
    <row r="198" ht="15.75" customHeight="1">
      <c r="A198" s="2">
        <v>1.0</v>
      </c>
      <c r="B198" s="2" t="s">
        <v>676</v>
      </c>
      <c r="C198" s="2" t="s">
        <v>677</v>
      </c>
      <c r="D198" s="2" t="s">
        <v>96</v>
      </c>
      <c r="E198" s="2" t="s">
        <v>97</v>
      </c>
      <c r="F198" s="2" t="s">
        <v>15</v>
      </c>
      <c r="G198" s="2" t="s">
        <v>678</v>
      </c>
      <c r="H198" s="2" t="s">
        <v>255</v>
      </c>
      <c r="I198" s="3" t="str">
        <f>IFERROR(__xludf.DUMMYFUNCTION("GOOGLETRANSLATE(C198,""fr"",""en"")"),"Insurer to flee!
Following renegotiation Loan loan: drop in the rate and the duration of 2.5 years, Metlife increases my monthly payments by 27% without any explanation.
Do not respond to any mail: LR/AR, emails, or next to the plate. Even Crédit Foncie"&amp;"r tells me having difficulty getting answers !!!!
Insurance mediator seized, despite this still no answer to my questions.
I found another insurer, a little cheaper and which I hope will have better communication. Termination sent to LR/AR at the end of"&amp;" August and still no response to September 30. Ubuesque situation !!!!
")</f>
        <v>Insurer to flee!
Following renegotiation Loan loan: drop in the rate and the duration of 2.5 years, Metlife increases my monthly payments by 27% without any explanation.
Do not respond to any mail: LR/AR, emails, or next to the plate. Even Crédit Foncier tells me having difficulty getting answers !!!!
Insurance mediator seized, despite this still no answer to my questions.
I found another insurer, a little cheaper and which I hope will have better communication. Termination sent to LR/AR at the end of August and still no response to September 30. Ubuesque situation !!!!
</v>
      </c>
    </row>
    <row r="199" ht="15.75" customHeight="1">
      <c r="A199" s="2">
        <v>1.0</v>
      </c>
      <c r="B199" s="2" t="s">
        <v>679</v>
      </c>
      <c r="C199" s="2" t="s">
        <v>680</v>
      </c>
      <c r="D199" s="2" t="s">
        <v>307</v>
      </c>
      <c r="E199" s="2" t="s">
        <v>31</v>
      </c>
      <c r="F199" s="2" t="s">
        <v>15</v>
      </c>
      <c r="G199" s="2" t="s">
        <v>681</v>
      </c>
      <c r="H199" s="2" t="s">
        <v>535</v>
      </c>
      <c r="I199" s="3" t="str">
        <f>IFERROR(__xludf.DUMMYFUNCTION("GOOGLETRANSLATE(C199,""fr"",""en"")"),"Hyper long treatment delai, I have been waiting for more than 3 weeks a reimbursement of dental care, price more expensive than the average of other mutuals
Unfortunately I cannot change, mutual imposed by my employer, otherwise I would have done it for "&amp;"a long time")</f>
        <v>Hyper long treatment delai, I have been waiting for more than 3 weeks a reimbursement of dental care, price more expensive than the average of other mutuals
Unfortunately I cannot change, mutual imposed by my employer, otherwise I would have done it for a long time</v>
      </c>
    </row>
    <row r="200" ht="15.75" customHeight="1">
      <c r="A200" s="2">
        <v>1.0</v>
      </c>
      <c r="B200" s="2" t="s">
        <v>682</v>
      </c>
      <c r="C200" s="2" t="s">
        <v>683</v>
      </c>
      <c r="D200" s="2" t="s">
        <v>393</v>
      </c>
      <c r="E200" s="2" t="s">
        <v>285</v>
      </c>
      <c r="F200" s="2" t="s">
        <v>15</v>
      </c>
      <c r="G200" s="2" t="s">
        <v>684</v>
      </c>
      <c r="H200" s="2" t="s">
        <v>152</v>
      </c>
      <c r="I200" s="3" t="str">
        <f>IFERROR(__xludf.DUMMYFUNCTION("GOOGLETRANSLATE(C200,""fr"",""en"")"),"Unacceptable time to recover a placement.
Since 25/11 I await a transfer following a closing of the contract, we are on 16/12 and still nothing. The salesperson had certified me that I will have the money before the 15th as requested. I have to ask that "&amp;"I am lending me money because SL sleeps.")</f>
        <v>Unacceptable time to recover a placement.
Since 25/11 I await a transfer following a closing of the contract, we are on 16/12 and still nothing. The salesperson had certified me that I will have the money before the 15th as requested. I have to ask that I am lending me money because SL sleeps.</v>
      </c>
    </row>
    <row r="201" ht="15.75" customHeight="1">
      <c r="A201" s="2">
        <v>2.0</v>
      </c>
      <c r="B201" s="2" t="s">
        <v>685</v>
      </c>
      <c r="C201" s="2" t="s">
        <v>686</v>
      </c>
      <c r="D201" s="2" t="s">
        <v>20</v>
      </c>
      <c r="E201" s="2" t="s">
        <v>14</v>
      </c>
      <c r="F201" s="2" t="s">
        <v>15</v>
      </c>
      <c r="G201" s="2" t="s">
        <v>687</v>
      </c>
      <c r="H201" s="2" t="s">
        <v>172</v>
      </c>
      <c r="I201" s="3" t="str">
        <f>IFERROR(__xludf.DUMMYFUNCTION("GOOGLETRANSLATE(C201,""fr"",""en"")"),"I phoned this morning and I had a very aggressive advisor, it confirms the termination of my insurance contract with you. Thanking you")</f>
        <v>I phoned this morning and I had a very aggressive advisor, it confirms the termination of my insurance contract with you. Thanking you</v>
      </c>
    </row>
    <row r="202" ht="15.75" customHeight="1">
      <c r="A202" s="2">
        <v>4.0</v>
      </c>
      <c r="B202" s="2" t="s">
        <v>688</v>
      </c>
      <c r="C202" s="2" t="s">
        <v>689</v>
      </c>
      <c r="D202" s="2" t="s">
        <v>307</v>
      </c>
      <c r="E202" s="2" t="s">
        <v>31</v>
      </c>
      <c r="F202" s="2" t="s">
        <v>15</v>
      </c>
      <c r="G202" s="2" t="s">
        <v>92</v>
      </c>
      <c r="H202" s="2" t="s">
        <v>93</v>
      </c>
      <c r="I202" s="3" t="str">
        <f>IFERROR(__xludf.DUMMYFUNCTION("GOOGLETRANSLATE(C202,""fr"",""en"")"),"Be careful this only concerns the mutual company but never had a problem but the only downside is that when we come back to retirement we have no privilege in terms of price or guarantees")</f>
        <v>Be careful this only concerns the mutual company but never had a problem but the only downside is that when we come back to retirement we have no privilege in terms of price or guarantees</v>
      </c>
    </row>
    <row r="203" ht="15.75" customHeight="1">
      <c r="A203" s="2">
        <v>5.0</v>
      </c>
      <c r="B203" s="2" t="s">
        <v>690</v>
      </c>
      <c r="C203" s="2" t="s">
        <v>691</v>
      </c>
      <c r="D203" s="2" t="s">
        <v>128</v>
      </c>
      <c r="E203" s="2" t="s">
        <v>97</v>
      </c>
      <c r="F203" s="2" t="s">
        <v>15</v>
      </c>
      <c r="G203" s="2" t="s">
        <v>692</v>
      </c>
      <c r="H203" s="2" t="s">
        <v>77</v>
      </c>
      <c r="I203" s="3" t="str">
        <f>IFERROR(__xludf.DUMMYFUNCTION("GOOGLETRANSLATE(C203,""fr"",""en"")"),"I AM VERY SATISFIED
THANKS FOR YOUR RAPIDITY
Bravo and I would not fail to recommend you for your competition and diligence and your rapiditis thank you")</f>
        <v>I AM VERY SATISFIED
THANKS FOR YOUR RAPIDITY
Bravo and I would not fail to recommend you for your competition and diligence and your rapiditis thank you</v>
      </c>
    </row>
    <row r="204" ht="15.75" customHeight="1">
      <c r="A204" s="2">
        <v>4.0</v>
      </c>
      <c r="B204" s="2" t="s">
        <v>693</v>
      </c>
      <c r="C204" s="2" t="s">
        <v>694</v>
      </c>
      <c r="D204" s="2" t="s">
        <v>20</v>
      </c>
      <c r="E204" s="2" t="s">
        <v>14</v>
      </c>
      <c r="F204" s="2" t="s">
        <v>15</v>
      </c>
      <c r="G204" s="2" t="s">
        <v>695</v>
      </c>
      <c r="H204" s="2" t="s">
        <v>58</v>
      </c>
      <c r="I204" s="3" t="str">
        <f>IFERROR(__xludf.DUMMYFUNCTION("GOOGLETRANSLATE(C204,""fr"",""en"")"),"I am generally satisfied, it is on the other hand unfair to pay a franchise when one undergoes an offense of flight with filing of a complaint when one is there for nothing and that represents a sacred sum sometimes in the worst time. It is a double penal"&amp;"ty.")</f>
        <v>I am generally satisfied, it is on the other hand unfair to pay a franchise when one undergoes an offense of flight with filing of a complaint when one is there for nothing and that represents a sacred sum sometimes in the worst time. It is a double penalty.</v>
      </c>
    </row>
    <row r="205" ht="15.75" customHeight="1">
      <c r="A205" s="2">
        <v>1.0</v>
      </c>
      <c r="B205" s="2" t="s">
        <v>696</v>
      </c>
      <c r="C205" s="2" t="s">
        <v>697</v>
      </c>
      <c r="D205" s="2" t="s">
        <v>698</v>
      </c>
      <c r="E205" s="2" t="s">
        <v>285</v>
      </c>
      <c r="F205" s="2" t="s">
        <v>15</v>
      </c>
      <c r="G205" s="2" t="s">
        <v>699</v>
      </c>
      <c r="H205" s="2" t="s">
        <v>58</v>
      </c>
      <c r="I205" s="3" t="str">
        <f>IFERROR(__xludf.DUMMYFUNCTION("GOOGLETRANSLATE(C205,""fr"",""en"")"),"Flee Generali who does not respect his customers
Company neither reliable nor serious.
My retirement savings contract comes to term after more than 20 years and result, I have been claiming the liquidation of this account for several months, which, more"&amp;"over, did not bring me anything, because high management fees, and mismanagement at all management . A 0.5% booklet has reported more.
We cannot reach anyone by tel. The answering machine = robot you walk you by giving you a complaint email address. The "&amp;"complaint never succeeds and we receive an automatic response by email. Always the same !!
Flee Generali who does not respect his customers")</f>
        <v>Flee Generali who does not respect his customers
Company neither reliable nor serious.
My retirement savings contract comes to term after more than 20 years and result, I have been claiming the liquidation of this account for several months, which, moreover, did not bring me anything, because high management fees, and mismanagement at all management . A 0.5% booklet has reported more.
We cannot reach anyone by tel. The answering machine = robot you walk you by giving you a complaint email address. The complaint never succeeds and we receive an automatic response by email. Always the same !!
Flee Generali who does not respect his customers</v>
      </c>
    </row>
    <row r="206" ht="15.75" customHeight="1">
      <c r="A206" s="2">
        <v>1.0</v>
      </c>
      <c r="B206" s="2" t="s">
        <v>700</v>
      </c>
      <c r="C206" s="2" t="s">
        <v>701</v>
      </c>
      <c r="D206" s="2" t="s">
        <v>159</v>
      </c>
      <c r="E206" s="2" t="s">
        <v>14</v>
      </c>
      <c r="F206" s="2" t="s">
        <v>15</v>
      </c>
      <c r="G206" s="2" t="s">
        <v>702</v>
      </c>
      <c r="H206" s="2" t="s">
        <v>109</v>
      </c>
      <c r="I206" s="3" t="str">
        <f>IFERROR(__xludf.DUMMYFUNCTION("GOOGLETRANSLATE(C206,""fr"",""en"")"),"Null telephone customer reception. To flee.")</f>
        <v>Null telephone customer reception. To flee.</v>
      </c>
    </row>
    <row r="207" ht="15.75" customHeight="1">
      <c r="A207" s="2">
        <v>4.0</v>
      </c>
      <c r="B207" s="2" t="s">
        <v>703</v>
      </c>
      <c r="C207" s="2" t="s">
        <v>704</v>
      </c>
      <c r="D207" s="2" t="s">
        <v>20</v>
      </c>
      <c r="E207" s="2" t="s">
        <v>14</v>
      </c>
      <c r="F207" s="2" t="s">
        <v>15</v>
      </c>
      <c r="G207" s="2" t="s">
        <v>705</v>
      </c>
      <c r="H207" s="2" t="s">
        <v>27</v>
      </c>
      <c r="I207" s="3" t="str">
        <f>IFERROR(__xludf.DUMMYFUNCTION("GOOGLETRANSLATE(C207,""fr"",""en"")"),"I am satisfied with the price
The price suits me
Site operating ease and online subscription is fast
Ress options dear to my taste")</f>
        <v>I am satisfied with the price
The price suits me
Site operating ease and online subscription is fast
Ress options dear to my taste</v>
      </c>
    </row>
    <row r="208" ht="15.75" customHeight="1">
      <c r="A208" s="2">
        <v>4.0</v>
      </c>
      <c r="B208" s="2" t="s">
        <v>706</v>
      </c>
      <c r="C208" s="2" t="s">
        <v>707</v>
      </c>
      <c r="D208" s="2" t="s">
        <v>128</v>
      </c>
      <c r="E208" s="2" t="s">
        <v>97</v>
      </c>
      <c r="F208" s="2" t="s">
        <v>15</v>
      </c>
      <c r="G208" s="2" t="s">
        <v>687</v>
      </c>
      <c r="H208" s="2" t="s">
        <v>172</v>
      </c>
      <c r="I208" s="3" t="str">
        <f>IFERROR(__xludf.DUMMYFUNCTION("GOOGLETRANSLATE(C208,""fr"",""en"")"),"I am satisfied with the price and the adviser very attentive. The guarantees were accepted by my bank without problem. Only the customer area is not very intuitive.")</f>
        <v>I am satisfied with the price and the adviser very attentive. The guarantees were accepted by my bank without problem. Only the customer area is not very intuitive.</v>
      </c>
    </row>
    <row r="209" ht="15.75" customHeight="1">
      <c r="A209" s="2">
        <v>4.0</v>
      </c>
      <c r="B209" s="2" t="s">
        <v>708</v>
      </c>
      <c r="C209" s="2" t="s">
        <v>709</v>
      </c>
      <c r="D209" s="2" t="s">
        <v>13</v>
      </c>
      <c r="E209" s="2" t="s">
        <v>14</v>
      </c>
      <c r="F209" s="2" t="s">
        <v>15</v>
      </c>
      <c r="G209" s="2" t="s">
        <v>710</v>
      </c>
      <c r="H209" s="2" t="s">
        <v>58</v>
      </c>
      <c r="I209" s="3" t="str">
        <f>IFERROR(__xludf.DUMMYFUNCTION("GOOGLETRANSLATE(C209,""fr"",""en"")"),"Very good insurance at very competitive price
 very professional customer service listening and very fast and clear response I highly recommend this insurance")</f>
        <v>Very good insurance at very competitive price
 very professional customer service listening and very fast and clear response I highly recommend this insurance</v>
      </c>
    </row>
    <row r="210" ht="15.75" customHeight="1">
      <c r="A210" s="2">
        <v>5.0</v>
      </c>
      <c r="B210" s="2" t="s">
        <v>711</v>
      </c>
      <c r="C210" s="2" t="s">
        <v>712</v>
      </c>
      <c r="D210" s="2" t="s">
        <v>20</v>
      </c>
      <c r="E210" s="2" t="s">
        <v>14</v>
      </c>
      <c r="F210" s="2" t="s">
        <v>15</v>
      </c>
      <c r="G210" s="2" t="s">
        <v>713</v>
      </c>
      <c r="H210" s="2" t="s">
        <v>133</v>
      </c>
      <c r="I210" s="3" t="str">
        <f>IFERROR(__xludf.DUMMYFUNCTION("GOOGLETRANSLATE(C210,""fr"",""en"")"),"The prices are suitable for the service will see us.
I am waiting for my former insurer to reimburse me for payment of the 2022 contribution.
Quick registration")</f>
        <v>The prices are suitable for the service will see us.
I am waiting for my former insurer to reimburse me for payment of the 2022 contribution.
Quick registration</v>
      </c>
    </row>
    <row r="211" ht="15.75" customHeight="1">
      <c r="A211" s="2">
        <v>3.0</v>
      </c>
      <c r="B211" s="2" t="s">
        <v>714</v>
      </c>
      <c r="C211" s="2" t="s">
        <v>715</v>
      </c>
      <c r="D211" s="2" t="s">
        <v>43</v>
      </c>
      <c r="E211" s="2" t="s">
        <v>14</v>
      </c>
      <c r="F211" s="2" t="s">
        <v>15</v>
      </c>
      <c r="G211" s="2" t="s">
        <v>716</v>
      </c>
      <c r="H211" s="2" t="s">
        <v>45</v>
      </c>
      <c r="I211" s="3" t="str">
        <f>IFERROR(__xludf.DUMMYFUNCTION("GOOGLETRANSLATE(C211,""fr"",""en"")"),"Macif Assistance did not do his job.
They forgot to warn the convenience store to repatriate my vehicle in the garage for my repairs. No person of Macif Assistance to Tel after 1 hour of waiting.
I sit after 20 years as a customer")</f>
        <v>Macif Assistance did not do his job.
They forgot to warn the convenience store to repatriate my vehicle in the garage for my repairs. No person of Macif Assistance to Tel after 1 hour of waiting.
I sit after 20 years as a customer</v>
      </c>
    </row>
    <row r="212" ht="15.75" customHeight="1">
      <c r="A212" s="2">
        <v>1.0</v>
      </c>
      <c r="B212" s="2" t="s">
        <v>717</v>
      </c>
      <c r="C212" s="2" t="s">
        <v>718</v>
      </c>
      <c r="D212" s="2" t="s">
        <v>502</v>
      </c>
      <c r="E212" s="2" t="s">
        <v>25</v>
      </c>
      <c r="F212" s="2" t="s">
        <v>15</v>
      </c>
      <c r="G212" s="2" t="s">
        <v>194</v>
      </c>
      <c r="H212" s="2" t="s">
        <v>195</v>
      </c>
      <c r="I212" s="3" t="str">
        <f>IFERROR(__xludf.DUMMYFUNCTION("GOOGLETRANSLATE(C212,""fr"",""en"")"),"My son has been insured since July the year of last as a young license he has just received his contribution call = more expensive than last year not decreasing the surprise, ie 1800 euros in the year, insurance to advise ...")</f>
        <v>My son has been insured since July the year of last as a young license he has just received his contribution call = more expensive than last year not decreasing the surprise, ie 1800 euros in the year, insurance to advise ...</v>
      </c>
    </row>
    <row r="213" ht="15.75" customHeight="1">
      <c r="A213" s="2">
        <v>5.0</v>
      </c>
      <c r="B213" s="2" t="s">
        <v>719</v>
      </c>
      <c r="C213" s="2" t="s">
        <v>720</v>
      </c>
      <c r="D213" s="2" t="s">
        <v>20</v>
      </c>
      <c r="E213" s="2" t="s">
        <v>14</v>
      </c>
      <c r="F213" s="2" t="s">
        <v>15</v>
      </c>
      <c r="G213" s="2" t="s">
        <v>721</v>
      </c>
      <c r="H213" s="2" t="s">
        <v>218</v>
      </c>
      <c r="I213" s="3" t="str">
        <f>IFERROR(__xludf.DUMMYFUNCTION("GOOGLETRANSLATE(C213,""fr"",""en"")"),"The prices are very affordable, the contact with the service is very fast, very friendly personal.
My spouse is very satisfied with direct insurance so today I decide to subscribe also.")</f>
        <v>The prices are very affordable, the contact with the service is very fast, very friendly personal.
My spouse is very satisfied with direct insurance so today I decide to subscribe also.</v>
      </c>
    </row>
    <row r="214" ht="15.75" customHeight="1">
      <c r="A214" s="2">
        <v>5.0</v>
      </c>
      <c r="B214" s="2" t="s">
        <v>722</v>
      </c>
      <c r="C214" s="2" t="s">
        <v>723</v>
      </c>
      <c r="D214" s="2" t="s">
        <v>24</v>
      </c>
      <c r="E214" s="2" t="s">
        <v>25</v>
      </c>
      <c r="F214" s="2" t="s">
        <v>15</v>
      </c>
      <c r="G214" s="2" t="s">
        <v>724</v>
      </c>
      <c r="H214" s="2" t="s">
        <v>58</v>
      </c>
      <c r="I214" s="3" t="str">
        <f>IFERROR(__xludf.DUMMYFUNCTION("GOOGLETRANSLATE(C214,""fr"",""en"")"),"I am completely satisfied with the service.
The prices are reasonable, the guarantees granted are satisfactory.
Access to the site is instinctive and practical.")</f>
        <v>I am completely satisfied with the service.
The prices are reasonable, the guarantees granted are satisfactory.
Access to the site is instinctive and practical.</v>
      </c>
    </row>
    <row r="215" ht="15.75" customHeight="1">
      <c r="A215" s="2">
        <v>5.0</v>
      </c>
      <c r="B215" s="2" t="s">
        <v>725</v>
      </c>
      <c r="C215" s="2" t="s">
        <v>726</v>
      </c>
      <c r="D215" s="2" t="s">
        <v>112</v>
      </c>
      <c r="E215" s="2" t="s">
        <v>14</v>
      </c>
      <c r="F215" s="2" t="s">
        <v>15</v>
      </c>
      <c r="G215" s="2" t="s">
        <v>727</v>
      </c>
      <c r="H215" s="2" t="s">
        <v>119</v>
      </c>
      <c r="I215" s="3" t="str">
        <f>IFERROR(__xludf.DUMMYFUNCTION("GOOGLETRANSLATE(C215,""fr"",""en"")"),"No comment.")</f>
        <v>No comment.</v>
      </c>
    </row>
    <row r="216" ht="15.75" customHeight="1">
      <c r="A216" s="2">
        <v>5.0</v>
      </c>
      <c r="B216" s="2" t="s">
        <v>728</v>
      </c>
      <c r="C216" s="2" t="s">
        <v>729</v>
      </c>
      <c r="D216" s="2" t="s">
        <v>24</v>
      </c>
      <c r="E216" s="2" t="s">
        <v>25</v>
      </c>
      <c r="F216" s="2" t="s">
        <v>15</v>
      </c>
      <c r="G216" s="2" t="s">
        <v>36</v>
      </c>
      <c r="H216" s="2" t="s">
        <v>27</v>
      </c>
      <c r="I216" s="3" t="str">
        <f>IFERROR(__xludf.DUMMYFUNCTION("GOOGLETRANSLATE(C216,""fr"",""en"")"),"Very good and fast
I am very happy it's very simple and quick thank you I recommend no concern for then that I am with them a big thank you to you")</f>
        <v>Very good and fast
I am very happy it's very simple and quick thank you I recommend no concern for then that I am with them a big thank you to you</v>
      </c>
    </row>
    <row r="217" ht="15.75" customHeight="1">
      <c r="A217" s="2">
        <v>5.0</v>
      </c>
      <c r="B217" s="2" t="s">
        <v>730</v>
      </c>
      <c r="C217" s="2" t="s">
        <v>731</v>
      </c>
      <c r="D217" s="2" t="s">
        <v>13</v>
      </c>
      <c r="E217" s="2" t="s">
        <v>14</v>
      </c>
      <c r="F217" s="2" t="s">
        <v>15</v>
      </c>
      <c r="G217" s="2" t="s">
        <v>732</v>
      </c>
      <c r="H217" s="2" t="s">
        <v>140</v>
      </c>
      <c r="I217" s="3" t="str">
        <f>IFERROR(__xludf.DUMMYFUNCTION("GOOGLETRANSLATE(C217,""fr"",""en"")"),"A Competitive Prize for A quality service")</f>
        <v>A Competitive Prize for A quality service</v>
      </c>
    </row>
    <row r="218" ht="15.75" customHeight="1">
      <c r="A218" s="2">
        <v>5.0</v>
      </c>
      <c r="B218" s="2" t="s">
        <v>733</v>
      </c>
      <c r="C218" s="2" t="s">
        <v>734</v>
      </c>
      <c r="D218" s="2" t="s">
        <v>20</v>
      </c>
      <c r="E218" s="2" t="s">
        <v>14</v>
      </c>
      <c r="F218" s="2" t="s">
        <v>15</v>
      </c>
      <c r="G218" s="2" t="s">
        <v>735</v>
      </c>
      <c r="H218" s="2" t="s">
        <v>27</v>
      </c>
      <c r="I218" s="3" t="str">
        <f>IFERROR(__xludf.DUMMYFUNCTION("GOOGLETRANSLATE(C218,""fr"",""en"")"),"I am satisfied to see the continuation of the insurer ... but very practical thank you count pleasantly, not having a price variation that we remain of course 31., 99 thank you for this speed ,,,,,")</f>
        <v>I am satisfied to see the continuation of the insurer ... but very practical thank you count pleasantly, not having a price variation that we remain of course 31., 99 thank you for this speed ,,,,,</v>
      </c>
    </row>
    <row r="219" ht="15.75" customHeight="1">
      <c r="A219" s="2">
        <v>4.0</v>
      </c>
      <c r="B219" s="2" t="s">
        <v>736</v>
      </c>
      <c r="C219" s="2" t="s">
        <v>737</v>
      </c>
      <c r="D219" s="2" t="s">
        <v>20</v>
      </c>
      <c r="E219" s="2" t="s">
        <v>14</v>
      </c>
      <c r="F219" s="2" t="s">
        <v>15</v>
      </c>
      <c r="G219" s="2" t="s">
        <v>738</v>
      </c>
      <c r="H219" s="2" t="s">
        <v>72</v>
      </c>
      <c r="I219" s="3" t="str">
        <f>IFERROR(__xludf.DUMMYFUNCTION("GOOGLETRANSLATE(C219,""fr"",""en"")"),"The prices are suitable but by making a comparative study of auto insurance on a website, D irect a ssurance is in average position.")</f>
        <v>The prices are suitable but by making a comparative study of auto insurance on a website, D irect a ssurance is in average position.</v>
      </c>
    </row>
    <row r="220" ht="15.75" customHeight="1">
      <c r="A220" s="2">
        <v>5.0</v>
      </c>
      <c r="B220" s="2" t="s">
        <v>739</v>
      </c>
      <c r="C220" s="2" t="s">
        <v>740</v>
      </c>
      <c r="D220" s="2" t="s">
        <v>190</v>
      </c>
      <c r="E220" s="2" t="s">
        <v>31</v>
      </c>
      <c r="F220" s="2" t="s">
        <v>15</v>
      </c>
      <c r="G220" s="2" t="s">
        <v>741</v>
      </c>
      <c r="H220" s="2" t="s">
        <v>27</v>
      </c>
      <c r="I220" s="3" t="str">
        <f>IFERROR(__xludf.DUMMYFUNCTION("GOOGLETRANSLATE(C220,""fr"",""en"")"),"Since I am at the Santiane health mutual insurance company, I have nothing to blame them for at the level of the reimbursement period or to contact customer service.")</f>
        <v>Since I am at the Santiane health mutual insurance company, I have nothing to blame them for at the level of the reimbursement period or to contact customer service.</v>
      </c>
    </row>
    <row r="221" ht="15.75" customHeight="1">
      <c r="A221" s="2">
        <v>5.0</v>
      </c>
      <c r="B221" s="2" t="s">
        <v>742</v>
      </c>
      <c r="C221" s="2" t="s">
        <v>743</v>
      </c>
      <c r="D221" s="2" t="s">
        <v>13</v>
      </c>
      <c r="E221" s="2" t="s">
        <v>14</v>
      </c>
      <c r="F221" s="2" t="s">
        <v>15</v>
      </c>
      <c r="G221" s="2" t="s">
        <v>387</v>
      </c>
      <c r="H221" s="2" t="s">
        <v>17</v>
      </c>
      <c r="I221" s="3" t="str">
        <f>IFERROR(__xludf.DUMMYFUNCTION("GOOGLETRANSLATE(C221,""fr"",""en"")"),"I am very satisfied with the quality service
The prices are very attractive and suit me
They are very simple and practical
And in a few minutes we can be assured")</f>
        <v>I am very satisfied with the quality service
The prices are very attractive and suit me
They are very simple and practical
And in a few minutes we can be assured</v>
      </c>
    </row>
    <row r="222" ht="15.75" customHeight="1">
      <c r="A222" s="2">
        <v>4.0</v>
      </c>
      <c r="B222" s="2" t="s">
        <v>744</v>
      </c>
      <c r="C222" s="2" t="s">
        <v>745</v>
      </c>
      <c r="D222" s="2" t="s">
        <v>20</v>
      </c>
      <c r="E222" s="2" t="s">
        <v>14</v>
      </c>
      <c r="F222" s="2" t="s">
        <v>15</v>
      </c>
      <c r="G222" s="2" t="s">
        <v>148</v>
      </c>
      <c r="H222" s="2" t="s">
        <v>149</v>
      </c>
      <c r="I222" s="3" t="str">
        <f>IFERROR(__xludf.DUMMYFUNCTION("GOOGLETRANSLATE(C222,""fr"",""en"")"),"The price suits me in any case that this vehicle that I have just insured, but bizarrely, a French vehicle costs more at home than where I am insured !!!!!!
")</f>
        <v>The price suits me in any case that this vehicle that I have just insured, but bizarrely, a French vehicle costs more at home than where I am insured !!!!!!
</v>
      </c>
    </row>
    <row r="223" ht="15.75" customHeight="1">
      <c r="A223" s="2">
        <v>4.0</v>
      </c>
      <c r="B223" s="2" t="s">
        <v>746</v>
      </c>
      <c r="C223" s="2" t="s">
        <v>747</v>
      </c>
      <c r="D223" s="2" t="s">
        <v>233</v>
      </c>
      <c r="E223" s="2" t="s">
        <v>14</v>
      </c>
      <c r="F223" s="2" t="s">
        <v>15</v>
      </c>
      <c r="G223" s="2" t="s">
        <v>748</v>
      </c>
      <c r="H223" s="2" t="s">
        <v>172</v>
      </c>
      <c r="I223" s="3" t="str">
        <f>IFERROR(__xludf.DUMMYFUNCTION("GOOGLETRANSLATE(C223,""fr"",""en"")"),"I am satisfied with the services, very clear documents reception and speed of, intervention, very transparent documents, interesting quality and price report")</f>
        <v>I am satisfied with the services, very clear documents reception and speed of, intervention, very transparent documents, interesting quality and price report</v>
      </c>
    </row>
    <row r="224" ht="15.75" customHeight="1">
      <c r="A224" s="2">
        <v>5.0</v>
      </c>
      <c r="B224" s="2" t="s">
        <v>749</v>
      </c>
      <c r="C224" s="2" t="s">
        <v>750</v>
      </c>
      <c r="D224" s="2" t="s">
        <v>13</v>
      </c>
      <c r="E224" s="2" t="s">
        <v>14</v>
      </c>
      <c r="F224" s="2" t="s">
        <v>15</v>
      </c>
      <c r="G224" s="2" t="s">
        <v>751</v>
      </c>
      <c r="H224" s="2" t="s">
        <v>125</v>
      </c>
      <c r="I224" s="3" t="str">
        <f>IFERROR(__xludf.DUMMYFUNCTION("GOOGLETRANSLATE(C224,""fr"",""en"")"),"I am satisfied with the service. Great speed of membership, efficient advisers and giving good advice. Very attractive rates compared to other companies")</f>
        <v>I am satisfied with the service. Great speed of membership, efficient advisers and giving good advice. Very attractive rates compared to other companies</v>
      </c>
    </row>
    <row r="225" ht="15.75" customHeight="1">
      <c r="A225" s="2">
        <v>3.0</v>
      </c>
      <c r="B225" s="2" t="s">
        <v>752</v>
      </c>
      <c r="C225" s="2" t="s">
        <v>753</v>
      </c>
      <c r="D225" s="2" t="s">
        <v>147</v>
      </c>
      <c r="E225" s="2" t="s">
        <v>31</v>
      </c>
      <c r="F225" s="2" t="s">
        <v>15</v>
      </c>
      <c r="G225" s="2" t="s">
        <v>754</v>
      </c>
      <c r="H225" s="2" t="s">
        <v>535</v>
      </c>
      <c r="I225" s="3" t="str">
        <f>IFERROR(__xludf.DUMMYFUNCTION("GOOGLETRANSLATE(C225,""fr"",""en"")"),"I find the formula somewhat expensive compared to certain services, compared to other mutuals.
But the service is well guaranteed, and the contact with the advisers is quite effective.")</f>
        <v>I find the formula somewhat expensive compared to certain services, compared to other mutuals.
But the service is well guaranteed, and the contact with the advisers is quite effective.</v>
      </c>
    </row>
    <row r="226" ht="15.75" customHeight="1">
      <c r="A226" s="2">
        <v>3.0</v>
      </c>
      <c r="B226" s="2" t="s">
        <v>755</v>
      </c>
      <c r="C226" s="2" t="s">
        <v>756</v>
      </c>
      <c r="D226" s="2" t="s">
        <v>20</v>
      </c>
      <c r="E226" s="2" t="s">
        <v>14</v>
      </c>
      <c r="F226" s="2" t="s">
        <v>15</v>
      </c>
      <c r="G226" s="2" t="s">
        <v>655</v>
      </c>
      <c r="H226" s="2" t="s">
        <v>133</v>
      </c>
      <c r="I226" s="3" t="str">
        <f>IFERROR(__xludf.DUMMYFUNCTION("GOOGLETRANSLATE(C226,""fr"",""en"")"),"Simple and quick practice, nice staff on the phone, the lowest attractive price on the market on comparators very good advised I recommend")</f>
        <v>Simple and quick practice, nice staff on the phone, the lowest attractive price on the market on comparators very good advised I recommend</v>
      </c>
    </row>
    <row r="227" ht="15.75" customHeight="1">
      <c r="A227" s="2">
        <v>4.0</v>
      </c>
      <c r="B227" s="2" t="s">
        <v>757</v>
      </c>
      <c r="C227" s="2" t="s">
        <v>758</v>
      </c>
      <c r="D227" s="2" t="s">
        <v>13</v>
      </c>
      <c r="E227" s="2" t="s">
        <v>14</v>
      </c>
      <c r="F227" s="2" t="s">
        <v>15</v>
      </c>
      <c r="G227" s="2" t="s">
        <v>759</v>
      </c>
      <c r="H227" s="2" t="s">
        <v>133</v>
      </c>
      <c r="I227" s="3" t="str">
        <f>IFERROR(__xludf.DUMMYFUNCTION("GOOGLETRANSLATE(C227,""fr"",""en"")"),"On subscription nothing to say. Price related to my expectations. Simple to use. To assess in 1 year in anointing events and the evolution of applied prices.")</f>
        <v>On subscription nothing to say. Price related to my expectations. Simple to use. To assess in 1 year in anointing events and the evolution of applied prices.</v>
      </c>
    </row>
    <row r="228" ht="15.75" customHeight="1">
      <c r="A228" s="2">
        <v>5.0</v>
      </c>
      <c r="B228" s="2" t="s">
        <v>760</v>
      </c>
      <c r="C228" s="2" t="s">
        <v>761</v>
      </c>
      <c r="D228" s="2" t="s">
        <v>20</v>
      </c>
      <c r="E228" s="2" t="s">
        <v>14</v>
      </c>
      <c r="F228" s="2" t="s">
        <v>15</v>
      </c>
      <c r="G228" s="2" t="s">
        <v>762</v>
      </c>
      <c r="H228" s="2" t="s">
        <v>149</v>
      </c>
      <c r="I228" s="3" t="str">
        <f>IFERROR(__xludf.DUMMYFUNCTION("GOOGLETRANSLATE(C228,""fr"",""en"")"),"Delighted to have arrived at Direct Insurance
a service a price and support at the top
I would recommend my loved ones without any hesitation.
")</f>
        <v>Delighted to have arrived at Direct Insurance
a service a price and support at the top
I would recommend my loved ones without any hesitation.
</v>
      </c>
    </row>
    <row r="229" ht="15.75" customHeight="1">
      <c r="A229" s="2">
        <v>3.0</v>
      </c>
      <c r="B229" s="2" t="s">
        <v>763</v>
      </c>
      <c r="C229" s="2" t="s">
        <v>764</v>
      </c>
      <c r="D229" s="2" t="s">
        <v>13</v>
      </c>
      <c r="E229" s="2" t="s">
        <v>14</v>
      </c>
      <c r="F229" s="2" t="s">
        <v>15</v>
      </c>
      <c r="G229" s="2" t="s">
        <v>413</v>
      </c>
      <c r="H229" s="2" t="s">
        <v>149</v>
      </c>
      <c r="I229" s="3" t="str">
        <f>IFERROR(__xludf.DUMMYFUNCTION("GOOGLETRANSLATE(C229,""fr"",""en"")"),"I am satisfied with the service good work !! Quality-price I am satisfied I recommend them employees are sympathetic you are understanding on the phone")</f>
        <v>I am satisfied with the service good work !! Quality-price I am satisfied I recommend them employees are sympathetic you are understanding on the phone</v>
      </c>
    </row>
    <row r="230" ht="15.75" customHeight="1">
      <c r="A230" s="2">
        <v>5.0</v>
      </c>
      <c r="B230" s="2" t="s">
        <v>765</v>
      </c>
      <c r="C230" s="2" t="s">
        <v>766</v>
      </c>
      <c r="D230" s="2" t="s">
        <v>13</v>
      </c>
      <c r="E230" s="2" t="s">
        <v>14</v>
      </c>
      <c r="F230" s="2" t="s">
        <v>15</v>
      </c>
      <c r="G230" s="2" t="s">
        <v>767</v>
      </c>
      <c r="H230" s="2" t="s">
        <v>27</v>
      </c>
      <c r="I230" s="3" t="str">
        <f>IFERROR(__xludf.DUMMYFUNCTION("GOOGLETRANSLATE(C230,""fr"",""en"")"),"Interesting and economical price
Very fluid, understandable and easy to use personal space
Very professional interlocutor responding to all my requests")</f>
        <v>Interesting and economical price
Very fluid, understandable and easy to use personal space
Very professional interlocutor responding to all my requests</v>
      </c>
    </row>
    <row r="231" ht="15.75" customHeight="1">
      <c r="A231" s="2">
        <v>5.0</v>
      </c>
      <c r="B231" s="2" t="s">
        <v>768</v>
      </c>
      <c r="C231" s="2" t="s">
        <v>769</v>
      </c>
      <c r="D231" s="2" t="s">
        <v>20</v>
      </c>
      <c r="E231" s="2" t="s">
        <v>14</v>
      </c>
      <c r="F231" s="2" t="s">
        <v>15</v>
      </c>
      <c r="G231" s="2" t="s">
        <v>770</v>
      </c>
      <c r="H231" s="2" t="s">
        <v>72</v>
      </c>
      <c r="I231" s="3" t="str">
        <f>IFERROR(__xludf.DUMMYFUNCTION("GOOGLETRANSLATE(C231,""fr"",""en"")"),"I am satisfied with the service
The prices are attractive and the speed of the service too
I will offer your services to my friends
as well as my family too")</f>
        <v>I am satisfied with the service
The prices are attractive and the speed of the service too
I will offer your services to my friends
as well as my family too</v>
      </c>
    </row>
    <row r="232" ht="15.75" customHeight="1">
      <c r="A232" s="2">
        <v>1.0</v>
      </c>
      <c r="B232" s="2" t="s">
        <v>771</v>
      </c>
      <c r="C232" s="2" t="s">
        <v>772</v>
      </c>
      <c r="D232" s="2" t="s">
        <v>453</v>
      </c>
      <c r="E232" s="2" t="s">
        <v>329</v>
      </c>
      <c r="F232" s="2" t="s">
        <v>15</v>
      </c>
      <c r="G232" s="2" t="s">
        <v>476</v>
      </c>
      <c r="H232" s="2" t="s">
        <v>477</v>
      </c>
      <c r="I232" s="3" t="str">
        <f>IFERROR(__xludf.DUMMYFUNCTION("GOOGLETRANSLATE(C232,""fr"",""en"")"),"Obliged to wait for the anniversary date to terminate a contract that increases every year insurer to flee !!!")</f>
        <v>Obliged to wait for the anniversary date to terminate a contract that increases every year insurer to flee !!!</v>
      </c>
    </row>
    <row r="233" ht="15.75" customHeight="1">
      <c r="A233" s="2">
        <v>2.0</v>
      </c>
      <c r="B233" s="2" t="s">
        <v>773</v>
      </c>
      <c r="C233" s="2" t="s">
        <v>774</v>
      </c>
      <c r="D233" s="2" t="s">
        <v>101</v>
      </c>
      <c r="E233" s="2" t="s">
        <v>31</v>
      </c>
      <c r="F233" s="2" t="s">
        <v>15</v>
      </c>
      <c r="G233" s="2" t="s">
        <v>775</v>
      </c>
      <c r="H233" s="2" t="s">
        <v>33</v>
      </c>
      <c r="I233" s="3" t="str">
        <f>IFERROR(__xludf.DUMMYFUNCTION("GOOGLETRANSLATE(C233,""fr"",""en"")"),"Huge joke, no answer to any questions about reimbursements or requests for a change of address following a move ... Suddenly it is more than a year for certain messages (and which are always marked as ""awaiting treatment ) And it has been 8 months now th"&amp;"at I asked for the return of my mutual card to my new address and still nothing ... I pay 30th per month for a service which I cannot enjoy ... Worse mutual in Bannnnnnnnniiiiiiiiir , you will find more problems than solutions to those you already had.
L"&amp;"ook forward to arriving on my anniversary date to be able to terminate.")</f>
        <v>Huge joke, no answer to any questions about reimbursements or requests for a change of address following a move ... Suddenly it is more than a year for certain messages (and which are always marked as "awaiting treatment ) And it has been 8 months now that I asked for the return of my mutual card to my new address and still nothing ... I pay 30th per month for a service which I cannot enjoy ... Worse mutual in Bannnnnnnnniiiiiiiiir , you will find more problems than solutions to those you already had.
Look forward to arriving on my anniversary date to be able to terminate.</v>
      </c>
    </row>
    <row r="234" ht="15.75" customHeight="1">
      <c r="A234" s="2">
        <v>1.0</v>
      </c>
      <c r="B234" s="2" t="s">
        <v>776</v>
      </c>
      <c r="C234" s="2" t="s">
        <v>777</v>
      </c>
      <c r="D234" s="2" t="s">
        <v>106</v>
      </c>
      <c r="E234" s="2" t="s">
        <v>107</v>
      </c>
      <c r="F234" s="2" t="s">
        <v>15</v>
      </c>
      <c r="G234" s="2" t="s">
        <v>778</v>
      </c>
      <c r="H234" s="2" t="s">
        <v>644</v>
      </c>
      <c r="I234" s="3" t="str">
        <f>IFERROR(__xludf.DUMMYFUNCTION("GOOGLETRANSLATE(C234,""fr"",""en"")"),"Hello,
Did not take AG2R especially, this mutual has stratospheric treatment times, it does not respond to
its customers and hangs up on the phone after having made you porase for half a highway because
that it is 4:00 p.m. and the service must close"&amp;"d;
I just lived it, don't trust the AG2R
Who on this site ready that she will provide a complete response in the next day, it's com ...")</f>
        <v>Hello,
Did not take AG2R especially, this mutual has stratospheric treatment times, it does not respond to
its customers and hangs up on the phone after having made you porase for half a highway because
that it is 4:00 p.m. and the service must closed;
I just lived it, don't trust the AG2R
Who on this site ready that she will provide a complete response in the next day, it's com ...</v>
      </c>
    </row>
    <row r="235" ht="15.75" customHeight="1">
      <c r="A235" s="2">
        <v>4.0</v>
      </c>
      <c r="B235" s="2" t="s">
        <v>779</v>
      </c>
      <c r="C235" s="2" t="s">
        <v>780</v>
      </c>
      <c r="D235" s="2" t="s">
        <v>20</v>
      </c>
      <c r="E235" s="2" t="s">
        <v>14</v>
      </c>
      <c r="F235" s="2" t="s">
        <v>15</v>
      </c>
      <c r="G235" s="2" t="s">
        <v>258</v>
      </c>
      <c r="H235" s="2" t="s">
        <v>172</v>
      </c>
      <c r="I235" s="3" t="str">
        <f>IFERROR(__xludf.DUMMYFUNCTION("GOOGLETRANSLATE(C235,""fr"",""en"")"),"I am satisfied with the service overall
A reduction following the Covi would have been welcome knowing that I used less my vehicle due to the covid health crisis and the teletravail performed in addition")</f>
        <v>I am satisfied with the service overall
A reduction following the Covi would have been welcome knowing that I used less my vehicle due to the covid health crisis and the teletravail performed in addition</v>
      </c>
    </row>
    <row r="236" ht="15.75" customHeight="1">
      <c r="A236" s="2">
        <v>1.0</v>
      </c>
      <c r="B236" s="2" t="s">
        <v>781</v>
      </c>
      <c r="C236" s="2" t="s">
        <v>782</v>
      </c>
      <c r="D236" s="2" t="s">
        <v>513</v>
      </c>
      <c r="E236" s="2" t="s">
        <v>14</v>
      </c>
      <c r="F236" s="2" t="s">
        <v>15</v>
      </c>
      <c r="G236" s="2" t="s">
        <v>783</v>
      </c>
      <c r="H236" s="2" t="s">
        <v>445</v>
      </c>
      <c r="I236" s="3" t="str">
        <f>IFERROR(__xludf.DUMMYFUNCTION("GOOGLETRANSLATE(C236,""fr"",""en"")"),"As long as you have no worries and any requests, this insurance is suitable. On the other hand, as soon as you need to solicit them for a subject, it is the policy of the ostrich. No listening for no solution.
In addition, I realize that their prices are"&amp;" by no means competitive .... I solve!
And this despite having an exemplary service at Crédit Agricole which are just the opposite.
A good hearing ....
")</f>
        <v>As long as you have no worries and any requests, this insurance is suitable. On the other hand, as soon as you need to solicit them for a subject, it is the policy of the ostrich. No listening for no solution.
In addition, I realize that their prices are by no means competitive .... I solve!
And this despite having an exemplary service at Crédit Agricole which are just the opposite.
A good hearing ....
</v>
      </c>
    </row>
    <row r="237" ht="15.75" customHeight="1">
      <c r="A237" s="2">
        <v>1.0</v>
      </c>
      <c r="B237" s="2" t="s">
        <v>784</v>
      </c>
      <c r="C237" s="2" t="s">
        <v>785</v>
      </c>
      <c r="D237" s="2" t="s">
        <v>159</v>
      </c>
      <c r="E237" s="2" t="s">
        <v>285</v>
      </c>
      <c r="F237" s="2" t="s">
        <v>15</v>
      </c>
      <c r="G237" s="2" t="s">
        <v>786</v>
      </c>
      <c r="H237" s="2" t="s">
        <v>555</v>
      </c>
      <c r="I237" s="3" t="str">
        <f>IFERROR(__xludf.DUMMYFUNCTION("GOOGLETRANSLATE(C237,""fr"",""en"")"),"To flee, if you need information reviews after taking out a so -called high -end contract.")</f>
        <v>To flee, if you need information reviews after taking out a so -called high -end contract.</v>
      </c>
    </row>
    <row r="238" ht="15.75" customHeight="1">
      <c r="A238" s="2">
        <v>5.0</v>
      </c>
      <c r="B238" s="2" t="s">
        <v>787</v>
      </c>
      <c r="C238" s="2" t="s">
        <v>788</v>
      </c>
      <c r="D238" s="2" t="s">
        <v>20</v>
      </c>
      <c r="E238" s="2" t="s">
        <v>14</v>
      </c>
      <c r="F238" s="2" t="s">
        <v>15</v>
      </c>
      <c r="G238" s="2" t="s">
        <v>237</v>
      </c>
      <c r="H238" s="2" t="s">
        <v>133</v>
      </c>
      <c r="I238" s="3" t="str">
        <f>IFERROR(__xludf.DUMMYFUNCTION("GOOGLETRANSLATE(C238,""fr"",""en"")"),"Satisfied with the price services and all that goes with it. I recommend direct insurance to those around me ………… I would like a price on my next purchase good day")</f>
        <v>Satisfied with the price services and all that goes with it. I recommend direct insurance to those around me ………… I would like a price on my next purchase good day</v>
      </c>
    </row>
    <row r="239" ht="15.75" customHeight="1">
      <c r="A239" s="2">
        <v>4.0</v>
      </c>
      <c r="B239" s="2" t="s">
        <v>789</v>
      </c>
      <c r="C239" s="2" t="s">
        <v>790</v>
      </c>
      <c r="D239" s="2" t="s">
        <v>20</v>
      </c>
      <c r="E239" s="2" t="s">
        <v>14</v>
      </c>
      <c r="F239" s="2" t="s">
        <v>15</v>
      </c>
      <c r="G239" s="2" t="s">
        <v>791</v>
      </c>
      <c r="H239" s="2" t="s">
        <v>72</v>
      </c>
      <c r="I239" s="3" t="str">
        <f>IFERROR(__xludf.DUMMYFUNCTION("GOOGLETRANSLATE(C239,""fr"",""en"")"),"I am satisfied with the service, it went quickly in 2-3 CLIS I was insured for my 2 cars it is fast and inexpensive compared to other insurance")</f>
        <v>I am satisfied with the service, it went quickly in 2-3 CLIS I was insured for my 2 cars it is fast and inexpensive compared to other insurance</v>
      </c>
    </row>
    <row r="240" ht="15.75" customHeight="1">
      <c r="A240" s="2">
        <v>1.0</v>
      </c>
      <c r="B240" s="2" t="s">
        <v>792</v>
      </c>
      <c r="C240" s="2" t="s">
        <v>793</v>
      </c>
      <c r="D240" s="2" t="s">
        <v>117</v>
      </c>
      <c r="E240" s="2" t="s">
        <v>91</v>
      </c>
      <c r="F240" s="2" t="s">
        <v>15</v>
      </c>
      <c r="G240" s="2" t="s">
        <v>794</v>
      </c>
      <c r="H240" s="2" t="s">
        <v>63</v>
      </c>
      <c r="I240" s="3" t="str">
        <f>IFERROR(__xludf.DUMMYFUNCTION("GOOGLETRANSLATE(C240,""fr"",""en"")"),"Victim of an accident by being pedestrian I received news that by the Burantance car of the person who struck me on the other hand Axa who assured my assurance nothing to move to thegence and no Courier so I do not understand why the follow -up is not the")</f>
        <v>Victim of an accident by being pedestrian I received news that by the Burantance car of the person who struck me on the other hand Axa who assured my assurance nothing to move to thegence and no Courier so I do not understand why the follow -up is not the</v>
      </c>
    </row>
    <row r="241" ht="15.75" customHeight="1">
      <c r="A241" s="2">
        <v>3.0</v>
      </c>
      <c r="B241" s="2" t="s">
        <v>795</v>
      </c>
      <c r="C241" s="2" t="s">
        <v>796</v>
      </c>
      <c r="D241" s="2" t="s">
        <v>393</v>
      </c>
      <c r="E241" s="2" t="s">
        <v>285</v>
      </c>
      <c r="F241" s="2" t="s">
        <v>15</v>
      </c>
      <c r="G241" s="2" t="s">
        <v>797</v>
      </c>
      <c r="H241" s="2" t="s">
        <v>109</v>
      </c>
      <c r="I241" s="3" t="str">
        <f>IFERROR(__xludf.DUMMYFUNCTION("GOOGLETRANSLATE(C241,""fr"",""en"")"),"Bjr my father has taken out a death insurance of which I am the beneficiary and this despite his many mail never reply to communicate to us if the missing documents in the last letter send to AR on January 23, 2017 and no response I seized the mediator be"&amp;"cause My father has died since September 2016 and still kidney to date, however with insurance there is a funeral capital which covers funeral costs they say that he pays capital under 72 hours to pay for funeral costs and still to date kidney is 8 months"&amp;" after the death it is more than 72 hours while in such we have been told for months the file is complete a shame to play with the death of people like that")</f>
        <v>Bjr my father has taken out a death insurance of which I am the beneficiary and this despite his many mail never reply to communicate to us if the missing documents in the last letter send to AR on January 23, 2017 and no response I seized the mediator because My father has died since September 2016 and still kidney to date, however with insurance there is a funeral capital which covers funeral costs they say that he pays capital under 72 hours to pay for funeral costs and still to date kidney is 8 months after the death it is more than 72 hours while in such we have been told for months the file is complete a shame to play with the death of people like that</v>
      </c>
    </row>
    <row r="242" ht="15.75" customHeight="1">
      <c r="A242" s="2">
        <v>5.0</v>
      </c>
      <c r="B242" s="2" t="s">
        <v>798</v>
      </c>
      <c r="C242" s="2" t="s">
        <v>799</v>
      </c>
      <c r="D242" s="2" t="s">
        <v>13</v>
      </c>
      <c r="E242" s="2" t="s">
        <v>14</v>
      </c>
      <c r="F242" s="2" t="s">
        <v>15</v>
      </c>
      <c r="G242" s="2" t="s">
        <v>404</v>
      </c>
      <c r="H242" s="2" t="s">
        <v>72</v>
      </c>
      <c r="I242" s="3" t="str">
        <f>IFERROR(__xludf.DUMMYFUNCTION("GOOGLETRANSLATE(C242,""fr"",""en"")"),"The price is completely correct
I hope to be 100% satisfied in the duration of the contract and not be disappointed. Hoping that the prices do not increase each year")</f>
        <v>The price is completely correct
I hope to be 100% satisfied in the duration of the contract and not be disappointed. Hoping that the prices do not increase each year</v>
      </c>
    </row>
    <row r="243" ht="15.75" customHeight="1">
      <c r="A243" s="2">
        <v>4.0</v>
      </c>
      <c r="B243" s="2" t="s">
        <v>800</v>
      </c>
      <c r="C243" s="2" t="s">
        <v>801</v>
      </c>
      <c r="D243" s="2" t="s">
        <v>20</v>
      </c>
      <c r="E243" s="2" t="s">
        <v>14</v>
      </c>
      <c r="F243" s="2" t="s">
        <v>15</v>
      </c>
      <c r="G243" s="2" t="s">
        <v>441</v>
      </c>
      <c r="H243" s="2" t="s">
        <v>17</v>
      </c>
      <c r="I243" s="3" t="str">
        <f>IFERROR(__xludf.DUMMYFUNCTION("GOOGLETRANSLATE(C243,""fr"",""en"")"),"I did not have a claim .... if I have one, I can judge. For the moment the interest is financial. A differential is to find your email address to send you a letter.")</f>
        <v>I did not have a claim .... if I have one, I can judge. For the moment the interest is financial. A differential is to find your email address to send you a letter.</v>
      </c>
    </row>
    <row r="244" ht="15.75" customHeight="1">
      <c r="A244" s="2">
        <v>5.0</v>
      </c>
      <c r="B244" s="2" t="s">
        <v>802</v>
      </c>
      <c r="C244" s="2" t="s">
        <v>803</v>
      </c>
      <c r="D244" s="2" t="s">
        <v>13</v>
      </c>
      <c r="E244" s="2" t="s">
        <v>14</v>
      </c>
      <c r="F244" s="2" t="s">
        <v>15</v>
      </c>
      <c r="G244" s="2" t="s">
        <v>804</v>
      </c>
      <c r="H244" s="2" t="s">
        <v>187</v>
      </c>
      <c r="I244" s="3" t="str">
        <f>IFERROR(__xludf.DUMMYFUNCTION("GOOGLETRANSLATE(C244,""fr"",""en"")"),"After visiting the site to have the information that interested me, my registration was made by whole, without problem for the sending of documents (scanned) and to make the (electronic) signature. Very good assistance by phone if necessary (details of ex"&amp;"planation of guarantees, web interface, etc.).
Very satisfied with this first contact for my car insurance.")</f>
        <v>After visiting the site to have the information that interested me, my registration was made by whole, without problem for the sending of documents (scanned) and to make the (electronic) signature. Very good assistance by phone if necessary (details of explanation of guarantees, web interface, etc.).
Very satisfied with this first contact for my car insurance.</v>
      </c>
    </row>
    <row r="245" ht="15.75" customHeight="1">
      <c r="A245" s="2">
        <v>5.0</v>
      </c>
      <c r="B245" s="2" t="s">
        <v>805</v>
      </c>
      <c r="C245" s="2" t="s">
        <v>806</v>
      </c>
      <c r="D245" s="2" t="s">
        <v>621</v>
      </c>
      <c r="E245" s="2" t="s">
        <v>329</v>
      </c>
      <c r="F245" s="2" t="s">
        <v>15</v>
      </c>
      <c r="G245" s="2" t="s">
        <v>435</v>
      </c>
      <c r="H245" s="2" t="s">
        <v>133</v>
      </c>
      <c r="I245" s="3" t="str">
        <f>IFERROR(__xludf.DUMMYFUNCTION("GOOGLETRANSLATE(C245,""fr"",""en"")"),"I read a lot of negative opinion on this insurance and feel forced to provide the testimony of my experience to moderate these words which seem unfair. I have a privilege contract for 10 years. The vet diagnosed a serious disease with my almost 11 year ol"&amp;"d dog 3 months ago. He must take extremely expensive treatment for life and there, panic. We often hear that insurers give you an umbrella when the weather is nice to take it back when it rains. Insurance covers 80% of its treatment and I do not encounter"&amp;" any difficulty in reimbursements. In addition, the credit card supplied avoids moving the costs and I am reimbursed before the levy on my account. The contract is respected and the advisers I had on the phone were all very pros and very kind or even empa"&amp;"thetic. Convinced by the seriousness of the company, I have just insured my new dog with them.")</f>
        <v>I read a lot of negative opinion on this insurance and feel forced to provide the testimony of my experience to moderate these words which seem unfair. I have a privilege contract for 10 years. The vet diagnosed a serious disease with my almost 11 year old dog 3 months ago. He must take extremely expensive treatment for life and there, panic. We often hear that insurers give you an umbrella when the weather is nice to take it back when it rains. Insurance covers 80% of its treatment and I do not encounter any difficulty in reimbursements. In addition, the credit card supplied avoids moving the costs and I am reimbursed before the levy on my account. The contract is respected and the advisers I had on the phone were all very pros and very kind or even empathetic. Convinced by the seriousness of the company, I have just insured my new dog with them.</v>
      </c>
    </row>
    <row r="246" ht="15.75" customHeight="1">
      <c r="A246" s="2">
        <v>3.0</v>
      </c>
      <c r="B246" s="2" t="s">
        <v>807</v>
      </c>
      <c r="C246" s="2" t="s">
        <v>808</v>
      </c>
      <c r="D246" s="2" t="s">
        <v>13</v>
      </c>
      <c r="E246" s="2" t="s">
        <v>14</v>
      </c>
      <c r="F246" s="2" t="s">
        <v>15</v>
      </c>
      <c r="G246" s="2" t="s">
        <v>809</v>
      </c>
      <c r="H246" s="2" t="s">
        <v>58</v>
      </c>
      <c r="I246" s="3" t="str">
        <f>IFERROR(__xludf.DUMMYFUNCTION("GOOGLETRANSLATE(C246,""fr"",""en"")"),"I am satisfied in general the price seems a little high, but the time of the processing of file and the speed of the contract catches up with everything and it is good")</f>
        <v>I am satisfied in general the price seems a little high, but the time of the processing of file and the speed of the contract catches up with everything and it is good</v>
      </c>
    </row>
    <row r="247" ht="15.75" customHeight="1">
      <c r="A247" s="2">
        <v>2.0</v>
      </c>
      <c r="B247" s="2" t="s">
        <v>810</v>
      </c>
      <c r="C247" s="2" t="s">
        <v>811</v>
      </c>
      <c r="D247" s="2" t="s">
        <v>147</v>
      </c>
      <c r="E247" s="2" t="s">
        <v>31</v>
      </c>
      <c r="F247" s="2" t="s">
        <v>15</v>
      </c>
      <c r="G247" s="2" t="s">
        <v>812</v>
      </c>
      <c r="H247" s="2" t="s">
        <v>58</v>
      </c>
      <c r="I247" s="3" t="str">
        <f>IFERROR(__xludf.DUMMYFUNCTION("GOOGLETRANSLATE(C247,""fr"",""en"")"),"A member with my husband since 1975, the prices of this mutual have exploded (€ 320/month) and not always up to the reimbursements. Very moderately satisfied in view of the prices charged")</f>
        <v>A member with my husband since 1975, the prices of this mutual have exploded (€ 320/month) and not always up to the reimbursements. Very moderately satisfied in view of the prices charged</v>
      </c>
    </row>
    <row r="248" ht="15.75" customHeight="1">
      <c r="A248" s="2">
        <v>1.0</v>
      </c>
      <c r="B248" s="2" t="s">
        <v>813</v>
      </c>
      <c r="C248" s="2" t="s">
        <v>814</v>
      </c>
      <c r="D248" s="2" t="s">
        <v>61</v>
      </c>
      <c r="E248" s="2" t="s">
        <v>14</v>
      </c>
      <c r="F248" s="2" t="s">
        <v>15</v>
      </c>
      <c r="G248" s="2" t="s">
        <v>87</v>
      </c>
      <c r="H248" s="2" t="s">
        <v>87</v>
      </c>
      <c r="I248" s="3" t="str">
        <f>IFERROR(__xludf.DUMMYFUNCTION("GOOGLETRANSLATE(C248,""fr"",""en"")"),"They are only beautiful speakers !!! The life bonus does not exist !! It is the bluff because several customers were thrown from the maaf because they had had 2 claims (even small !! and then the maaf dare to die close to its customers !! Personally I go "&amp;"next month I take the two cars and the apartment ! qd in customer service let's not speak even! Anyway .. the maaf it is only the wind of beautiful words but not acts !!")</f>
        <v>They are only beautiful speakers !!! The life bonus does not exist !! It is the bluff because several customers were thrown from the maaf because they had had 2 claims (even small !! and then the maaf dare to die close to its customers !! Personally I go next month I take the two cars and the apartment ! qd in customer service let's not speak even! Anyway .. the maaf it is only the wind of beautiful words but not acts !!</v>
      </c>
    </row>
    <row r="249" ht="15.75" customHeight="1">
      <c r="A249" s="2">
        <v>1.0</v>
      </c>
      <c r="B249" s="2" t="s">
        <v>815</v>
      </c>
      <c r="C249" s="2" t="s">
        <v>816</v>
      </c>
      <c r="D249" s="2" t="s">
        <v>106</v>
      </c>
      <c r="E249" s="2" t="s">
        <v>107</v>
      </c>
      <c r="F249" s="2" t="s">
        <v>15</v>
      </c>
      <c r="G249" s="2" t="s">
        <v>817</v>
      </c>
      <c r="H249" s="2" t="s">
        <v>87</v>
      </c>
      <c r="I249" s="3" t="str">
        <f>IFERROR(__xludf.DUMMYFUNCTION("GOOGLETRANSLATE(C249,""fr"",""en"")"),"My father had subscribed to dependence insurance for his old days he contributed for more than twenty years when he became dependent we contacted AG2R in order to recover his due this became a fight I even suffered threats by phone because I 'I insisted I"&amp;" never dropped because my father was in his right but what battle imagines that it happens to a couple of elderly people who will never have the strength and the means to fight it would be beneficial to Agr2R")</f>
        <v>My father had subscribed to dependence insurance for his old days he contributed for more than twenty years when he became dependent we contacted AG2R in order to recover his due this became a fight I even suffered threats by phone because I 'I insisted I never dropped because my father was in his right but what battle imagines that it happens to a couple of elderly people who will never have the strength and the means to fight it would be beneficial to Agr2R</v>
      </c>
    </row>
    <row r="250" ht="15.75" customHeight="1">
      <c r="A250" s="2">
        <v>5.0</v>
      </c>
      <c r="B250" s="2" t="s">
        <v>818</v>
      </c>
      <c r="C250" s="2" t="s">
        <v>819</v>
      </c>
      <c r="D250" s="2" t="s">
        <v>20</v>
      </c>
      <c r="E250" s="2" t="s">
        <v>14</v>
      </c>
      <c r="F250" s="2" t="s">
        <v>15</v>
      </c>
      <c r="G250" s="2" t="s">
        <v>344</v>
      </c>
      <c r="H250" s="2" t="s">
        <v>133</v>
      </c>
      <c r="I250" s="3" t="str">
        <f>IFERROR(__xludf.DUMMYFUNCTION("GOOGLETRANSLATE(C250,""fr"",""en"")"),"Very satisfied with prices and direct insurance service. Super insurance, I really recommend. Always on top when you have a problem or a breakdown.")</f>
        <v>Very satisfied with prices and direct insurance service. Super insurance, I really recommend. Always on top when you have a problem or a breakdown.</v>
      </c>
    </row>
    <row r="251" ht="15.75" customHeight="1">
      <c r="A251" s="2">
        <v>5.0</v>
      </c>
      <c r="B251" s="2" t="s">
        <v>820</v>
      </c>
      <c r="C251" s="2" t="s">
        <v>821</v>
      </c>
      <c r="D251" s="2" t="s">
        <v>233</v>
      </c>
      <c r="E251" s="2" t="s">
        <v>14</v>
      </c>
      <c r="F251" s="2" t="s">
        <v>15</v>
      </c>
      <c r="G251" s="2" t="s">
        <v>608</v>
      </c>
      <c r="H251" s="2" t="s">
        <v>27</v>
      </c>
      <c r="I251" s="3" t="str">
        <f>IFERROR(__xludf.DUMMYFUNCTION("GOOGLETRANSLATE(C251,""fr"",""en"")"),"I am satisfied with the service which is fast and safe, moreover I have always been well received on the phone and my declared claims were very well managed.")</f>
        <v>I am satisfied with the service which is fast and safe, moreover I have always been well received on the phone and my declared claims were very well managed.</v>
      </c>
    </row>
    <row r="252" ht="15.75" customHeight="1">
      <c r="A252" s="2">
        <v>2.0</v>
      </c>
      <c r="B252" s="2" t="s">
        <v>822</v>
      </c>
      <c r="C252" s="2" t="s">
        <v>823</v>
      </c>
      <c r="D252" s="2" t="s">
        <v>20</v>
      </c>
      <c r="E252" s="2" t="s">
        <v>14</v>
      </c>
      <c r="F252" s="2" t="s">
        <v>15</v>
      </c>
      <c r="G252" s="2" t="s">
        <v>824</v>
      </c>
      <c r="H252" s="2" t="s">
        <v>27</v>
      </c>
      <c r="I252" s="3" t="str">
        <f>IFERROR(__xludf.DUMMYFUNCTION("GOOGLETRANSLATE(C252,""fr"",""en"")"),"I am satisfied with the speed of care for my car insurance, and the site was well explained, and the prices are very reasonable")</f>
        <v>I am satisfied with the speed of care for my car insurance, and the site was well explained, and the prices are very reasonable</v>
      </c>
    </row>
    <row r="253" ht="15.75" customHeight="1">
      <c r="A253" s="2">
        <v>4.0</v>
      </c>
      <c r="B253" s="2" t="s">
        <v>825</v>
      </c>
      <c r="C253" s="2" t="s">
        <v>826</v>
      </c>
      <c r="D253" s="2" t="s">
        <v>13</v>
      </c>
      <c r="E253" s="2" t="s">
        <v>14</v>
      </c>
      <c r="F253" s="2" t="s">
        <v>15</v>
      </c>
      <c r="G253" s="2" t="s">
        <v>827</v>
      </c>
      <c r="H253" s="2" t="s">
        <v>27</v>
      </c>
      <c r="I253" s="3" t="str">
        <f>IFERROR(__xludf.DUMMYFUNCTION("GOOGLETRANSLATE(C253,""fr"",""en"")"),"Very friendly and very good and serious explanations and listening to your call I advise my close to calling you to have quotes from you")</f>
        <v>Very friendly and very good and serious explanations and listening to your call I advise my close to calling you to have quotes from you</v>
      </c>
    </row>
    <row r="254" ht="15.75" customHeight="1">
      <c r="A254" s="2">
        <v>1.0</v>
      </c>
      <c r="B254" s="2" t="s">
        <v>828</v>
      </c>
      <c r="C254" s="2" t="s">
        <v>829</v>
      </c>
      <c r="D254" s="2" t="s">
        <v>513</v>
      </c>
      <c r="E254" s="2" t="s">
        <v>14</v>
      </c>
      <c r="F254" s="2" t="s">
        <v>15</v>
      </c>
      <c r="G254" s="2" t="s">
        <v>830</v>
      </c>
      <c r="H254" s="2" t="s">
        <v>535</v>
      </c>
      <c r="I254" s="3" t="str">
        <f>IFERROR(__xludf.DUMMYFUNCTION("GOOGLETRANSLATE(C254,""fr"",""en"")"),"Availability Pacifica advisor No impossible to join them apart from 1 sinister !!
Price increased by the years a lot while if you are a new customer ss to be at Crédit Agricole or nothing it is cheaper !! While for ns it is 20 and 5 % reduction look for "&amp;"the error .. for response well it is go elsewhere !!!")</f>
        <v>Availability Pacifica advisor No impossible to join them apart from 1 sinister !!
Price increased by the years a lot while if you are a new customer ss to be at Crédit Agricole or nothing it is cheaper !! While for ns it is 20 and 5 % reduction look for the error .. for response well it is go elsewhere !!!</v>
      </c>
    </row>
    <row r="255" ht="15.75" customHeight="1">
      <c r="A255" s="2">
        <v>4.0</v>
      </c>
      <c r="B255" s="2" t="s">
        <v>831</v>
      </c>
      <c r="C255" s="2" t="s">
        <v>832</v>
      </c>
      <c r="D255" s="2" t="s">
        <v>20</v>
      </c>
      <c r="E255" s="2" t="s">
        <v>14</v>
      </c>
      <c r="F255" s="2" t="s">
        <v>15</v>
      </c>
      <c r="G255" s="2" t="s">
        <v>833</v>
      </c>
      <c r="H255" s="2" t="s">
        <v>72</v>
      </c>
      <c r="I255" s="3" t="str">
        <f>IFERROR(__xludf.DUMMYFUNCTION("GOOGLETRANSLATE(C255,""fr"",""en"")"),"I am very satisfied with customer service, responsive and very friendly. However, I find that the formulas are not suitable enough for students, in fact, I clearly do not have € 12,000 in furniture to insure ...")</f>
        <v>I am very satisfied with customer service, responsive and very friendly. However, I find that the formulas are not suitable enough for students, in fact, I clearly do not have € 12,000 in furniture to insure ...</v>
      </c>
    </row>
    <row r="256" ht="15.75" customHeight="1">
      <c r="A256" s="2">
        <v>1.0</v>
      </c>
      <c r="B256" s="2" t="s">
        <v>834</v>
      </c>
      <c r="C256" s="2" t="s">
        <v>835</v>
      </c>
      <c r="D256" s="2" t="s">
        <v>621</v>
      </c>
      <c r="E256" s="2" t="s">
        <v>91</v>
      </c>
      <c r="F256" s="2" t="s">
        <v>15</v>
      </c>
      <c r="G256" s="2" t="s">
        <v>309</v>
      </c>
      <c r="H256" s="2" t="s">
        <v>309</v>
      </c>
      <c r="I256" s="3" t="str">
        <f>IFERROR(__xludf.DUMMYFUNCTION("GOOGLETRANSLATE(C256,""fr"",""en"")"),"This insurance uses incompetent and condescending experts. Litigation with our owners for 2 claims damage of water and electricity who do not want to do the work corresponding to the damage which is not our fact. We asked the insurance to involve experts:"&amp;" a plumber came and made a good flight report ... but the electricity expert ??? No observation, no report in our possession, on the other hand, he allowed himself to contact the agency and the owners to tell them that there were just sons who exceeded an"&amp;"d that we had to arrange this!? This joke, urban planning an ARS service on the accommodation spent a week later, our accommodation is considered ""indecent"", the electrical installation must be fully reviewed. A second expert comes to make an inventory "&amp;"in the presence of Owners and agree with them until it is told that a report was written by the ARS and that the ALS will be deleted in view of the condition of the apartment. They did not want to initiate procedures via legal protection. Result we took a"&amp;" lawyer. Incompetent, do not know the laws and do not help us at all when we pay a service
to flee!!!!!")</f>
        <v>This insurance uses incompetent and condescending experts. Litigation with our owners for 2 claims damage of water and electricity who do not want to do the work corresponding to the damage which is not our fact. We asked the insurance to involve experts: a plumber came and made a good flight report ... but the electricity expert ??? No observation, no report in our possession, on the other hand, he allowed himself to contact the agency and the owners to tell them that there were just sons who exceeded and that we had to arrange this!? This joke, urban planning an ARS service on the accommodation spent a week later, our accommodation is considered "indecent", the electrical installation must be fully reviewed. A second expert comes to make an inventory in the presence of Owners and agree with them until it is told that a report was written by the ARS and that the ALS will be deleted in view of the condition of the apartment. They did not want to initiate procedures via legal protection. Result we took a lawyer. Incompetent, do not know the laws and do not help us at all when we pay a service
to flee!!!!!</v>
      </c>
    </row>
    <row r="257" ht="15.75" customHeight="1">
      <c r="A257" s="2">
        <v>4.0</v>
      </c>
      <c r="B257" s="2" t="s">
        <v>836</v>
      </c>
      <c r="C257" s="2" t="s">
        <v>837</v>
      </c>
      <c r="D257" s="2" t="s">
        <v>20</v>
      </c>
      <c r="E257" s="2" t="s">
        <v>14</v>
      </c>
      <c r="F257" s="2" t="s">
        <v>15</v>
      </c>
      <c r="G257" s="2" t="s">
        <v>838</v>
      </c>
      <c r="H257" s="2" t="s">
        <v>27</v>
      </c>
      <c r="I257" s="3" t="str">
        <f>IFERROR(__xludf.DUMMYFUNCTION("GOOGLETRANSLATE(C257,""fr"",""en"")"),"Fast and simple to choose and take out insurance
Competitive rates.
I'm waiting to see in time if the reputation is up to my expectations")</f>
        <v>Fast and simple to choose and take out insurance
Competitive rates.
I'm waiting to see in time if the reputation is up to my expectations</v>
      </c>
    </row>
    <row r="258" ht="15.75" customHeight="1">
      <c r="A258" s="2">
        <v>1.0</v>
      </c>
      <c r="B258" s="2" t="s">
        <v>839</v>
      </c>
      <c r="C258" s="2" t="s">
        <v>840</v>
      </c>
      <c r="D258" s="2" t="s">
        <v>20</v>
      </c>
      <c r="E258" s="2" t="s">
        <v>14</v>
      </c>
      <c r="F258" s="2" t="s">
        <v>15</v>
      </c>
      <c r="G258" s="2" t="s">
        <v>841</v>
      </c>
      <c r="H258" s="2" t="s">
        <v>172</v>
      </c>
      <c r="I258" s="3" t="str">
        <f>IFERROR(__xludf.DUMMYFUNCTION("GOOGLETRANSLATE(C258,""fr"",""en"")"),"Too high price. Half price for a newcomer while I have been a customer for several years at home with several contracts. Despite my various telephone contacts, no commercial gestures. Too bad you don't have an effort to keep your loyal customers. So I ter"&amp;"minate my contract.")</f>
        <v>Too high price. Half price for a newcomer while I have been a customer for several years at home with several contracts. Despite my various telephone contacts, no commercial gestures. Too bad you don't have an effort to keep your loyal customers. So I terminate my contract.</v>
      </c>
    </row>
    <row r="259" ht="15.75" customHeight="1">
      <c r="A259" s="2">
        <v>5.0</v>
      </c>
      <c r="B259" s="2" t="s">
        <v>842</v>
      </c>
      <c r="C259" s="2" t="s">
        <v>843</v>
      </c>
      <c r="D259" s="2" t="s">
        <v>20</v>
      </c>
      <c r="E259" s="2" t="s">
        <v>14</v>
      </c>
      <c r="F259" s="2" t="s">
        <v>15</v>
      </c>
      <c r="G259" s="2" t="s">
        <v>812</v>
      </c>
      <c r="H259" s="2" t="s">
        <v>58</v>
      </c>
      <c r="I259" s="3" t="str">
        <f>IFERROR(__xludf.DUMMYFUNCTION("GOOGLETRANSLATE(C259,""fr"",""en"")"),"Satisfied, the prices suit me ................. The subscription to the services is simple and intuitive. The offers are interesting ..............")</f>
        <v>Satisfied, the prices suit me ................. The subscription to the services is simple and intuitive. The offers are interesting ..............</v>
      </c>
    </row>
    <row r="260" ht="15.75" customHeight="1">
      <c r="A260" s="2">
        <v>1.0</v>
      </c>
      <c r="B260" s="2" t="s">
        <v>844</v>
      </c>
      <c r="C260" s="2" t="s">
        <v>845</v>
      </c>
      <c r="D260" s="2" t="s">
        <v>20</v>
      </c>
      <c r="E260" s="2" t="s">
        <v>14</v>
      </c>
      <c r="F260" s="2" t="s">
        <v>15</v>
      </c>
      <c r="G260" s="2" t="s">
        <v>846</v>
      </c>
      <c r="H260" s="2" t="s">
        <v>17</v>
      </c>
      <c r="I260" s="3" t="str">
        <f>IFERROR(__xludf.DUMMYFUNCTION("GOOGLETRANSLATE(C260,""fr"",""en"")"),"I am not at all satisfied, I was not told about a 50 km deductible for assistance and there I am forced to pay the assistance costs when I subscribed to a contract for any risk")</f>
        <v>I am not at all satisfied, I was not told about a 50 km deductible for assistance and there I am forced to pay the assistance costs when I subscribed to a contract for any risk</v>
      </c>
    </row>
    <row r="261" ht="15.75" customHeight="1">
      <c r="A261" s="2">
        <v>3.0</v>
      </c>
      <c r="B261" s="2" t="s">
        <v>847</v>
      </c>
      <c r="C261" s="2" t="s">
        <v>848</v>
      </c>
      <c r="D261" s="2" t="s">
        <v>20</v>
      </c>
      <c r="E261" s="2" t="s">
        <v>14</v>
      </c>
      <c r="F261" s="2" t="s">
        <v>15</v>
      </c>
      <c r="G261" s="2" t="s">
        <v>277</v>
      </c>
      <c r="H261" s="2" t="s">
        <v>58</v>
      </c>
      <c r="I261" s="3" t="str">
        <f>IFERROR(__xludf.DUMMYFUNCTION("GOOGLETRANSLATE(C261,""fr"",""en"")"),"I am satisfied with the service as a young driver I knew how to find the contract that suited me most at a very affordable price is very effective telephone assistance very attentive")</f>
        <v>I am satisfied with the service as a young driver I knew how to find the contract that suited me most at a very affordable price is very effective telephone assistance very attentive</v>
      </c>
    </row>
    <row r="262" ht="15.75" customHeight="1">
      <c r="A262" s="2">
        <v>3.0</v>
      </c>
      <c r="B262" s="2" t="s">
        <v>849</v>
      </c>
      <c r="C262" s="2" t="s">
        <v>850</v>
      </c>
      <c r="D262" s="2" t="s">
        <v>502</v>
      </c>
      <c r="E262" s="2" t="s">
        <v>25</v>
      </c>
      <c r="F262" s="2" t="s">
        <v>15</v>
      </c>
      <c r="G262" s="2" t="s">
        <v>851</v>
      </c>
      <c r="H262" s="2" t="s">
        <v>535</v>
      </c>
      <c r="I262" s="3" t="str">
        <f>IFERROR(__xludf.DUMMYFUNCTION("GOOGLETRANSLATE(C262,""fr"",""en"")"),"I receive my 2021 maturity notice with an increase in contributions of 17.50% (basic contributions € 514.33 in 2020 and € 604.33 in 2021) for my BMW 1200 motorcycle with 50% bonus and that I No accident has been wrong for several years and like everyone w"&amp;"ith the covid I have been riding little for 1 year.
I am very very angry +++ I called the reclamation service and it was answered that this increase was justified !!!! Given the inflation and the evolution of serious claims !!!! I will study other compan"&amp;"ies to leave very quickly from there! Very disappointed ++++ !!!!")</f>
        <v>I receive my 2021 maturity notice with an increase in contributions of 17.50% (basic contributions € 514.33 in 2020 and € 604.33 in 2021) for my BMW 1200 motorcycle with 50% bonus and that I No accident has been wrong for several years and like everyone with the covid I have been riding little for 1 year.
I am very very angry +++ I called the reclamation service and it was answered that this increase was justified !!!! Given the inflation and the evolution of serious claims !!!! I will study other companies to leave very quickly from there! Very disappointed ++++ !!!!</v>
      </c>
    </row>
    <row r="263" ht="15.75" customHeight="1">
      <c r="A263" s="2">
        <v>4.0</v>
      </c>
      <c r="B263" s="2" t="s">
        <v>852</v>
      </c>
      <c r="C263" s="2" t="s">
        <v>853</v>
      </c>
      <c r="D263" s="2" t="s">
        <v>13</v>
      </c>
      <c r="E263" s="2" t="s">
        <v>14</v>
      </c>
      <c r="F263" s="2" t="s">
        <v>15</v>
      </c>
      <c r="G263" s="2" t="s">
        <v>258</v>
      </c>
      <c r="H263" s="2" t="s">
        <v>172</v>
      </c>
      <c r="I263" s="3" t="str">
        <f>IFERROR(__xludf.DUMMYFUNCTION("GOOGLETRANSLATE(C263,""fr"",""en"")"),"I am very satisfied, the very professional welcome, the unbeatable price, very good guarantees, the insurance options and very well personalized.")</f>
        <v>I am very satisfied, the very professional welcome, the unbeatable price, very good guarantees, the insurance options and very well personalized.</v>
      </c>
    </row>
    <row r="264" ht="15.75" customHeight="1">
      <c r="A264" s="2">
        <v>1.0</v>
      </c>
      <c r="B264" s="2" t="s">
        <v>854</v>
      </c>
      <c r="C264" s="2" t="s">
        <v>855</v>
      </c>
      <c r="D264" s="2" t="s">
        <v>159</v>
      </c>
      <c r="E264" s="2" t="s">
        <v>14</v>
      </c>
      <c r="F264" s="2" t="s">
        <v>15</v>
      </c>
      <c r="G264" s="2" t="s">
        <v>535</v>
      </c>
      <c r="H264" s="2" t="s">
        <v>535</v>
      </c>
      <c r="I264" s="3" t="str">
        <f>IFERROR(__xludf.DUMMYFUNCTION("GOOGLETRANSLATE(C264,""fr"",""en"")"),"So far, it has taken more than 9 months to cancel car insurance after providing the transfer certificate dated May 2020. I had to call more than 20 times and each time they promise to resolve the situation, nothing is happening. They finally canceled it, "&amp;"but only from mid-August! ... Now, I have to call them again, and probably another 20 times to obtain this refund correctly. I spent about 7 hours trying to solve this problem ... absolutely useless and a loss of life !!! ... I understand that Covid has p"&amp;"osed problems for businesses, but it is completely unacceptable.")</f>
        <v>So far, it has taken more than 9 months to cancel car insurance after providing the transfer certificate dated May 2020. I had to call more than 20 times and each time they promise to resolve the situation, nothing is happening. They finally canceled it, but only from mid-August! ... Now, I have to call them again, and probably another 20 times to obtain this refund correctly. I spent about 7 hours trying to solve this problem ... absolutely useless and a loss of life !!! ... I understand that Covid has posed problems for businesses, but it is completely unacceptable.</v>
      </c>
    </row>
    <row r="265" ht="15.75" customHeight="1">
      <c r="A265" s="2">
        <v>1.0</v>
      </c>
      <c r="B265" s="2" t="s">
        <v>856</v>
      </c>
      <c r="C265" s="2" t="s">
        <v>857</v>
      </c>
      <c r="D265" s="2" t="s">
        <v>175</v>
      </c>
      <c r="E265" s="2" t="s">
        <v>107</v>
      </c>
      <c r="F265" s="2" t="s">
        <v>15</v>
      </c>
      <c r="G265" s="2" t="s">
        <v>858</v>
      </c>
      <c r="H265" s="2" t="s">
        <v>93</v>
      </c>
      <c r="I265" s="3" t="str">
        <f>IFERROR(__xludf.DUMMYFUNCTION("GOOGLETRANSLATE(C265,""fr"",""en"")"),"Intermeau offers local communities and as part of an answer to an order group, a wage maintenance whose plate is based on the choice of the agent on his treatment or treatment plus premiums.
I chose to also cover my premiums.
As in principle, the ma"&amp;"jority of premiums are proratized at the time of presence I understand that they are no longer paid by the community during long -term sick leave
So I contribute to my premiums for years for the coverage of a risk and when the risk occurs, the communit"&amp;"y removes premiums because I can no longer work and insurance is sure to cover risk because the community no longer pays bonuses.
Of course intermers compensate half of the premiums ""out of pureness of Ames but the principle is surprising.
What i"&amp;"s the insurance insurance for?")</f>
        <v>Intermeau offers local communities and as part of an answer to an order group, a wage maintenance whose plate is based on the choice of the agent on his treatment or treatment plus premiums.
I chose to also cover my premiums.
As in principle, the majority of premiums are proratized at the time of presence I understand that they are no longer paid by the community during long -term sick leave
So I contribute to my premiums for years for the coverage of a risk and when the risk occurs, the community removes premiums because I can no longer work and insurance is sure to cover risk because the community no longer pays bonuses.
Of course intermers compensate half of the premiums "out of pureness of Ames but the principle is surprising.
What is the insurance insurance for?</v>
      </c>
    </row>
    <row r="266" ht="15.75" customHeight="1">
      <c r="A266" s="2">
        <v>5.0</v>
      </c>
      <c r="B266" s="2" t="s">
        <v>859</v>
      </c>
      <c r="C266" s="2" t="s">
        <v>860</v>
      </c>
      <c r="D266" s="2" t="s">
        <v>43</v>
      </c>
      <c r="E266" s="2" t="s">
        <v>91</v>
      </c>
      <c r="F266" s="2" t="s">
        <v>15</v>
      </c>
      <c r="G266" s="2" t="s">
        <v>861</v>
      </c>
      <c r="H266" s="2" t="s">
        <v>149</v>
      </c>
      <c r="I266" s="3" t="str">
        <f>IFERROR(__xludf.DUMMYFUNCTION("GOOGLETRANSLATE(C266,""fr"",""en"")"),"My opinion is very good on the home guarantee which moreover they quickly intervene on the other hand their legal protection is to be deplored, a lawyer who worked for them my
To say that lawyers do not study their files, they made the minimum one point "&amp;"that's all.
So much so that I was left.")</f>
        <v>My opinion is very good on the home guarantee which moreover they quickly intervene on the other hand their legal protection is to be deplored, a lawyer who worked for them my
To say that lawyers do not study their files, they made the minimum one point that's all.
So much so that I was left.</v>
      </c>
    </row>
    <row r="267" ht="15.75" customHeight="1">
      <c r="A267" s="2">
        <v>1.0</v>
      </c>
      <c r="B267" s="2" t="s">
        <v>862</v>
      </c>
      <c r="C267" s="2" t="s">
        <v>863</v>
      </c>
      <c r="D267" s="2" t="s">
        <v>112</v>
      </c>
      <c r="E267" s="2" t="s">
        <v>14</v>
      </c>
      <c r="F267" s="2" t="s">
        <v>15</v>
      </c>
      <c r="G267" s="2" t="s">
        <v>864</v>
      </c>
      <c r="H267" s="2" t="s">
        <v>77</v>
      </c>
      <c r="I267" s="3" t="str">
        <f>IFERROR(__xludf.DUMMYFUNCTION("GOOGLETRANSLATE(C267,""fr"",""en"")"),"For a contract whose deadline is on February 1 and which is set by bank card, we try to take on my account from 12/29! As Active Insurance does not have my RIB, the levy returns unpaid!
And I receive a formal notice.
By phone I am confirmed that the sam"&amp;"ples are systematically presented 1 month before the deadline!?!
I let you draw the conclusions.")</f>
        <v>For a contract whose deadline is on February 1 and which is set by bank card, we try to take on my account from 12/29! As Active Insurance does not have my RIB, the levy returns unpaid!
And I receive a formal notice.
By phone I am confirmed that the samples are systematically presented 1 month before the deadline!?!
I let you draw the conclusions.</v>
      </c>
    </row>
    <row r="268" ht="15.75" customHeight="1">
      <c r="A268" s="2">
        <v>4.0</v>
      </c>
      <c r="B268" s="2" t="s">
        <v>865</v>
      </c>
      <c r="C268" s="2" t="s">
        <v>866</v>
      </c>
      <c r="D268" s="2" t="s">
        <v>20</v>
      </c>
      <c r="E268" s="2" t="s">
        <v>14</v>
      </c>
      <c r="F268" s="2" t="s">
        <v>15</v>
      </c>
      <c r="G268" s="2" t="s">
        <v>867</v>
      </c>
      <c r="H268" s="2" t="s">
        <v>72</v>
      </c>
      <c r="I268" s="3" t="str">
        <f>IFERROR(__xludf.DUMMYFUNCTION("GOOGLETRANSLATE(C268,""fr"",""en"")"),"I have just signed my contract, the price is attractive as well as the various guarantees offered for accommodation. The options concerning plumbing and hotel breakdown in the event of a claim are a plus")</f>
        <v>I have just signed my contract, the price is attractive as well as the various guarantees offered for accommodation. The options concerning plumbing and hotel breakdown in the event of a claim are a plus</v>
      </c>
    </row>
    <row r="269" ht="15.75" customHeight="1">
      <c r="A269" s="2">
        <v>2.0</v>
      </c>
      <c r="B269" s="2" t="s">
        <v>868</v>
      </c>
      <c r="C269" s="2" t="s">
        <v>869</v>
      </c>
      <c r="D269" s="2" t="s">
        <v>147</v>
      </c>
      <c r="E269" s="2" t="s">
        <v>31</v>
      </c>
      <c r="F269" s="2" t="s">
        <v>15</v>
      </c>
      <c r="G269" s="2" t="s">
        <v>214</v>
      </c>
      <c r="H269" s="2" t="s">
        <v>149</v>
      </c>
      <c r="I269" s="3" t="str">
        <f>IFERROR(__xludf.DUMMYFUNCTION("GOOGLETRANSLATE(C269,""fr"",""en"")"),"The price level is very high, especially if it is related to the level of coverage. It is not normal I never benefit from a full refund on the excess fees, on glasses or dental when I contribute to the maximum level of your formulas.")</f>
        <v>The price level is very high, especially if it is related to the level of coverage. It is not normal I never benefit from a full refund on the excess fees, on glasses or dental when I contribute to the maximum level of your formulas.</v>
      </c>
    </row>
    <row r="270" ht="15.75" customHeight="1">
      <c r="A270" s="2">
        <v>1.0</v>
      </c>
      <c r="B270" s="2" t="s">
        <v>870</v>
      </c>
      <c r="C270" s="2" t="s">
        <v>871</v>
      </c>
      <c r="D270" s="2" t="s">
        <v>106</v>
      </c>
      <c r="E270" s="2" t="s">
        <v>31</v>
      </c>
      <c r="F270" s="2" t="s">
        <v>15</v>
      </c>
      <c r="G270" s="2" t="s">
        <v>872</v>
      </c>
      <c r="H270" s="2" t="s">
        <v>395</v>
      </c>
      <c r="I270" s="3" t="str">
        <f>IFERROR(__xludf.DUMMYFUNCTION("GOOGLETRANSLATE(C270,""fr"",""en"")"),"After a maintenance site for three days, my optician sends the optical quote by email. This one is refused but without reason. For my part and my optician we contact the dedicated service, a super professional response (irony) worthy of the 4 years old: "&amp;"""It is not me who managed the file it is my colleague who is not today Hui and she did not put the motif. Remember Monday! "" At the last call: ""sorry for Madam but the site does not work I cannot tell you the reason!"" So I pay more than 90 euros per m"&amp;"onth this mutual imposed by my company where it is said that I have a reimbursement of more mounts that are refused and without reason ???? It's just crazy! More than 10 days that I am strolled .... and at the last call, not even a goodbye, the person han"&amp;"gs up on me because I simply told him that it is not normal not to be professional at this point.")</f>
        <v>After a maintenance site for three days, my optician sends the optical quote by email. This one is refused but without reason. For my part and my optician we contact the dedicated service, a super professional response (irony) worthy of the 4 years old: "It is not me who managed the file it is my colleague who is not today Hui and she did not put the motif. Remember Monday! " At the last call: "sorry for Madam but the site does not work I cannot tell you the reason!" So I pay more than 90 euros per month this mutual imposed by my company where it is said that I have a reimbursement of more mounts that are refused and without reason ???? It's just crazy! More than 10 days that I am strolled .... and at the last call, not even a goodbye, the person hangs up on me because I simply told him that it is not normal not to be professional at this point.</v>
      </c>
    </row>
    <row r="271" ht="15.75" customHeight="1">
      <c r="A271" s="2">
        <v>4.0</v>
      </c>
      <c r="B271" s="2" t="s">
        <v>873</v>
      </c>
      <c r="C271" s="2" t="s">
        <v>874</v>
      </c>
      <c r="D271" s="2" t="s">
        <v>233</v>
      </c>
      <c r="E271" s="2" t="s">
        <v>14</v>
      </c>
      <c r="F271" s="2" t="s">
        <v>15</v>
      </c>
      <c r="G271" s="2" t="s">
        <v>875</v>
      </c>
      <c r="H271" s="2" t="s">
        <v>27</v>
      </c>
      <c r="I271" s="3" t="str">
        <f>IFERROR(__xludf.DUMMYFUNCTION("GOOGLETRANSLATE(C271,""fr"",""en"")"),"Excellent responsiveness of GMF and cordiality of contacts.
Each time I receive very useful information for my daily life. I have been a customer for over 40 years and congratulate myself on this loyalty.")</f>
        <v>Excellent responsiveness of GMF and cordiality of contacts.
Each time I receive very useful information for my daily life. I have been a customer for over 40 years and congratulate myself on this loyalty.</v>
      </c>
    </row>
    <row r="272" ht="15.75" customHeight="1">
      <c r="A272" s="2">
        <v>1.0</v>
      </c>
      <c r="B272" s="2" t="s">
        <v>876</v>
      </c>
      <c r="C272" s="2" t="s">
        <v>877</v>
      </c>
      <c r="D272" s="2" t="s">
        <v>20</v>
      </c>
      <c r="E272" s="2" t="s">
        <v>14</v>
      </c>
      <c r="F272" s="2" t="s">
        <v>15</v>
      </c>
      <c r="G272" s="2" t="s">
        <v>564</v>
      </c>
      <c r="H272" s="2" t="s">
        <v>149</v>
      </c>
      <c r="I272" s="3" t="str">
        <f>IFERROR(__xludf.DUMMYFUNCTION("GOOGLETRANSLATE(C272,""fr"",""en"")"),"No reduction in the various confinements and customer service to review. Zero empathy following a file opening with insurance. I think I leave this insurance.")</f>
        <v>No reduction in the various confinements and customer service to review. Zero empathy following a file opening with insurance. I think I leave this insurance.</v>
      </c>
    </row>
    <row r="273" ht="15.75" customHeight="1">
      <c r="A273" s="2">
        <v>4.0</v>
      </c>
      <c r="B273" s="2" t="s">
        <v>878</v>
      </c>
      <c r="C273" s="2" t="s">
        <v>879</v>
      </c>
      <c r="D273" s="2" t="s">
        <v>190</v>
      </c>
      <c r="E273" s="2" t="s">
        <v>31</v>
      </c>
      <c r="F273" s="2" t="s">
        <v>15</v>
      </c>
      <c r="G273" s="2" t="s">
        <v>880</v>
      </c>
      <c r="H273" s="2" t="s">
        <v>125</v>
      </c>
      <c r="I273" s="3" t="str">
        <f>IFERROR(__xludf.DUMMYFUNCTION("GOOGLETRANSLATE(C273,""fr"",""en"")"),"Hello
I asked for information this morning in Santiane. I was informed by Aya
The one very well informed me and also the procedure to follow to connect directly to the site and see so or are my reimbursements.")</f>
        <v>Hello
I asked for information this morning in Santiane. I was informed by Aya
The one very well informed me and also the procedure to follow to connect directly to the site and see so or are my reimbursements.</v>
      </c>
    </row>
    <row r="274" ht="15.75" customHeight="1">
      <c r="A274" s="2">
        <v>5.0</v>
      </c>
      <c r="B274" s="2" t="s">
        <v>881</v>
      </c>
      <c r="C274" s="2" t="s">
        <v>882</v>
      </c>
      <c r="D274" s="2" t="s">
        <v>13</v>
      </c>
      <c r="E274" s="2" t="s">
        <v>14</v>
      </c>
      <c r="F274" s="2" t="s">
        <v>15</v>
      </c>
      <c r="G274" s="2" t="s">
        <v>883</v>
      </c>
      <c r="H274" s="2" t="s">
        <v>72</v>
      </c>
      <c r="I274" s="3" t="str">
        <f>IFERROR(__xludf.DUMMYFUNCTION("GOOGLETRANSLATE(C274,""fr"",""en"")"),"Very good insurance, I highly recommend it. Cheap and efficient customer service very kind, very courteous, pleasant and attentive. No complaints")</f>
        <v>Very good insurance, I highly recommend it. Cheap and efficient customer service very kind, very courteous, pleasant and attentive. No complaints</v>
      </c>
    </row>
    <row r="275" ht="15.75" customHeight="1">
      <c r="A275" s="2">
        <v>2.0</v>
      </c>
      <c r="B275" s="2" t="s">
        <v>884</v>
      </c>
      <c r="C275" s="2" t="s">
        <v>885</v>
      </c>
      <c r="D275" s="2" t="s">
        <v>280</v>
      </c>
      <c r="E275" s="2" t="s">
        <v>91</v>
      </c>
      <c r="F275" s="2" t="s">
        <v>15</v>
      </c>
      <c r="G275" s="2" t="s">
        <v>886</v>
      </c>
      <c r="H275" s="2" t="s">
        <v>504</v>
      </c>
      <c r="I275" s="3" t="str">
        <f>IFERROR(__xludf.DUMMYFUNCTION("GOOGLETRANSLATE(C275,""fr"",""en"")"),"A horror ... Before changing home insurance or car make sure that it is not matmut because because of them I paid double contributions for 3 months ... and you know what I replied """" """" """" With us l. Envormation of the termination was sent and recei"&amp;"ved in RAR .. in short it is not to resolve the.Problem and when you make a complaint we tell you """" ""We must study the file"" """" that is 10 unanswered days on their part ... What did not understand is that.")</f>
        <v>A horror ... Before changing home insurance or car make sure that it is not matmut because because of them I paid double contributions for 3 months ... and you know what I replied "" "" "" With us l. Envormation of the termination was sent and received in RAR .. in short it is not to resolve the.Problem and when you make a complaint we tell you "" "We must study the file" "" that is 10 unanswered days on their part ... What did not understand is that.</v>
      </c>
    </row>
    <row r="276" ht="15.75" customHeight="1">
      <c r="A276" s="2">
        <v>3.0</v>
      </c>
      <c r="B276" s="2" t="s">
        <v>887</v>
      </c>
      <c r="C276" s="2" t="s">
        <v>888</v>
      </c>
      <c r="D276" s="2" t="s">
        <v>147</v>
      </c>
      <c r="E276" s="2" t="s">
        <v>31</v>
      </c>
      <c r="F276" s="2" t="s">
        <v>15</v>
      </c>
      <c r="G276" s="2" t="s">
        <v>889</v>
      </c>
      <c r="H276" s="2" t="s">
        <v>309</v>
      </c>
      <c r="I276" s="3" t="str">
        <f>IFERROR(__xludf.DUMMYFUNCTION("GOOGLETRANSLATE(C276,""fr"",""en"")"),"I have never seen any reimbursement problems.
I think that the insurance remains expensive and that it should with regard to my trades, for example, offer the reimbursement of a deficiency day during sick leave at least 3 per year.
With each telephone c"&amp;"ontacts established, I had an answer to my questions with very professional interlocutors, attentive and more sympathetic.
Thank you
")</f>
        <v>I have never seen any reimbursement problems.
I think that the insurance remains expensive and that it should with regard to my trades, for example, offer the reimbursement of a deficiency day during sick leave at least 3 per year.
With each telephone contacts established, I had an answer to my questions with very professional interlocutors, attentive and more sympathetic.
Thank you
</v>
      </c>
    </row>
    <row r="277" ht="15.75" customHeight="1">
      <c r="A277" s="2">
        <v>1.0</v>
      </c>
      <c r="B277" s="2" t="s">
        <v>890</v>
      </c>
      <c r="C277" s="2" t="s">
        <v>891</v>
      </c>
      <c r="D277" s="2" t="s">
        <v>20</v>
      </c>
      <c r="E277" s="2" t="s">
        <v>91</v>
      </c>
      <c r="F277" s="2" t="s">
        <v>15</v>
      </c>
      <c r="G277" s="2" t="s">
        <v>892</v>
      </c>
      <c r="H277" s="2" t="s">
        <v>93</v>
      </c>
      <c r="I277" s="3" t="str">
        <f>IFERROR(__xludf.DUMMYFUNCTION("GOOGLETRANSLATE(C277,""fr"",""en"")"),"If I could I would put any Star. It is a shame this insurance. I have been burglaly for 10 months. I have changed the locks myself, the window door refuses to take charge of the reimbursement of flying goods and the costs incurred I still wait. Insurance "&amp;"does not want anything reimbursed for the moment not even an estimate of making. I regret the set of having taken this insurance to do some economies. In case of problems you will be delivered to yourself. And don't wait for repair .......")</f>
        <v>If I could I would put any Star. It is a shame this insurance. I have been burglaly for 10 months. I have changed the locks myself, the window door refuses to take charge of the reimbursement of flying goods and the costs incurred I still wait. Insurance does not want anything reimbursed for the moment not even an estimate of making. I regret the set of having taken this insurance to do some economies. In case of problems you will be delivered to yourself. And don't wait for repair .......</v>
      </c>
    </row>
    <row r="278" ht="15.75" customHeight="1">
      <c r="A278" s="2">
        <v>2.0</v>
      </c>
      <c r="B278" s="2" t="s">
        <v>893</v>
      </c>
      <c r="C278" s="2" t="s">
        <v>894</v>
      </c>
      <c r="D278" s="2" t="s">
        <v>20</v>
      </c>
      <c r="E278" s="2" t="s">
        <v>14</v>
      </c>
      <c r="F278" s="2" t="s">
        <v>15</v>
      </c>
      <c r="G278" s="2" t="s">
        <v>895</v>
      </c>
      <c r="H278" s="2" t="s">
        <v>68</v>
      </c>
      <c r="I278" s="3" t="str">
        <f>IFERROR(__xludf.DUMMYFUNCTION("GOOGLETRANSLATE(C278,""fr"",""en"")"),"Hello not to look at the attractive offers are not professionals of all it is better to go to an agency at least you have an interlocutor rather than people who repeat a text already written to flee. I don't even imagine in the event of sinister!")</f>
        <v>Hello not to look at the attractive offers are not professionals of all it is better to go to an agency at least you have an interlocutor rather than people who repeat a text already written to flee. I don't even imagine in the event of sinister!</v>
      </c>
    </row>
    <row r="279" ht="15.75" customHeight="1">
      <c r="A279" s="2">
        <v>5.0</v>
      </c>
      <c r="B279" s="2" t="s">
        <v>896</v>
      </c>
      <c r="C279" s="2" t="s">
        <v>897</v>
      </c>
      <c r="D279" s="2" t="s">
        <v>117</v>
      </c>
      <c r="E279" s="2" t="s">
        <v>25</v>
      </c>
      <c r="F279" s="2" t="s">
        <v>15</v>
      </c>
      <c r="G279" s="2" t="s">
        <v>898</v>
      </c>
      <c r="H279" s="2" t="s">
        <v>152</v>
      </c>
      <c r="I279" s="3" t="str">
        <f>IFERROR(__xludf.DUMMYFUNCTION("GOOGLETRANSLATE(C279,""fr"",""en"")"),"I was the victim of the theft of my motorcycle. Between the stress that I saw after the flight and the comments I read on the insurance in general and their attempts to evade compensation, I did not trust too much. Finally, on the contrary, after a month "&amp;"almost, Axa had compensated me. So overall I am very satisfied with this insurance. (You must always think of keeping the documents and invoices concerning the motorcycle)")</f>
        <v>I was the victim of the theft of my motorcycle. Between the stress that I saw after the flight and the comments I read on the insurance in general and their attempts to evade compensation, I did not trust too much. Finally, on the contrary, after a month almost, Axa had compensated me. So overall I am very satisfied with this insurance. (You must always think of keeping the documents and invoices concerning the motorcycle)</v>
      </c>
    </row>
    <row r="280" ht="15.75" customHeight="1">
      <c r="A280" s="2">
        <v>1.0</v>
      </c>
      <c r="B280" s="2" t="s">
        <v>899</v>
      </c>
      <c r="C280" s="2" t="s">
        <v>900</v>
      </c>
      <c r="D280" s="2" t="s">
        <v>901</v>
      </c>
      <c r="E280" s="2" t="s">
        <v>107</v>
      </c>
      <c r="F280" s="2" t="s">
        <v>15</v>
      </c>
      <c r="G280" s="2" t="s">
        <v>902</v>
      </c>
      <c r="H280" s="2" t="s">
        <v>72</v>
      </c>
      <c r="I280" s="3" t="str">
        <f>IFERROR(__xludf.DUMMYFUNCTION("GOOGLETRANSLATE(C280,""fr"",""en"")"),"My push has a suicide attempt. I had the covid he made me as sick than the covid do not want to compensate plays over time two months without compensation nothing to eat two dependent children. TO FLEE")</f>
        <v>My push has a suicide attempt. I had the covid he made me as sick than the covid do not want to compensate plays over time two months without compensation nothing to eat two dependent children. TO FLEE</v>
      </c>
    </row>
    <row r="281" ht="15.75" customHeight="1">
      <c r="A281" s="2">
        <v>1.0</v>
      </c>
      <c r="B281" s="2" t="s">
        <v>903</v>
      </c>
      <c r="C281" s="2" t="s">
        <v>904</v>
      </c>
      <c r="D281" s="2" t="s">
        <v>502</v>
      </c>
      <c r="E281" s="2" t="s">
        <v>25</v>
      </c>
      <c r="F281" s="2" t="s">
        <v>15</v>
      </c>
      <c r="G281" s="2" t="s">
        <v>905</v>
      </c>
      <c r="H281" s="2" t="s">
        <v>133</v>
      </c>
      <c r="I281" s="3" t="str">
        <f>IFERROR(__xludf.DUMMYFUNCTION("GOOGLETRANSLATE(C281,""fr"",""en"")"),"I have never seen as much cloud insurance as this one! It's serious ! It's been 4 months since I wait for my transfer of my motorcycle and always unanswered and the manager allows me to tell me ""it will soon be 5 months away by laughing""! It’s insulting"&amp;"! Insurance in fuiiiirr !! Do not provide your vehicles at home! For samples they are present but for reimbursements there is no one left! I especially do not recommend this insurance even to my worst enemy!")</f>
        <v>I have never seen as much cloud insurance as this one! It's serious ! It's been 4 months since I wait for my transfer of my motorcycle and always unanswered and the manager allows me to tell me "it will soon be 5 months away by laughing"! It’s insulting! Insurance in fuiiiirr !! Do not provide your vehicles at home! For samples they are present but for reimbursements there is no one left! I especially do not recommend this insurance even to my worst enemy!</v>
      </c>
    </row>
    <row r="282" ht="15.75" customHeight="1">
      <c r="A282" s="2">
        <v>2.0</v>
      </c>
      <c r="B282" s="2" t="s">
        <v>906</v>
      </c>
      <c r="C282" s="2" t="s">
        <v>907</v>
      </c>
      <c r="D282" s="2" t="s">
        <v>502</v>
      </c>
      <c r="E282" s="2" t="s">
        <v>25</v>
      </c>
      <c r="F282" s="2" t="s">
        <v>15</v>
      </c>
      <c r="G282" s="2" t="s">
        <v>204</v>
      </c>
      <c r="H282" s="2" t="s">
        <v>149</v>
      </c>
      <c r="I282" s="3" t="str">
        <f>IFERROR(__xludf.DUMMYFUNCTION("GOOGLETRANSLATE(C282,""fr"",""en"")"),"Agency employees are super nice but the headquarters are unreachable ..... permanent answering machine!
The personal space does not allow the legal to be attached. Three times 40 minutes in 3 days ...
Ghost mutual and more and more expensive !!
Do not "&amp;"hesitate to operate the competition, there are good surprises.")</f>
        <v>Agency employees are super nice but the headquarters are unreachable ..... permanent answering machine!
The personal space does not allow the legal to be attached. Three times 40 minutes in 3 days ...
Ghost mutual and more and more expensive !!
Do not hesitate to operate the competition, there are good surprises.</v>
      </c>
    </row>
    <row r="283" ht="15.75" customHeight="1">
      <c r="A283" s="2">
        <v>1.0</v>
      </c>
      <c r="B283" s="2" t="s">
        <v>908</v>
      </c>
      <c r="C283" s="2" t="s">
        <v>909</v>
      </c>
      <c r="D283" s="2" t="s">
        <v>117</v>
      </c>
      <c r="E283" s="2" t="s">
        <v>91</v>
      </c>
      <c r="F283" s="2" t="s">
        <v>15</v>
      </c>
      <c r="G283" s="2" t="s">
        <v>910</v>
      </c>
      <c r="H283" s="2" t="s">
        <v>911</v>
      </c>
      <c r="I283" s="3" t="str">
        <f>IFERROR(__xludf.DUMMYFUNCTION("GOOGLETRANSLATE(C283,""fr"",""en"")"),"THE WORST. AXA is a technocratic structure where no human is capable of taking their phone to explain that this year is x 2.5 times more expensive !!!")</f>
        <v>THE WORST. AXA is a technocratic structure where no human is capable of taking their phone to explain that this year is x 2.5 times more expensive !!!</v>
      </c>
    </row>
    <row r="284" ht="15.75" customHeight="1">
      <c r="A284" s="2">
        <v>1.0</v>
      </c>
      <c r="B284" s="2" t="s">
        <v>912</v>
      </c>
      <c r="C284" s="2" t="s">
        <v>913</v>
      </c>
      <c r="D284" s="2" t="s">
        <v>914</v>
      </c>
      <c r="E284" s="2" t="s">
        <v>97</v>
      </c>
      <c r="F284" s="2" t="s">
        <v>15</v>
      </c>
      <c r="G284" s="2" t="s">
        <v>915</v>
      </c>
      <c r="H284" s="2" t="s">
        <v>27</v>
      </c>
      <c r="I284" s="3" t="str">
        <f>IFERROR(__xludf.DUMMYFUNCTION("GOOGLETRANSLATE(C284,""fr"",""en"")"),"My father died from COVID-19 in April 2021. Since then despite all the documents they have asked for (mind-blowing stuff as a certificate to be buffered by social security to indicate disease stops for 10 years while he was Retraite, it is written on his "&amp;"file), reports of hospitalizations, letters and questionnaires for his attending physician ... I go ... their contract requires a medical questionnaire before subscription, everything is indicated and signed by a doctor. They accept the subscription follo"&amp;"wing this questionnaire. Then you die from this disease, the COVVI-19 and they are looking for the little beast to escape their obligation. It's a shame !!! 4 months now and they continue to ask for documents while the cause of death is the COVVI-19 !!! A"&amp;" word of advice: to flee before subscription, to denounce at UFC Que Choisir and take a lawyer.")</f>
        <v>My father died from COVID-19 in April 2021. Since then despite all the documents they have asked for (mind-blowing stuff as a certificate to be buffered by social security to indicate disease stops for 10 years while he was Retraite, it is written on his file), reports of hospitalizations, letters and questionnaires for his attending physician ... I go ... their contract requires a medical questionnaire before subscription, everything is indicated and signed by a doctor. They accept the subscription following this questionnaire. Then you die from this disease, the COVVI-19 and they are looking for the little beast to escape their obligation. It's a shame !!! 4 months now and they continue to ask for documents while the cause of death is the COVVI-19 !!! A word of advice: to flee before subscription, to denounce at UFC Que Choisir and take a lawyer.</v>
      </c>
    </row>
    <row r="285" ht="15.75" customHeight="1">
      <c r="A285" s="2">
        <v>5.0</v>
      </c>
      <c r="B285" s="2" t="s">
        <v>916</v>
      </c>
      <c r="C285" s="2" t="s">
        <v>917</v>
      </c>
      <c r="D285" s="2" t="s">
        <v>80</v>
      </c>
      <c r="E285" s="2" t="s">
        <v>25</v>
      </c>
      <c r="F285" s="2" t="s">
        <v>15</v>
      </c>
      <c r="G285" s="2" t="s">
        <v>918</v>
      </c>
      <c r="H285" s="2" t="s">
        <v>58</v>
      </c>
      <c r="I285" s="3" t="str">
        <f>IFERROR(__xludf.DUMMYFUNCTION("GOOGLETRANSLATE(C285,""fr"",""en"")"),"I joined an insurance comparator, the price was most interesting. It’s very simple to subscribe to the contract, it’s very well explained.")</f>
        <v>I joined an insurance comparator, the price was most interesting. It’s very simple to subscribe to the contract, it’s very well explained.</v>
      </c>
    </row>
    <row r="286" ht="15.75" customHeight="1">
      <c r="A286" s="2">
        <v>5.0</v>
      </c>
      <c r="B286" s="2" t="s">
        <v>919</v>
      </c>
      <c r="C286" s="2" t="s">
        <v>920</v>
      </c>
      <c r="D286" s="2" t="s">
        <v>101</v>
      </c>
      <c r="E286" s="2" t="s">
        <v>31</v>
      </c>
      <c r="F286" s="2" t="s">
        <v>15</v>
      </c>
      <c r="G286" s="2" t="s">
        <v>384</v>
      </c>
      <c r="H286" s="2" t="s">
        <v>133</v>
      </c>
      <c r="I286" s="3" t="str">
        <f>IFERROR(__xludf.DUMMYFUNCTION("GOOGLETRANSLATE(C286,""fr"",""en"")"),"I thank Sokhna for her welcome, her kindness, her patience and for answering all my questions. It deserves 5 in 5 stars. Again thank you very much Sokhna.")</f>
        <v>I thank Sokhna for her welcome, her kindness, her patience and for answering all my questions. It deserves 5 in 5 stars. Again thank you very much Sokhna.</v>
      </c>
    </row>
    <row r="287" ht="15.75" customHeight="1">
      <c r="A287" s="2">
        <v>3.0</v>
      </c>
      <c r="B287" s="2" t="s">
        <v>921</v>
      </c>
      <c r="C287" s="2" t="s">
        <v>922</v>
      </c>
      <c r="D287" s="2" t="s">
        <v>20</v>
      </c>
      <c r="E287" s="2" t="s">
        <v>14</v>
      </c>
      <c r="F287" s="2" t="s">
        <v>15</v>
      </c>
      <c r="G287" s="2" t="s">
        <v>861</v>
      </c>
      <c r="H287" s="2" t="s">
        <v>149</v>
      </c>
      <c r="I287" s="3" t="str">
        <f>IFERROR(__xludf.DUMMYFUNCTION("GOOGLETRANSLATE(C287,""fr"",""en"")"),"I am not very happy with a significant rate increase on my contract in 2020. After commercial exchange and email in support of you, I had to have a discount of € 50 at that time, moreover seen the year Passed or I am very very little rolled, I always wait"&amp;" for this very minimal commercial gesture, which has still not been applied and no understanding on contribution costs of € 92 does not exist the previous year, it gives Want to terminate this contract. In retirement, I am not, however, crazy about the st"&amp;"eering wheel. Cordially,")</f>
        <v>I am not very happy with a significant rate increase on my contract in 2020. After commercial exchange and email in support of you, I had to have a discount of € 50 at that time, moreover seen the year Passed or I am very very little rolled, I always wait for this very minimal commercial gesture, which has still not been applied and no understanding on contribution costs of € 92 does not exist the previous year, it gives Want to terminate this contract. In retirement, I am not, however, crazy about the steering wheel. Cordially,</v>
      </c>
    </row>
    <row r="288" ht="15.75" customHeight="1">
      <c r="A288" s="2">
        <v>4.0</v>
      </c>
      <c r="B288" s="2" t="s">
        <v>923</v>
      </c>
      <c r="C288" s="2" t="s">
        <v>924</v>
      </c>
      <c r="D288" s="2" t="s">
        <v>13</v>
      </c>
      <c r="E288" s="2" t="s">
        <v>14</v>
      </c>
      <c r="F288" s="2" t="s">
        <v>15</v>
      </c>
      <c r="G288" s="2" t="s">
        <v>675</v>
      </c>
      <c r="H288" s="2" t="s">
        <v>50</v>
      </c>
      <c r="I288" s="3" t="str">
        <f>IFERROR(__xludf.DUMMYFUNCTION("GOOGLETRANSLATE(C288,""fr"",""en"")"),"I am very satisfied with the olive assurance car because in terms of quality/price they are perfect. These are the cheapest is what we are looking for and in addition the quality is there. Personally, I advised my friends who became a customer too and he "&amp;"is satisfied.")</f>
        <v>I am very satisfied with the olive assurance car because in terms of quality/price they are perfect. These are the cheapest is what we are looking for and in addition the quality is there. Personally, I advised my friends who became a customer too and he is satisfied.</v>
      </c>
    </row>
    <row r="289" ht="15.75" customHeight="1">
      <c r="A289" s="2">
        <v>3.0</v>
      </c>
      <c r="B289" s="2" t="s">
        <v>925</v>
      </c>
      <c r="C289" s="2" t="s">
        <v>926</v>
      </c>
      <c r="D289" s="2" t="s">
        <v>20</v>
      </c>
      <c r="E289" s="2" t="s">
        <v>14</v>
      </c>
      <c r="F289" s="2" t="s">
        <v>15</v>
      </c>
      <c r="G289" s="2" t="s">
        <v>98</v>
      </c>
      <c r="H289" s="2" t="s">
        <v>17</v>
      </c>
      <c r="I289" s="3" t="str">
        <f>IFERROR(__xludf.DUMMYFUNCTION("GOOGLETRANSLATE(C289,""fr"",""en"")"),"Not at all satisfied with this Youdrive service.
The service does not work and the dashboard is never up to date.
I will contact customer service.")</f>
        <v>Not at all satisfied with this Youdrive service.
The service does not work and the dashboard is never up to date.
I will contact customer service.</v>
      </c>
    </row>
    <row r="290" ht="15.75" customHeight="1">
      <c r="A290" s="2">
        <v>1.0</v>
      </c>
      <c r="B290" s="2" t="s">
        <v>927</v>
      </c>
      <c r="C290" s="2" t="s">
        <v>928</v>
      </c>
      <c r="D290" s="2" t="s">
        <v>101</v>
      </c>
      <c r="E290" s="2" t="s">
        <v>31</v>
      </c>
      <c r="F290" s="2" t="s">
        <v>15</v>
      </c>
      <c r="G290" s="2" t="s">
        <v>929</v>
      </c>
      <c r="H290" s="2" t="s">
        <v>133</v>
      </c>
      <c r="I290" s="3" t="str">
        <f>IFERROR(__xludf.DUMMYFUNCTION("GOOGLETRANSLATE(C290,""fr"",""en"")"),"Disastrous communication from Neoliane, who do not say who they are in a 1st step but who immediately offer you a ""health coverage"" to overcome ""the possible hospitalization costs with excess of fees"", I just had to Confirmed what she said, but she ha"&amp;"d all my info: the name of my health comprement, my name, first name, date of birth and RIB, (which is completely abberant and scandalous), I realize once the message of confirmation received, that it is in fact a subscription to for insurance provident h"&amp;"ealth insurance at € 35.70/month ... You are really dishonest, gang of criminals, you are not ashamed to want to strip people who Already have much income and struggle at the end of the month?! Review your methods to canvass and stop deceiving people! say"&amp;" who you really are. The worst part is that the interlocutor insists by telling me that it is a simply coverage of the foutage of G *** the! I was not at all content and I made him understand on the phone, that in no case did I want to subscribe, yes the "&amp;"lie it does not pay madam, if I see the slightest sampling of them I make them scandal, +33221650225 Here is their phone number, never pick up !!!")</f>
        <v>Disastrous communication from Neoliane, who do not say who they are in a 1st step but who immediately offer you a "health coverage" to overcome "the possible hospitalization costs with excess of fees", I just had to Confirmed what she said, but she had all my info: the name of my health comprement, my name, first name, date of birth and RIB, (which is completely abberant and scandalous), I realize once the message of confirmation received, that it is in fact a subscription to for insurance provident health insurance at € 35.70/month ... You are really dishonest, gang of criminals, you are not ashamed to want to strip people who Already have much income and struggle at the end of the month?! Review your methods to canvass and stop deceiving people! say who you really are. The worst part is that the interlocutor insists by telling me that it is a simply coverage of the foutage of G *** the! I was not at all content and I made him understand on the phone, that in no case did I want to subscribe, yes the lie it does not pay madam, if I see the slightest sampling of them I make them scandal, +33221650225 Here is their phone number, never pick up !!!</v>
      </c>
    </row>
    <row r="291" ht="15.75" customHeight="1">
      <c r="A291" s="2">
        <v>4.0</v>
      </c>
      <c r="B291" s="2" t="s">
        <v>930</v>
      </c>
      <c r="C291" s="2" t="s">
        <v>931</v>
      </c>
      <c r="D291" s="2" t="s">
        <v>20</v>
      </c>
      <c r="E291" s="2" t="s">
        <v>14</v>
      </c>
      <c r="F291" s="2" t="s">
        <v>15</v>
      </c>
      <c r="G291" s="2" t="s">
        <v>932</v>
      </c>
      <c r="H291" s="2" t="s">
        <v>58</v>
      </c>
      <c r="I291" s="3" t="str">
        <f>IFERROR(__xludf.DUMMYFUNCTION("GOOGLETRANSLATE(C291,""fr"",""en"")"),"The prices suit me, satisfied with the taking into account of the claims that have occurred to date!
Why not create additional discounts for an example pack: several vehicles + house etc. ;")</f>
        <v>The prices suit me, satisfied with the taking into account of the claims that have occurred to date!
Why not create additional discounts for an example pack: several vehicles + house etc. ;</v>
      </c>
    </row>
    <row r="292" ht="15.75" customHeight="1">
      <c r="A292" s="2">
        <v>2.0</v>
      </c>
      <c r="B292" s="2" t="s">
        <v>933</v>
      </c>
      <c r="C292" s="2" t="s">
        <v>934</v>
      </c>
      <c r="D292" s="2" t="s">
        <v>20</v>
      </c>
      <c r="E292" s="2" t="s">
        <v>14</v>
      </c>
      <c r="F292" s="2" t="s">
        <v>15</v>
      </c>
      <c r="G292" s="2" t="s">
        <v>394</v>
      </c>
      <c r="H292" s="2" t="s">
        <v>395</v>
      </c>
      <c r="I292" s="3" t="str">
        <f>IFERROR(__xludf.DUMMYFUNCTION("GOOGLETRANSLATE(C292,""fr"",""en"")"),"Franchise and above all super delusional unknown franchise of 1,500 euros to add to the basic franchise.")</f>
        <v>Franchise and above all super delusional unknown franchise of 1,500 euros to add to the basic franchise.</v>
      </c>
    </row>
    <row r="293" ht="15.75" customHeight="1">
      <c r="A293" s="2">
        <v>1.0</v>
      </c>
      <c r="B293" s="2" t="s">
        <v>935</v>
      </c>
      <c r="C293" s="2" t="s">
        <v>936</v>
      </c>
      <c r="D293" s="2" t="s">
        <v>66</v>
      </c>
      <c r="E293" s="2" t="s">
        <v>14</v>
      </c>
      <c r="F293" s="2" t="s">
        <v>15</v>
      </c>
      <c r="G293" s="2" t="s">
        <v>937</v>
      </c>
      <c r="H293" s="2" t="s">
        <v>354</v>
      </c>
      <c r="I293" s="3" t="str">
        <f>IFERROR(__xludf.DUMMYFUNCTION("GOOGLETRANSLATE(C293,""fr"",""en"")"),"To flee, commercial service, incompetent customer service, I have a deal of 2 different people on the same day, and none of the 2 we were able to answer me on my contra, the worst one of them even fled my questions and j 'I have the impression of disturbi"&amp;"ng it, I just want to be reassured on my guarantee but that is on I go right away, it's really shameful to have such incompetent and unpleasant people on the phone, really a Flee after insuring my 2 cars at home for 8 months I return to my old insurer, mu"&amp;"ch more professional!")</f>
        <v>To flee, commercial service, incompetent customer service, I have a deal of 2 different people on the same day, and none of the 2 we were able to answer me on my contra, the worst one of them even fled my questions and j 'I have the impression of disturbing it, I just want to be reassured on my guarantee but that is on I go right away, it's really shameful to have such incompetent and unpleasant people on the phone, really a Flee after insuring my 2 cars at home for 8 months I return to my old insurer, much more professional!</v>
      </c>
    </row>
    <row r="294" ht="15.75" customHeight="1">
      <c r="A294" s="2">
        <v>5.0</v>
      </c>
      <c r="B294" s="2" t="s">
        <v>938</v>
      </c>
      <c r="C294" s="2" t="s">
        <v>939</v>
      </c>
      <c r="D294" s="2" t="s">
        <v>13</v>
      </c>
      <c r="E294" s="2" t="s">
        <v>14</v>
      </c>
      <c r="F294" s="2" t="s">
        <v>15</v>
      </c>
      <c r="G294" s="2" t="s">
        <v>940</v>
      </c>
      <c r="H294" s="2" t="s">
        <v>72</v>
      </c>
      <c r="I294" s="3" t="str">
        <f>IFERROR(__xludf.DUMMYFUNCTION("GOOGLETRANSLATE(C294,""fr"",""en"")"),"I am very satisfied with the price offered and the level of coverage.
I am very satisfied with the service and telephone assistance
I will recommend the olive tree to loved ones")</f>
        <v>I am very satisfied with the price offered and the level of coverage.
I am very satisfied with the service and telephone assistance
I will recommend the olive tree to loved ones</v>
      </c>
    </row>
    <row r="295" ht="15.75" customHeight="1">
      <c r="A295" s="2">
        <v>1.0</v>
      </c>
      <c r="B295" s="2" t="s">
        <v>941</v>
      </c>
      <c r="C295" s="2" t="s">
        <v>942</v>
      </c>
      <c r="D295" s="2" t="s">
        <v>75</v>
      </c>
      <c r="E295" s="2" t="s">
        <v>31</v>
      </c>
      <c r="F295" s="2" t="s">
        <v>15</v>
      </c>
      <c r="G295" s="2" t="s">
        <v>943</v>
      </c>
      <c r="H295" s="2" t="s">
        <v>381</v>
      </c>
      <c r="I295" s="3" t="str">
        <f>IFERROR(__xludf.DUMMYFUNCTION("GOOGLETRANSLATE(C295,""fr"",""en"")"),"Customer from home I was in cohabitation I separated from my ex -boyfriend. I want to start from his job mutual therefore Harmonie Mutuelle when I call told me to see with it are worked when I call are worked on have told me that his has him to do the let"&amp;"ter outside I still have no news I have a young child and I would like to assure my son at La Couzen Big I have no answer his crazy in the droppings as not possible ... I do not recommend mutual harmony because they never know what to do For the work mutu"&amp;"al!:@")</f>
        <v>Customer from home I was in cohabitation I separated from my ex -boyfriend. I want to start from his job mutual therefore Harmonie Mutuelle when I call told me to see with it are worked when I call are worked on have told me that his has him to do the letter outside I still have no news I have a young child and I would like to assure my son at La Couzen Big I have no answer his crazy in the droppings as not possible ... I do not recommend mutual harmony because they never know what to do For the work mutual!:@</v>
      </c>
    </row>
    <row r="296" ht="15.75" customHeight="1">
      <c r="A296" s="2">
        <v>5.0</v>
      </c>
      <c r="B296" s="2" t="s">
        <v>944</v>
      </c>
      <c r="C296" s="2" t="s">
        <v>945</v>
      </c>
      <c r="D296" s="2" t="s">
        <v>20</v>
      </c>
      <c r="E296" s="2" t="s">
        <v>14</v>
      </c>
      <c r="F296" s="2" t="s">
        <v>15</v>
      </c>
      <c r="G296" s="2" t="s">
        <v>905</v>
      </c>
      <c r="H296" s="2" t="s">
        <v>133</v>
      </c>
      <c r="I296" s="3" t="str">
        <f>IFERROR(__xludf.DUMMYFUNCTION("GOOGLETRANSLATE(C296,""fr"",""en"")"),"Simple and quick !!! Best price on car insurance walking. SOBT customer service of good advice and does not hesitate to help choose the insurance that will suit you best. I recommend.")</f>
        <v>Simple and quick !!! Best price on car insurance walking. SOBT customer service of good advice and does not hesitate to help choose the insurance that will suit you best. I recommend.</v>
      </c>
    </row>
    <row r="297" ht="15.75" customHeight="1">
      <c r="A297" s="2">
        <v>4.0</v>
      </c>
      <c r="B297" s="2" t="s">
        <v>946</v>
      </c>
      <c r="C297" s="2" t="s">
        <v>947</v>
      </c>
      <c r="D297" s="2" t="s">
        <v>20</v>
      </c>
      <c r="E297" s="2" t="s">
        <v>14</v>
      </c>
      <c r="F297" s="2" t="s">
        <v>15</v>
      </c>
      <c r="G297" s="2" t="s">
        <v>932</v>
      </c>
      <c r="H297" s="2" t="s">
        <v>58</v>
      </c>
      <c r="I297" s="3" t="str">
        <f>IFERROR(__xludf.DUMMYFUNCTION("GOOGLETRANSLATE(C297,""fr"",""en"")"),"Easy and practical.
Interesting price
Not used your services, because no claim.
For my main insurance, I asked you twice, but not placed every time")</f>
        <v>Easy and practical.
Interesting price
Not used your services, because no claim.
For my main insurance, I asked you twice, but not placed every time</v>
      </c>
    </row>
    <row r="298" ht="15.75" customHeight="1">
      <c r="A298" s="2">
        <v>1.0</v>
      </c>
      <c r="B298" s="2" t="s">
        <v>948</v>
      </c>
      <c r="C298" s="2" t="s">
        <v>949</v>
      </c>
      <c r="D298" s="2" t="s">
        <v>513</v>
      </c>
      <c r="E298" s="2" t="s">
        <v>91</v>
      </c>
      <c r="F298" s="2" t="s">
        <v>15</v>
      </c>
      <c r="G298" s="2" t="s">
        <v>950</v>
      </c>
      <c r="H298" s="2" t="s">
        <v>144</v>
      </c>
      <c r="I298" s="3" t="str">
        <f>IFERROR(__xludf.DUMMYFUNCTION("GOOGLETRANSLATE(C298,""fr"",""en"")"),"I'm not going to turn them concerning them.
We needed them only once in ten years. We are tenants, there was a leak with our neighbors below. Leak caused by all the above apartments, ours understood due to wear of the pipes.
The owners and co -owners we"&amp;"re responsible, of course, the tenants, despite everything Pacifica had the audacity to threaten us several times by oral ever in writing. They did not show up at the damage findings or late with the wrong file.
We were finally told two years after the d"&amp;"amage that we would not be compensated in any way.
Lamentable
Rebecca in charge of our file was particularly unpleasant and threatening
Do not go to them even if it means paying more.")</f>
        <v>I'm not going to turn them concerning them.
We needed them only once in ten years. We are tenants, there was a leak with our neighbors below. Leak caused by all the above apartments, ours understood due to wear of the pipes.
The owners and co -owners were responsible, of course, the tenants, despite everything Pacifica had the audacity to threaten us several times by oral ever in writing. They did not show up at the damage findings or late with the wrong file.
We were finally told two years after the damage that we would not be compensated in any way.
Lamentable
Rebecca in charge of our file was particularly unpleasant and threatening
Do not go to them even if it means paying more.</v>
      </c>
    </row>
    <row r="299" ht="15.75" customHeight="1">
      <c r="A299" s="2">
        <v>5.0</v>
      </c>
      <c r="B299" s="2" t="s">
        <v>951</v>
      </c>
      <c r="C299" s="2" t="s">
        <v>952</v>
      </c>
      <c r="D299" s="2" t="s">
        <v>20</v>
      </c>
      <c r="E299" s="2" t="s">
        <v>14</v>
      </c>
      <c r="F299" s="2" t="s">
        <v>15</v>
      </c>
      <c r="G299" s="2" t="s">
        <v>953</v>
      </c>
      <c r="H299" s="2" t="s">
        <v>17</v>
      </c>
      <c r="I299" s="3" t="str">
        <f>IFERROR(__xludf.DUMMYFUNCTION("GOOGLETRANSLATE(C299,""fr"",""en"")"),"Satisfied with the care of claims and price.
Service such as listening customer, without expectations.
Very well made interfaces / applications
An improvement point: the deposit of documents by the iPhone app.")</f>
        <v>Satisfied with the care of claims and price.
Service such as listening customer, without expectations.
Very well made interfaces / applications
An improvement point: the deposit of documents by the iPhone app.</v>
      </c>
    </row>
    <row r="300" ht="15.75" customHeight="1">
      <c r="A300" s="2">
        <v>1.0</v>
      </c>
      <c r="B300" s="2" t="s">
        <v>954</v>
      </c>
      <c r="C300" s="2" t="s">
        <v>955</v>
      </c>
      <c r="D300" s="2" t="s">
        <v>185</v>
      </c>
      <c r="E300" s="2" t="s">
        <v>31</v>
      </c>
      <c r="F300" s="2" t="s">
        <v>15</v>
      </c>
      <c r="G300" s="2" t="s">
        <v>956</v>
      </c>
      <c r="H300" s="2" t="s">
        <v>109</v>
      </c>
      <c r="I300" s="3" t="str">
        <f>IFERROR(__xludf.DUMMYFUNCTION("GOOGLETRANSLATE(C300,""fr"",""en"")"),"He no longer respects the dates of sample and suddenly penalties of refusal this since I had a problem at the beginning of the year that I am in illness I would like to understand but I am never answered the such. If you are sick mutual To flee for your p"&amp;"roperty he will take you hostage otherwise")</f>
        <v>He no longer respects the dates of sample and suddenly penalties of refusal this since I had a problem at the beginning of the year that I am in illness I would like to understand but I am never answered the such. If you are sick mutual To flee for your property he will take you hostage otherwise</v>
      </c>
    </row>
    <row r="301" ht="15.75" customHeight="1">
      <c r="A301" s="2">
        <v>1.0</v>
      </c>
      <c r="B301" s="2" t="s">
        <v>957</v>
      </c>
      <c r="C301" s="2" t="s">
        <v>958</v>
      </c>
      <c r="D301" s="2" t="s">
        <v>598</v>
      </c>
      <c r="E301" s="2" t="s">
        <v>329</v>
      </c>
      <c r="F301" s="2" t="s">
        <v>15</v>
      </c>
      <c r="G301" s="2" t="s">
        <v>959</v>
      </c>
      <c r="H301" s="2" t="s">
        <v>528</v>
      </c>
      <c r="I301" s="3" t="str">
        <f>IFERROR(__xludf.DUMMYFUNCTION("GOOGLETRANSLATE(C301,""fr"",""en"")"),"If you are looking for insurance for your pet go your way.")</f>
        <v>If you are looking for insurance for your pet go your way.</v>
      </c>
    </row>
    <row r="302" ht="15.75" customHeight="1">
      <c r="A302" s="2">
        <v>5.0</v>
      </c>
      <c r="B302" s="2" t="s">
        <v>960</v>
      </c>
      <c r="C302" s="2" t="s">
        <v>961</v>
      </c>
      <c r="D302" s="2" t="s">
        <v>20</v>
      </c>
      <c r="E302" s="2" t="s">
        <v>14</v>
      </c>
      <c r="F302" s="2" t="s">
        <v>15</v>
      </c>
      <c r="G302" s="2" t="s">
        <v>962</v>
      </c>
      <c r="H302" s="2" t="s">
        <v>58</v>
      </c>
      <c r="I302" s="3" t="str">
        <f>IFERROR(__xludf.DUMMYFUNCTION("GOOGLETRANSLATE(C302,""fr"",""en"")"),"I am satisfied with the service and the availability of operators.
being able to contact the teams on Saturday morning or the evening late is a plus")</f>
        <v>I am satisfied with the service and the availability of operators.
being able to contact the teams on Saturday morning or the evening late is a plus</v>
      </c>
    </row>
    <row r="303" ht="15.75" customHeight="1">
      <c r="A303" s="2">
        <v>5.0</v>
      </c>
      <c r="B303" s="2" t="s">
        <v>963</v>
      </c>
      <c r="C303" s="2" t="s">
        <v>964</v>
      </c>
      <c r="D303" s="2" t="s">
        <v>185</v>
      </c>
      <c r="E303" s="2" t="s">
        <v>31</v>
      </c>
      <c r="F303" s="2" t="s">
        <v>15</v>
      </c>
      <c r="G303" s="2" t="s">
        <v>337</v>
      </c>
      <c r="H303" s="2" t="s">
        <v>125</v>
      </c>
      <c r="I303" s="3" t="str">
        <f>IFERROR(__xludf.DUMMYFUNCTION("GOOGLETRANSLATE(C303,""fr"",""en"")"),"Satisfied with the delighted speed of this speed and of the system implemented online I think to be satisfied with the services that I chose for my children and me")</f>
        <v>Satisfied with the delighted speed of this speed and of the system implemented online I think to be satisfied with the services that I chose for my children and me</v>
      </c>
    </row>
    <row r="304" ht="15.75" customHeight="1">
      <c r="A304" s="2">
        <v>1.0</v>
      </c>
      <c r="B304" s="2" t="s">
        <v>965</v>
      </c>
      <c r="C304" s="2" t="s">
        <v>966</v>
      </c>
      <c r="D304" s="2" t="s">
        <v>117</v>
      </c>
      <c r="E304" s="2" t="s">
        <v>107</v>
      </c>
      <c r="F304" s="2" t="s">
        <v>15</v>
      </c>
      <c r="G304" s="2" t="s">
        <v>967</v>
      </c>
      <c r="H304" s="2" t="s">
        <v>968</v>
      </c>
      <c r="I304" s="3" t="str">
        <f>IFERROR(__xludf.DUMMYFUNCTION("GOOGLETRANSLATE(C304,""fr"",""en"")"),"Null and non -existent customer service. Do not donate your money for your PERP and erases all the data on your customer area concerning your contract concerned by the payment of your money. In addition, you are posing problems when you want to change you"&amp;"r health mutual health.")</f>
        <v>Null and non -existent customer service. Do not donate your money for your PERP and erases all the data on your customer area concerning your contract concerned by the payment of your money. In addition, you are posing problems when you want to change your health mutual health.</v>
      </c>
    </row>
    <row r="305" ht="15.75" customHeight="1">
      <c r="A305" s="2">
        <v>3.0</v>
      </c>
      <c r="B305" s="2" t="s">
        <v>969</v>
      </c>
      <c r="C305" s="2" t="s">
        <v>970</v>
      </c>
      <c r="D305" s="2" t="s">
        <v>13</v>
      </c>
      <c r="E305" s="2" t="s">
        <v>14</v>
      </c>
      <c r="F305" s="2" t="s">
        <v>15</v>
      </c>
      <c r="G305" s="2" t="s">
        <v>971</v>
      </c>
      <c r="H305" s="2" t="s">
        <v>125</v>
      </c>
      <c r="I305" s="3" t="str">
        <f>IFERROR(__xludf.DUMMYFUNCTION("GOOGLETRANSLATE(C305,""fr"",""en"")"),"The price seems a little excessive to me!
The positive point is speed and telephone reception, very good customer report.
The franchise is also a bit expensive")</f>
        <v>The price seems a little excessive to me!
The positive point is speed and telephone reception, very good customer report.
The franchise is also a bit expensive</v>
      </c>
    </row>
    <row r="306" ht="15.75" customHeight="1">
      <c r="A306" s="2">
        <v>5.0</v>
      </c>
      <c r="B306" s="2" t="s">
        <v>972</v>
      </c>
      <c r="C306" s="2" t="s">
        <v>973</v>
      </c>
      <c r="D306" s="2" t="s">
        <v>13</v>
      </c>
      <c r="E306" s="2" t="s">
        <v>14</v>
      </c>
      <c r="F306" s="2" t="s">
        <v>15</v>
      </c>
      <c r="G306" s="2" t="s">
        <v>974</v>
      </c>
      <c r="H306" s="2" t="s">
        <v>17</v>
      </c>
      <c r="I306" s="3" t="str">
        <f>IFERROR(__xludf.DUMMYFUNCTION("GOOGLETRANSLATE(C306,""fr"",""en"")"),"I am very satisfied with the ease of use of the site as well as the speed to ensure my car and obtain the green card. The prices are also particularly attractive. Thank you!")</f>
        <v>I am very satisfied with the ease of use of the site as well as the speed to ensure my car and obtain the green card. The prices are also particularly attractive. Thank you!</v>
      </c>
    </row>
    <row r="307" ht="15.75" customHeight="1">
      <c r="A307" s="2">
        <v>4.0</v>
      </c>
      <c r="B307" s="2" t="s">
        <v>975</v>
      </c>
      <c r="C307" s="2" t="s">
        <v>976</v>
      </c>
      <c r="D307" s="2" t="s">
        <v>13</v>
      </c>
      <c r="E307" s="2" t="s">
        <v>14</v>
      </c>
      <c r="F307" s="2" t="s">
        <v>15</v>
      </c>
      <c r="G307" s="2" t="s">
        <v>977</v>
      </c>
      <c r="H307" s="2" t="s">
        <v>103</v>
      </c>
      <c r="I307" s="3" t="str">
        <f>IFERROR(__xludf.DUMMYFUNCTION("GOOGLETRANSLATE(C307,""fr"",""en"")"),"The Olivier Assurance has very good communication:
Call a few days after the contract subscription to find out if everything is going well (good point)
Discount during the renewal of the contract because the increase was too much raising.
Loyalty of it"&amp;"s rare customers today.
Telephone reception always courteous.")</f>
        <v>The Olivier Assurance has very good communication:
Call a few days after the contract subscription to find out if everything is going well (good point)
Discount during the renewal of the contract because the increase was too much raising.
Loyalty of its rare customers today.
Telephone reception always courteous.</v>
      </c>
    </row>
    <row r="308" ht="15.75" customHeight="1">
      <c r="A308" s="2">
        <v>2.0</v>
      </c>
      <c r="B308" s="2" t="s">
        <v>978</v>
      </c>
      <c r="C308" s="2" t="s">
        <v>979</v>
      </c>
      <c r="D308" s="2" t="s">
        <v>20</v>
      </c>
      <c r="E308" s="2" t="s">
        <v>14</v>
      </c>
      <c r="F308" s="2" t="s">
        <v>15</v>
      </c>
      <c r="G308" s="2" t="s">
        <v>980</v>
      </c>
      <c r="H308" s="2" t="s">
        <v>149</v>
      </c>
      <c r="I308" s="3" t="str">
        <f>IFERROR(__xludf.DUMMYFUNCTION("GOOGLETRANSLATE(C308,""fr"",""en"")"),"Transmission of very painful documents, many necessary calls despite interlocutors that are always polite and helpful. The laptop app does not work for the appease of vehicle photos.")</f>
        <v>Transmission of very painful documents, many necessary calls despite interlocutors that are always polite and helpful. The laptop app does not work for the appease of vehicle photos.</v>
      </c>
    </row>
    <row r="309" ht="15.75" customHeight="1">
      <c r="A309" s="2">
        <v>5.0</v>
      </c>
      <c r="B309" s="2" t="s">
        <v>981</v>
      </c>
      <c r="C309" s="2" t="s">
        <v>982</v>
      </c>
      <c r="D309" s="2" t="s">
        <v>13</v>
      </c>
      <c r="E309" s="2" t="s">
        <v>14</v>
      </c>
      <c r="F309" s="2" t="s">
        <v>15</v>
      </c>
      <c r="G309" s="2" t="s">
        <v>441</v>
      </c>
      <c r="H309" s="2" t="s">
        <v>17</v>
      </c>
      <c r="I309" s="3" t="str">
        <f>IFERROR(__xludf.DUMMYFUNCTION("GOOGLETRANSLATE(C309,""fr"",""en"")"),"I am satisfied with the service, simple and quick insurance for a new contract.
The operator was listening to my request and explained my insurance to me")</f>
        <v>I am satisfied with the service, simple and quick insurance for a new contract.
The operator was listening to my request and explained my insurance to me</v>
      </c>
    </row>
    <row r="310" ht="15.75" customHeight="1">
      <c r="A310" s="2">
        <v>2.0</v>
      </c>
      <c r="B310" s="2" t="s">
        <v>983</v>
      </c>
      <c r="C310" s="2" t="s">
        <v>984</v>
      </c>
      <c r="D310" s="2" t="s">
        <v>13</v>
      </c>
      <c r="E310" s="2" t="s">
        <v>14</v>
      </c>
      <c r="F310" s="2" t="s">
        <v>15</v>
      </c>
      <c r="G310" s="2" t="s">
        <v>985</v>
      </c>
      <c r="H310" s="2" t="s">
        <v>156</v>
      </c>
      <c r="I310" s="3" t="str">
        <f>IFERROR(__xludf.DUMMYFUNCTION("GOOGLETRANSLATE(C310,""fr"",""en"")"),"Hello I had an accident in September 2019 I still await the reimbursement I had my manager only once by phone he has more than 2 weeks he told me that I was going to be compensated and I always have nothing. I have an appointment at 6 p.m. with a justice "&amp;"conciliator by not excluding a request for additional compensation for the damage and the costs that I have because of the non -reimbursement within a normal period.
Cordially.")</f>
        <v>Hello I had an accident in September 2019 I still await the reimbursement I had my manager only once by phone he has more than 2 weeks he told me that I was going to be compensated and I always have nothing. I have an appointment at 6 p.m. with a justice conciliator by not excluding a request for additional compensation for the damage and the costs that I have because of the non -reimbursement within a normal period.
Cordially.</v>
      </c>
    </row>
    <row r="311" ht="15.75" customHeight="1">
      <c r="A311" s="2">
        <v>4.0</v>
      </c>
      <c r="B311" s="2" t="s">
        <v>986</v>
      </c>
      <c r="C311" s="2" t="s">
        <v>987</v>
      </c>
      <c r="D311" s="2" t="s">
        <v>13</v>
      </c>
      <c r="E311" s="2" t="s">
        <v>14</v>
      </c>
      <c r="F311" s="2" t="s">
        <v>15</v>
      </c>
      <c r="G311" s="2" t="s">
        <v>770</v>
      </c>
      <c r="H311" s="2" t="s">
        <v>72</v>
      </c>
      <c r="I311" s="3" t="str">
        <f>IFERROR(__xludf.DUMMYFUNCTION("GOOGLETRANSLATE(C311,""fr"",""en"")"),"I am satisfied with the search for new insurance. It's fast and the price is attractive for my vehicle. Very simple ETS subscription management.")</f>
        <v>I am satisfied with the search for new insurance. It's fast and the price is attractive for my vehicle. Very simple ETS subscription management.</v>
      </c>
    </row>
    <row r="312" ht="15.75" customHeight="1">
      <c r="A312" s="2">
        <v>2.0</v>
      </c>
      <c r="B312" s="2" t="s">
        <v>988</v>
      </c>
      <c r="C312" s="2" t="s">
        <v>989</v>
      </c>
      <c r="D312" s="2" t="s">
        <v>20</v>
      </c>
      <c r="E312" s="2" t="s">
        <v>14</v>
      </c>
      <c r="F312" s="2" t="s">
        <v>15</v>
      </c>
      <c r="G312" s="2" t="s">
        <v>990</v>
      </c>
      <c r="H312" s="2" t="s">
        <v>172</v>
      </c>
      <c r="I312" s="3" t="str">
        <f>IFERROR(__xludf.DUMMYFUNCTION("GOOGLETRANSLATE(C312,""fr"",""en"")"),"Hello, I am not at all satisfied with your service, it must be very good to manage the claims
But to manage an inscription with a corresponding bonus it becomes immediately complicated.
I have taken out a car insurance contract with you. I have a bonus "&amp;".50 since 12/29 at Pacifica
I have had a long -term rental vehicle in the past three years. I decided to buy it with a report of information specifying that I did not have a claim.
Today Insurance Directs declares that I no longer have my bonus .50.
An"&amp;"d offers to keep my motorcycle bonus from .72 or start again with a young driver's coef. So I went to see my bank which reassures me my new vehicle. With my bonus .50.
This is why I wish to terminate my insurance with you and I will be able to see if I a"&amp;"m reimbursing in proportion.
Because I am a driver who has not had a claim for at least 20 years I do not understand your optics.")</f>
        <v>Hello, I am not at all satisfied with your service, it must be very good to manage the claims
But to manage an inscription with a corresponding bonus it becomes immediately complicated.
I have taken out a car insurance contract with you. I have a bonus .50 since 12/29 at Pacifica
I have had a long -term rental vehicle in the past three years. I decided to buy it with a report of information specifying that I did not have a claim.
Today Insurance Directs declares that I no longer have my bonus .50.
And offers to keep my motorcycle bonus from .72 or start again with a young driver's coef. So I went to see my bank which reassures me my new vehicle. With my bonus .50.
This is why I wish to terminate my insurance with you and I will be able to see if I am reimbursing in proportion.
Because I am a driver who has not had a claim for at least 20 years I do not understand your optics.</v>
      </c>
    </row>
    <row r="313" ht="15.75" customHeight="1">
      <c r="A313" s="2">
        <v>1.0</v>
      </c>
      <c r="B313" s="2" t="s">
        <v>991</v>
      </c>
      <c r="C313" s="2" t="s">
        <v>992</v>
      </c>
      <c r="D313" s="2" t="s">
        <v>20</v>
      </c>
      <c r="E313" s="2" t="s">
        <v>14</v>
      </c>
      <c r="F313" s="2" t="s">
        <v>15</v>
      </c>
      <c r="G313" s="2" t="s">
        <v>655</v>
      </c>
      <c r="H313" s="2" t="s">
        <v>133</v>
      </c>
      <c r="I313" s="3" t="str">
        <f>IFERROR(__xludf.DUMMYFUNCTION("GOOGLETRANSLATE(C313,""fr"",""en"")"),"I find it too expensive, after the offers are interesting, but it remains cam a fortune, I am new but we will see, I always look")</f>
        <v>I find it too expensive, after the offers are interesting, but it remains cam a fortune, I am new but we will see, I always look</v>
      </c>
    </row>
    <row r="314" ht="15.75" customHeight="1">
      <c r="A314" s="2">
        <v>5.0</v>
      </c>
      <c r="B314" s="2" t="s">
        <v>993</v>
      </c>
      <c r="C314" s="2" t="s">
        <v>994</v>
      </c>
      <c r="D314" s="2" t="s">
        <v>20</v>
      </c>
      <c r="E314" s="2" t="s">
        <v>14</v>
      </c>
      <c r="F314" s="2" t="s">
        <v>15</v>
      </c>
      <c r="G314" s="2" t="s">
        <v>384</v>
      </c>
      <c r="H314" s="2" t="s">
        <v>133</v>
      </c>
      <c r="I314" s="3" t="str">
        <f>IFERROR(__xludf.DUMMYFUNCTION("GOOGLETRANSLATE(C314,""fr"",""en"")"),"Excellent service thank you to Direct Insurance for its efficiency I highly recommend for the purchase of a new or used vehicle. A wide range of guarantees.")</f>
        <v>Excellent service thank you to Direct Insurance for its efficiency I highly recommend for the purchase of a new or used vehicle. A wide range of guarantees.</v>
      </c>
    </row>
    <row r="315" ht="15.75" customHeight="1">
      <c r="A315" s="2">
        <v>5.0</v>
      </c>
      <c r="B315" s="2" t="s">
        <v>995</v>
      </c>
      <c r="C315" s="2" t="s">
        <v>996</v>
      </c>
      <c r="D315" s="2" t="s">
        <v>20</v>
      </c>
      <c r="E315" s="2" t="s">
        <v>14</v>
      </c>
      <c r="F315" s="2" t="s">
        <v>15</v>
      </c>
      <c r="G315" s="2" t="s">
        <v>655</v>
      </c>
      <c r="H315" s="2" t="s">
        <v>133</v>
      </c>
      <c r="I315" s="3" t="str">
        <f>IFERROR(__xludf.DUMMYFUNCTION("GOOGLETRANSLATE(C315,""fr"",""en"")"),"I am satisfied with the service. The prices are good. Everything is very good for me nothing to complain about for the moment. I will recommend this insurance to my loved ones")</f>
        <v>I am satisfied with the service. The prices are good. Everything is very good for me nothing to complain about for the moment. I will recommend this insurance to my loved ones</v>
      </c>
    </row>
    <row r="316" ht="15.75" customHeight="1">
      <c r="A316" s="2">
        <v>1.0</v>
      </c>
      <c r="B316" s="2" t="s">
        <v>997</v>
      </c>
      <c r="C316" s="2" t="s">
        <v>998</v>
      </c>
      <c r="D316" s="2" t="s">
        <v>20</v>
      </c>
      <c r="E316" s="2" t="s">
        <v>14</v>
      </c>
      <c r="F316" s="2" t="s">
        <v>15</v>
      </c>
      <c r="G316" s="2" t="s">
        <v>999</v>
      </c>
      <c r="H316" s="2" t="s">
        <v>423</v>
      </c>
      <c r="I316" s="3" t="str">
        <f>IFERROR(__xludf.DUMMYFUNCTION("GOOGLETRANSLATE(C316,""fr"",""en"")"),"Insurance to flee. Auto contract paid for the year. After having made several quotes online to find another insurance -I find direct insurance with a price difference of 250 € I call and there she tells me that it is due to the acquisition of a garage is "&amp;"For this that our new quote was cheaper. I still wanted to resilia because for identical guarantees have found bcp cheaper. After the termination of my direct insurance contract send me a letter with A.R. in demand 22 € 95 because they took into account o"&amp;"ur garage only on the quote of course and it threatens me to be terminated for non -payment and that my contract Auto will be suspended from September 23, but I haven't been at more than 1 month old but what guarantees is he talking about ???")</f>
        <v>Insurance to flee. Auto contract paid for the year. After having made several quotes online to find another insurance -I find direct insurance with a price difference of 250 € I call and there she tells me that it is due to the acquisition of a garage is For this that our new quote was cheaper. I still wanted to resilia because for identical guarantees have found bcp cheaper. After the termination of my direct insurance contract send me a letter with A.R. in demand 22 € 95 because they took into account our garage only on the quote of course and it threatens me to be terminated for non -payment and that my contract Auto will be suspended from September 23, but I haven't been at more than 1 month old but what guarantees is he talking about ???</v>
      </c>
    </row>
    <row r="317" ht="15.75" customHeight="1">
      <c r="A317" s="2">
        <v>4.0</v>
      </c>
      <c r="B317" s="2" t="s">
        <v>1000</v>
      </c>
      <c r="C317" s="2" t="s">
        <v>1001</v>
      </c>
      <c r="D317" s="2" t="s">
        <v>20</v>
      </c>
      <c r="E317" s="2" t="s">
        <v>14</v>
      </c>
      <c r="F317" s="2" t="s">
        <v>15</v>
      </c>
      <c r="G317" s="2" t="s">
        <v>1002</v>
      </c>
      <c r="H317" s="2" t="s">
        <v>58</v>
      </c>
      <c r="I317" s="3" t="str">
        <f>IFERROR(__xludf.DUMMYFUNCTION("GOOGLETRANSLATE(C317,""fr"",""en"")"),"I register with you I will give my opinion later with hindsight but I think I have no worries knowing people who are already registered with you and my mother was registered with you several years ago and for a long time")</f>
        <v>I register with you I will give my opinion later with hindsight but I think I have no worries knowing people who are already registered with you and my mother was registered with you several years ago and for a long time</v>
      </c>
    </row>
    <row r="318" ht="15.75" customHeight="1">
      <c r="A318" s="2">
        <v>1.0</v>
      </c>
      <c r="B318" s="2" t="s">
        <v>1003</v>
      </c>
      <c r="C318" s="2" t="s">
        <v>1004</v>
      </c>
      <c r="D318" s="2" t="s">
        <v>48</v>
      </c>
      <c r="E318" s="2" t="s">
        <v>14</v>
      </c>
      <c r="F318" s="2" t="s">
        <v>15</v>
      </c>
      <c r="G318" s="2" t="s">
        <v>445</v>
      </c>
      <c r="H318" s="2" t="s">
        <v>445</v>
      </c>
      <c r="I318" s="3" t="str">
        <f>IFERROR(__xludf.DUMMYFUNCTION("GOOGLETRANSLATE(C318,""fr"",""en"")"),"Hello,
I am surprised to receive a letter from the MAIF in which it is mentioned that the latter decided to put an end to our contract due to ""the alteration of our commercial relations !!! ""I would be surprised to know what I am criticized !! Agent "&amp;"of the local authority I would not hesitate to advertise with my colleagues insured at home !! And also on all social networks you can then justify the alteration of our relationship!")</f>
        <v>Hello,
I am surprised to receive a letter from the MAIF in which it is mentioned that the latter decided to put an end to our contract due to "the alteration of our commercial relations !!! "I would be surprised to know what I am criticized !! Agent of the local authority I would not hesitate to advertise with my colleagues insured at home !! And also on all social networks you can then justify the alteration of our relationship!</v>
      </c>
    </row>
    <row r="319" ht="15.75" customHeight="1">
      <c r="A319" s="2">
        <v>1.0</v>
      </c>
      <c r="B319" s="2" t="s">
        <v>1005</v>
      </c>
      <c r="C319" s="2" t="s">
        <v>1006</v>
      </c>
      <c r="D319" s="2" t="s">
        <v>373</v>
      </c>
      <c r="E319" s="2" t="s">
        <v>31</v>
      </c>
      <c r="F319" s="2" t="s">
        <v>15</v>
      </c>
      <c r="G319" s="2" t="s">
        <v>133</v>
      </c>
      <c r="H319" s="2" t="s">
        <v>133</v>
      </c>
      <c r="I319" s="3" t="str">
        <f>IFERROR(__xludf.DUMMYFUNCTION("GOOGLETRANSLATE(C319,""fr"",""en"")"),"Extremely disappointed with this mutual which, according to my interlocutor, was to be really a very good mutual.
Zero remains dependent on dental care! Except that no dentists in my city provide these famous zero care remains dependent !!!!!
For my oph"&amp;"thalmologist, I always wait for my supplement to be reimbursed for my exams !!! Meeting does August 17, 2021 and still nothing of Cegema !!! In addition, it only reimburses 3 cents on the glasses !!! YOUPIII !!!! I am glad !!!
No interlocutor when they c"&amp;"all them and again when their number works !!!
I want to start from this mutual, I really regret having subscribed to it
I put a star because we cannot put zero star
Mutual to flee !!!")</f>
        <v>Extremely disappointed with this mutual which, according to my interlocutor, was to be really a very good mutual.
Zero remains dependent on dental care! Except that no dentists in my city provide these famous zero care remains dependent !!!!!
For my ophthalmologist, I always wait for my supplement to be reimbursed for my exams !!! Meeting does August 17, 2021 and still nothing of Cegema !!! In addition, it only reimburses 3 cents on the glasses !!! YOUPIII !!!! I am glad !!!
No interlocutor when they call them and again when their number works !!!
I want to start from this mutual, I really regret having subscribed to it
I put a star because we cannot put zero star
Mutual to flee !!!</v>
      </c>
    </row>
    <row r="320" ht="15.75" customHeight="1">
      <c r="A320" s="2">
        <v>1.0</v>
      </c>
      <c r="B320" s="2" t="s">
        <v>1007</v>
      </c>
      <c r="C320" s="2" t="s">
        <v>1008</v>
      </c>
      <c r="D320" s="2" t="s">
        <v>117</v>
      </c>
      <c r="E320" s="2" t="s">
        <v>91</v>
      </c>
      <c r="F320" s="2" t="s">
        <v>15</v>
      </c>
      <c r="G320" s="2" t="s">
        <v>1009</v>
      </c>
      <c r="H320" s="2" t="s">
        <v>1010</v>
      </c>
      <c r="I320" s="3" t="str">
        <f>IFERROR(__xludf.DUMMYFUNCTION("GOOGLETRANSLATE(C320,""fr"",""en"")"),"My price was increased by 55 euros in 3 years without claim !!!!!! for dependence insurance ditto my subscription went from 44 euros to 72 euros while retirement drops !!!!")</f>
        <v>My price was increased by 55 euros in 3 years without claim !!!!!! for dependence insurance ditto my subscription went from 44 euros to 72 euros while retirement drops !!!!</v>
      </c>
    </row>
    <row r="321" ht="15.75" customHeight="1">
      <c r="A321" s="2">
        <v>2.0</v>
      </c>
      <c r="B321" s="2" t="s">
        <v>1011</v>
      </c>
      <c r="C321" s="2" t="s">
        <v>1012</v>
      </c>
      <c r="D321" s="2" t="s">
        <v>1013</v>
      </c>
      <c r="E321" s="2" t="s">
        <v>25</v>
      </c>
      <c r="F321" s="2" t="s">
        <v>15</v>
      </c>
      <c r="G321" s="2" t="s">
        <v>1014</v>
      </c>
      <c r="H321" s="2" t="s">
        <v>477</v>
      </c>
      <c r="I321" s="3" t="str">
        <f>IFERROR(__xludf.DUMMYFUNCTION("GOOGLETRANSLATE(C321,""fr"",""en"")"),"Young biker at the time, it was the cheapest insurance, so it had attracted me. I was insured for more than 10 years at home, then one day, during a parking of my vehicle on a motorcycle location, this one was struck. Observation in good and due form, whe"&amp;"re the opposing part had recognized its torments 100%, this insurance made feet and hands so as not to reimburse me. (like I needed 10 witnesses). TO FLEE !!!")</f>
        <v>Young biker at the time, it was the cheapest insurance, so it had attracted me. I was insured for more than 10 years at home, then one day, during a parking of my vehicle on a motorcycle location, this one was struck. Observation in good and due form, where the opposing part had recognized its torments 100%, this insurance made feet and hands so as not to reimburse me. (like I needed 10 witnesses). TO FLEE !!!</v>
      </c>
    </row>
    <row r="322" ht="15.75" customHeight="1">
      <c r="A322" s="2">
        <v>1.0</v>
      </c>
      <c r="B322" s="2" t="s">
        <v>1015</v>
      </c>
      <c r="C322" s="2" t="s">
        <v>1016</v>
      </c>
      <c r="D322" s="2" t="s">
        <v>13</v>
      </c>
      <c r="E322" s="2" t="s">
        <v>14</v>
      </c>
      <c r="F322" s="2" t="s">
        <v>15</v>
      </c>
      <c r="G322" s="2" t="s">
        <v>1017</v>
      </c>
      <c r="H322" s="2" t="s">
        <v>287</v>
      </c>
      <c r="I322" s="3" t="str">
        <f>IFERROR(__xludf.DUMMYFUNCTION("GOOGLETRANSLATE(C322,""fr"",""en"")"),"Shameful !!!!! if you subscribe to the olive assurance I wish you never falling out. All risk comfort insurance more with option 0-50 km for 90 euros per month. We broke down 350 km from home, the only solution offered ... A taxi for an amount of 50 euros"&amp;". No hotel care, it is 00:00. We pay a taxi 634 euros !!!!! To go home. Today we call to obtain the loan of a vehicle to get our repaired vehicle, 3 hours from our home, well despite the expensive rate of our insurance, we are not entitled to a loan vehic"&amp;"le .... Because it is not a claim. Europe Assistance with whom they undergo are of a lack of professionalism, respect, that the image of the olive tree is strongly tainted with it. Decision is made that we will not pay 1 euro more to this insurance which "&amp;"get fat on its monthly payments but which offers no guarantee, help and assistance to these users. You disgusted me. We are therefore obliged to rent a vehicle ourselves, at our expense to get our personal vehicle at the garage. Work with so few values ​​"&amp;"... 1 day of rental, 1 day .... on 90 euros paid per month without ever calling on your services. Your competitors are much more attentive than you.")</f>
        <v>Shameful !!!!! if you subscribe to the olive assurance I wish you never falling out. All risk comfort insurance more with option 0-50 km for 90 euros per month. We broke down 350 km from home, the only solution offered ... A taxi for an amount of 50 euros. No hotel care, it is 00:00. We pay a taxi 634 euros !!!!! To go home. Today we call to obtain the loan of a vehicle to get our repaired vehicle, 3 hours from our home, well despite the expensive rate of our insurance, we are not entitled to a loan vehicle .... Because it is not a claim. Europe Assistance with whom they undergo are of a lack of professionalism, respect, that the image of the olive tree is strongly tainted with it. Decision is made that we will not pay 1 euro more to this insurance which get fat on its monthly payments but which offers no guarantee, help and assistance to these users. You disgusted me. We are therefore obliged to rent a vehicle ourselves, at our expense to get our personal vehicle at the garage. Work with so few values ​​... 1 day of rental, 1 day .... on 90 euros paid per month without ever calling on your services. Your competitors are much more attentive than you.</v>
      </c>
    </row>
    <row r="323" ht="15.75" customHeight="1">
      <c r="A323" s="2">
        <v>5.0</v>
      </c>
      <c r="B323" s="2" t="s">
        <v>1018</v>
      </c>
      <c r="C323" s="2" t="s">
        <v>1019</v>
      </c>
      <c r="D323" s="2" t="s">
        <v>80</v>
      </c>
      <c r="E323" s="2" t="s">
        <v>25</v>
      </c>
      <c r="F323" s="2" t="s">
        <v>15</v>
      </c>
      <c r="G323" s="2" t="s">
        <v>1020</v>
      </c>
      <c r="H323" s="2" t="s">
        <v>133</v>
      </c>
      <c r="I323" s="3" t="str">
        <f>IFERROR(__xludf.DUMMYFUNCTION("GOOGLETRANSLATE(C323,""fr"",""en"")"),"I am satisfied with the simplicity of change and the management of the administrative as well as the most competitive price I have found ...")</f>
        <v>I am satisfied with the simplicity of change and the management of the administrative as well as the most competitive price I have found ...</v>
      </c>
    </row>
    <row r="324" ht="15.75" customHeight="1">
      <c r="A324" s="2">
        <v>5.0</v>
      </c>
      <c r="B324" s="2" t="s">
        <v>1021</v>
      </c>
      <c r="C324" s="2" t="s">
        <v>1022</v>
      </c>
      <c r="D324" s="2" t="s">
        <v>13</v>
      </c>
      <c r="E324" s="2" t="s">
        <v>14</v>
      </c>
      <c r="F324" s="2" t="s">
        <v>15</v>
      </c>
      <c r="G324" s="2" t="s">
        <v>527</v>
      </c>
      <c r="H324" s="2" t="s">
        <v>528</v>
      </c>
      <c r="I324" s="3" t="str">
        <f>IFERROR(__xludf.DUMMYFUNCTION("GOOGLETRANSLATE(C324,""fr"",""en"")"),"Competence, kindness, availability, efficiency.
Friendly welcome. The advice given are very relevant. I recommend this insurance.")</f>
        <v>Competence, kindness, availability, efficiency.
Friendly welcome. The advice given are very relevant. I recommend this insurance.</v>
      </c>
    </row>
    <row r="325" ht="15.75" customHeight="1">
      <c r="A325" s="2">
        <v>4.0</v>
      </c>
      <c r="B325" s="2" t="s">
        <v>1023</v>
      </c>
      <c r="C325" s="2" t="s">
        <v>1024</v>
      </c>
      <c r="D325" s="2" t="s">
        <v>190</v>
      </c>
      <c r="E325" s="2" t="s">
        <v>31</v>
      </c>
      <c r="F325" s="2" t="s">
        <v>15</v>
      </c>
      <c r="G325" s="2" t="s">
        <v>880</v>
      </c>
      <c r="H325" s="2" t="s">
        <v>125</v>
      </c>
      <c r="I325" s="3" t="str">
        <f>IFERROR(__xludf.DUMMYFUNCTION("GOOGLETRANSLATE(C325,""fr"",""en"")"),"Following my phone call from October 18, Mariama was very kind and patient, I had fully satisfaction with my request.
Very little wait on the phone.")</f>
        <v>Following my phone call from October 18, Mariama was very kind and patient, I had fully satisfaction with my request.
Very little wait on the phone.</v>
      </c>
    </row>
    <row r="326" ht="15.75" customHeight="1">
      <c r="A326" s="2">
        <v>1.0</v>
      </c>
      <c r="B326" s="2" t="s">
        <v>1025</v>
      </c>
      <c r="C326" s="2" t="s">
        <v>1026</v>
      </c>
      <c r="D326" s="2" t="s">
        <v>307</v>
      </c>
      <c r="E326" s="2" t="s">
        <v>31</v>
      </c>
      <c r="F326" s="2" t="s">
        <v>15</v>
      </c>
      <c r="G326" s="2" t="s">
        <v>1027</v>
      </c>
      <c r="H326" s="2" t="s">
        <v>40</v>
      </c>
      <c r="I326" s="3" t="str">
        <f>IFERROR(__xludf.DUMMYFUNCTION("GOOGLETRANSLATE(C326,""fr"",""en"")"),"No customer service, it is impossible to have them by phone according to very very long expectations, do not meet emails either. The quotes remain without estimation of care despite an emergency of hospitalization.
Very disappointed
")</f>
        <v>No customer service, it is impossible to have them by phone according to very very long expectations, do not meet emails either. The quotes remain without estimation of care despite an emergency of hospitalization.
Very disappointed
</v>
      </c>
    </row>
    <row r="327" ht="15.75" customHeight="1">
      <c r="A327" s="2">
        <v>4.0</v>
      </c>
      <c r="B327" s="2" t="s">
        <v>1028</v>
      </c>
      <c r="C327" s="2" t="s">
        <v>1029</v>
      </c>
      <c r="D327" s="2" t="s">
        <v>20</v>
      </c>
      <c r="E327" s="2" t="s">
        <v>14</v>
      </c>
      <c r="F327" s="2" t="s">
        <v>15</v>
      </c>
      <c r="G327" s="2" t="s">
        <v>148</v>
      </c>
      <c r="H327" s="2" t="s">
        <v>149</v>
      </c>
      <c r="I327" s="3" t="str">
        <f>IFERROR(__xludf.DUMMYFUNCTION("GOOGLETRANSLATE(C327,""fr"",""en"")"),"Clear and friendly interlocutor. The information was explained to me. The prices are attractive, remains to be seen in the concrete of care when the need arises.")</f>
        <v>Clear and friendly interlocutor. The information was explained to me. The prices are attractive, remains to be seen in the concrete of care when the need arises.</v>
      </c>
    </row>
    <row r="328" ht="15.75" customHeight="1">
      <c r="A328" s="2">
        <v>1.0</v>
      </c>
      <c r="B328" s="2" t="s">
        <v>1030</v>
      </c>
      <c r="C328" s="2" t="s">
        <v>1031</v>
      </c>
      <c r="D328" s="2" t="s">
        <v>20</v>
      </c>
      <c r="E328" s="2" t="s">
        <v>14</v>
      </c>
      <c r="F328" s="2" t="s">
        <v>15</v>
      </c>
      <c r="G328" s="2" t="s">
        <v>1032</v>
      </c>
      <c r="H328" s="2" t="s">
        <v>93</v>
      </c>
      <c r="I328" s="3" t="str">
        <f>IFERROR(__xludf.DUMMYFUNCTION("GOOGLETRANSLATE(C328,""fr"",""en"")"),"To flee! The prices are attractive but do not have to pay so much more expensive with another more serious insurance because if you have a problem do not count on this insurance.
Bad experience with this insurance, my vehicle was damaged in a street, I"&amp;" made a declaration of claim to Direct Insurance, which recommended me a partner garage, I would like to underline the lack of professionalism of the partner garages of this Insurance, my loan vehicle was in lamentabe state. I had to wait 2 weeks to have "&amp;"a return of the expert's decision, he estimated that I was at fault, despite my declaration. Being assured in all risks since 2016 in this insurance, we decided not to take care of the repairs of my car ... Scandalous decision, I was asked to do a counter"&amp;" expertise, something I refused Knowing that repairs to my vehicles are expensive than the expertise.
I could see with this assurance that their services are really of poor quality, the exchange with advisers and processing times are deplorable. For my p"&amp;"art I intend to go back to my old more expensive but more serious insurance.")</f>
        <v>To flee! The prices are attractive but do not have to pay so much more expensive with another more serious insurance because if you have a problem do not count on this insurance.
Bad experience with this insurance, my vehicle was damaged in a street, I made a declaration of claim to Direct Insurance, which recommended me a partner garage, I would like to underline the lack of professionalism of the partner garages of this Insurance, my loan vehicle was in lamentabe state. I had to wait 2 weeks to have a return of the expert's decision, he estimated that I was at fault, despite my declaration. Being assured in all risks since 2016 in this insurance, we decided not to take care of the repairs of my car ... Scandalous decision, I was asked to do a counter expertise, something I refused Knowing that repairs to my vehicles are expensive than the expertise.
I could see with this assurance that their services are really of poor quality, the exchange with advisers and processing times are deplorable. For my part I intend to go back to my old more expensive but more serious insurance.</v>
      </c>
    </row>
    <row r="329" ht="15.75" customHeight="1">
      <c r="A329" s="2">
        <v>4.0</v>
      </c>
      <c r="B329" s="2" t="s">
        <v>1033</v>
      </c>
      <c r="C329" s="2" t="s">
        <v>1034</v>
      </c>
      <c r="D329" s="2" t="s">
        <v>80</v>
      </c>
      <c r="E329" s="2" t="s">
        <v>25</v>
      </c>
      <c r="F329" s="2" t="s">
        <v>15</v>
      </c>
      <c r="G329" s="2" t="s">
        <v>880</v>
      </c>
      <c r="H329" s="2" t="s">
        <v>125</v>
      </c>
      <c r="I329" s="3" t="str">
        <f>IFERROR(__xludf.DUMMYFUNCTION("GOOGLETRANSLATE(C329,""fr"",""en"")"),"I am satisfied with the platform service. It's quite simple and very well explained. For services as assurance, I do not yet know.")</f>
        <v>I am satisfied with the platform service. It's quite simple and very well explained. For services as assurance, I do not yet know.</v>
      </c>
    </row>
    <row r="330" ht="15.75" customHeight="1">
      <c r="A330" s="2">
        <v>5.0</v>
      </c>
      <c r="B330" s="2" t="s">
        <v>1035</v>
      </c>
      <c r="C330" s="2" t="s">
        <v>1036</v>
      </c>
      <c r="D330" s="2" t="s">
        <v>13</v>
      </c>
      <c r="E330" s="2" t="s">
        <v>14</v>
      </c>
      <c r="F330" s="2" t="s">
        <v>15</v>
      </c>
      <c r="G330" s="2" t="s">
        <v>655</v>
      </c>
      <c r="H330" s="2" t="s">
        <v>133</v>
      </c>
      <c r="I330" s="3" t="str">
        <f>IFERROR(__xludf.DUMMYFUNCTION("GOOGLETRANSLATE(C330,""fr"",""en"")"),"I am very satisfied with the telephone exchanges that I was able to have when subscribing for car insurance, the advisor was attentive and very responsive.")</f>
        <v>I am very satisfied with the telephone exchanges that I was able to have when subscribing for car insurance, the advisor was attentive and very responsive.</v>
      </c>
    </row>
    <row r="331" ht="15.75" customHeight="1">
      <c r="A331" s="2">
        <v>1.0</v>
      </c>
      <c r="B331" s="2" t="s">
        <v>1037</v>
      </c>
      <c r="C331" s="2" t="s">
        <v>1038</v>
      </c>
      <c r="D331" s="2" t="s">
        <v>61</v>
      </c>
      <c r="E331" s="2" t="s">
        <v>25</v>
      </c>
      <c r="F331" s="2" t="s">
        <v>15</v>
      </c>
      <c r="G331" s="2" t="s">
        <v>1039</v>
      </c>
      <c r="H331" s="2" t="s">
        <v>309</v>
      </c>
      <c r="I331" s="3" t="str">
        <f>IFERROR(__xludf.DUMMYFUNCTION("GOOGLETRANSLATE(C331,""fr"",""en"")"),"I contacted the MAAF by phone following a simulation of a quote on a comparative site, to ensure my new scooter 125. By saying that it was my 1st vehicle and that I had never been insured, I was told when you couldn't make sure and that it was important t"&amp;"o make sure when obtaining the driving license (the person had not even asked for my date of obtaining the permit , so that I could have had it for only 3 weeks). If all the insurances got rid of young drivers, no one would be assured. It is a scandalous "&amp;"practice. Let them be sure that I would never go to them for them for anything.")</f>
        <v>I contacted the MAAF by phone following a simulation of a quote on a comparative site, to ensure my new scooter 125. By saying that it was my 1st vehicle and that I had never been insured, I was told when you couldn't make sure and that it was important to make sure when obtaining the driving license (the person had not even asked for my date of obtaining the permit , so that I could have had it for only 3 weeks). If all the insurances got rid of young drivers, no one would be assured. It is a scandalous practice. Let them be sure that I would never go to them for them for anything.</v>
      </c>
    </row>
    <row r="332" ht="15.75" customHeight="1">
      <c r="A332" s="2">
        <v>5.0</v>
      </c>
      <c r="B332" s="2" t="s">
        <v>1040</v>
      </c>
      <c r="C332" s="2" t="s">
        <v>1041</v>
      </c>
      <c r="D332" s="2" t="s">
        <v>13</v>
      </c>
      <c r="E332" s="2" t="s">
        <v>14</v>
      </c>
      <c r="F332" s="2" t="s">
        <v>15</v>
      </c>
      <c r="G332" s="2" t="s">
        <v>889</v>
      </c>
      <c r="H332" s="2" t="s">
        <v>309</v>
      </c>
      <c r="I332" s="3" t="str">
        <f>IFERROR(__xludf.DUMMYFUNCTION("GOOGLETRANSLATE(C332,""fr"",""en"")"),"After 20 years I have finally found insurance where the price and the service are at the level
and it is in difficult times that we see the quality of a contract
I had an abroad problem with my car
Reactivitis and service was at the level")</f>
        <v>After 20 years I have finally found insurance where the price and the service are at the level
and it is in difficult times that we see the quality of a contract
I had an abroad problem with my car
Reactivitis and service was at the level</v>
      </c>
    </row>
    <row r="333" ht="15.75" customHeight="1">
      <c r="A333" s="2">
        <v>5.0</v>
      </c>
      <c r="B333" s="2" t="s">
        <v>1042</v>
      </c>
      <c r="C333" s="2" t="s">
        <v>1043</v>
      </c>
      <c r="D333" s="2" t="s">
        <v>13</v>
      </c>
      <c r="E333" s="2" t="s">
        <v>14</v>
      </c>
      <c r="F333" s="2" t="s">
        <v>15</v>
      </c>
      <c r="G333" s="2" t="s">
        <v>497</v>
      </c>
      <c r="H333" s="2" t="s">
        <v>125</v>
      </c>
      <c r="I333" s="3" t="str">
        <f>IFERROR(__xludf.DUMMYFUNCTION("GOOGLETRANSLATE(C333,""fr"",""en"")"),"I am very satisfied with the advisers put in contact at the moment. Fast and efficient, they know how to answer any questions asked. I recommend this insurance.")</f>
        <v>I am very satisfied with the advisers put in contact at the moment. Fast and efficient, they know how to answer any questions asked. I recommend this insurance.</v>
      </c>
    </row>
    <row r="334" ht="15.75" customHeight="1">
      <c r="A334" s="2">
        <v>1.0</v>
      </c>
      <c r="B334" s="2" t="s">
        <v>1044</v>
      </c>
      <c r="C334" s="2" t="s">
        <v>1045</v>
      </c>
      <c r="D334" s="2" t="s">
        <v>61</v>
      </c>
      <c r="E334" s="2" t="s">
        <v>14</v>
      </c>
      <c r="F334" s="2" t="s">
        <v>15</v>
      </c>
      <c r="G334" s="2" t="s">
        <v>1046</v>
      </c>
      <c r="H334" s="2" t="s">
        <v>309</v>
      </c>
      <c r="I334" s="3" t="str">
        <f>IFERROR(__xludf.DUMMYFUNCTION("GOOGLETRANSLATE(C334,""fr"",""en"")"),"Customers for more than 30 years at the MAAF, having 4 auto contracts without any claim since .... years, bonuses 50%+ 8%+ lifetime bonuses, contracts - de8000km,+ main home and other contract. (Two of the vehicles do not drive almost)
This unjustified i"&amp;"ncrease in all contracts, while Treees little km (we are all 2 retirees)
Only sinister: a burglary or the maaf has compensated ... Very bad especially on jewelry (take into account the value of an 18CT gold jewel, at its billed value ago 30 years ago, ev"&amp;"en corresponding to its value by weight of Now current!)
WE ARE FED UP! We will take the majority of contracts!")</f>
        <v>Customers for more than 30 years at the MAAF, having 4 auto contracts without any claim since .... years, bonuses 50%+ 8%+ lifetime bonuses, contracts - de8000km,+ main home and other contract. (Two of the vehicles do not drive almost)
This unjustified increase in all contracts, while Treees little km (we are all 2 retirees)
Only sinister: a burglary or the maaf has compensated ... Very bad especially on jewelry (take into account the value of an 18CT gold jewel, at its billed value ago 30 years ago, even corresponding to its value by weight of Now current!)
WE ARE FED UP! We will take the majority of contracts!</v>
      </c>
    </row>
    <row r="335" ht="15.75" customHeight="1">
      <c r="A335" s="2">
        <v>3.0</v>
      </c>
      <c r="B335" s="2" t="s">
        <v>1047</v>
      </c>
      <c r="C335" s="2" t="s">
        <v>1048</v>
      </c>
      <c r="D335" s="2" t="s">
        <v>20</v>
      </c>
      <c r="E335" s="2" t="s">
        <v>14</v>
      </c>
      <c r="F335" s="2" t="s">
        <v>15</v>
      </c>
      <c r="G335" s="2" t="s">
        <v>1049</v>
      </c>
      <c r="H335" s="2" t="s">
        <v>72</v>
      </c>
      <c r="I335" s="3" t="str">
        <f>IFERROR(__xludf.DUMMYFUNCTION("GOOGLETRANSLATE(C335,""fr"",""en"")"),"The termination procedures with my former insurer were not made as indicated on the site at the time of subscription.
Too bad the price was well placed but I just lost two months of double contribution :(
Cordially.")</f>
        <v>The termination procedures with my former insurer were not made as indicated on the site at the time of subscription.
Too bad the price was well placed but I just lost two months of double contribution :(
Cordially.</v>
      </c>
    </row>
    <row r="336" ht="15.75" customHeight="1">
      <c r="A336" s="2">
        <v>1.0</v>
      </c>
      <c r="B336" s="2" t="s">
        <v>1050</v>
      </c>
      <c r="C336" s="2" t="s">
        <v>1051</v>
      </c>
      <c r="D336" s="2" t="s">
        <v>1052</v>
      </c>
      <c r="E336" s="2" t="s">
        <v>285</v>
      </c>
      <c r="F336" s="2" t="s">
        <v>15</v>
      </c>
      <c r="G336" s="2" t="s">
        <v>198</v>
      </c>
      <c r="H336" s="2" t="s">
        <v>27</v>
      </c>
      <c r="I336" s="3" t="str">
        <f>IFERROR(__xludf.DUMMYFUNCTION("GOOGLETRANSLATE(C336,""fr"",""en"")"),"It has been more than 3 months since I sent a file for Simulation Rent Perp. No response from them, impossible to reach on the phone. Nul to avoid absolutely. If it was to be redone it is not there that I will place my savings.")</f>
        <v>It has been more than 3 months since I sent a file for Simulation Rent Perp. No response from them, impossible to reach on the phone. Nul to avoid absolutely. If it was to be redone it is not there that I will place my savings.</v>
      </c>
    </row>
    <row r="337" ht="15.75" customHeight="1">
      <c r="A337" s="2">
        <v>3.0</v>
      </c>
      <c r="B337" s="2" t="s">
        <v>1053</v>
      </c>
      <c r="C337" s="2" t="s">
        <v>1054</v>
      </c>
      <c r="D337" s="2" t="s">
        <v>147</v>
      </c>
      <c r="E337" s="2" t="s">
        <v>31</v>
      </c>
      <c r="F337" s="2" t="s">
        <v>15</v>
      </c>
      <c r="G337" s="2" t="s">
        <v>1055</v>
      </c>
      <c r="H337" s="2" t="s">
        <v>149</v>
      </c>
      <c r="I337" s="3" t="str">
        <f>IFERROR(__xludf.DUMMYFUNCTION("GOOGLETRANSLATE(C337,""fr"",""en"")"),"I wanted to contact the MGP following the hacking of health files in the Loir et Cher where I live.
The wording of a bank levy challenged me and I wanted to control with the direct debits of the MGP.
After very little telephone waiting, Lucie takes me o"&amp;"nline and after the use controls, reassures me when my normal MGP sample and ""discovers"" that the one who worried was also normal.
Courteous and professional interview.
I remain satisfied with the health MGP
Respectfully")</f>
        <v>I wanted to contact the MGP following the hacking of health files in the Loir et Cher where I live.
The wording of a bank levy challenged me and I wanted to control with the direct debits of the MGP.
After very little telephone waiting, Lucie takes me online and after the use controls, reassures me when my normal MGP sample and "discovers" that the one who worried was also normal.
Courteous and professional interview.
I remain satisfied with the health MGP
Respectfully</v>
      </c>
    </row>
    <row r="338" ht="15.75" customHeight="1">
      <c r="A338" s="2">
        <v>5.0</v>
      </c>
      <c r="B338" s="2" t="s">
        <v>1056</v>
      </c>
      <c r="C338" s="2" t="s">
        <v>1057</v>
      </c>
      <c r="D338" s="2" t="s">
        <v>20</v>
      </c>
      <c r="E338" s="2" t="s">
        <v>14</v>
      </c>
      <c r="F338" s="2" t="s">
        <v>15</v>
      </c>
      <c r="G338" s="2" t="s">
        <v>1058</v>
      </c>
      <c r="H338" s="2" t="s">
        <v>149</v>
      </c>
      <c r="I338" s="3" t="str">
        <f>IFERROR(__xludf.DUMMYFUNCTION("GOOGLETRANSLATE(C338,""fr"",""en"")"),"Hello
Very competitive prices and simple and effective administrative procedures. It remains to test the service in the event of a claim but I am not in a hurry.")</f>
        <v>Hello
Very competitive prices and simple and effective administrative procedures. It remains to test the service in the event of a claim but I am not in a hurry.</v>
      </c>
    </row>
    <row r="339" ht="15.75" customHeight="1">
      <c r="A339" s="2">
        <v>4.0</v>
      </c>
      <c r="B339" s="2" t="s">
        <v>1059</v>
      </c>
      <c r="C339" s="2" t="s">
        <v>1060</v>
      </c>
      <c r="D339" s="2" t="s">
        <v>48</v>
      </c>
      <c r="E339" s="2" t="s">
        <v>14</v>
      </c>
      <c r="F339" s="2" t="s">
        <v>15</v>
      </c>
      <c r="G339" s="2" t="s">
        <v>1061</v>
      </c>
      <c r="H339" s="2" t="s">
        <v>152</v>
      </c>
      <c r="I339" s="3" t="str">
        <f>IFERROR(__xludf.DUMMYFUNCTION("GOOGLETRANSLATE(C339,""fr"",""en"")"),"When I see the negative comments I do not understand because it has been many years since I have been in the Maif which covers my vehicles and my home. I had a water degât, repairs to be made but it has always gone well.")</f>
        <v>When I see the negative comments I do not understand because it has been many years since I have been in the Maif which covers my vehicles and my home. I had a water degât, repairs to be made but it has always gone well.</v>
      </c>
    </row>
    <row r="340" ht="15.75" customHeight="1">
      <c r="A340" s="2">
        <v>4.0</v>
      </c>
      <c r="B340" s="2" t="s">
        <v>1062</v>
      </c>
      <c r="C340" s="2" t="s">
        <v>1063</v>
      </c>
      <c r="D340" s="2" t="s">
        <v>13</v>
      </c>
      <c r="E340" s="2" t="s">
        <v>14</v>
      </c>
      <c r="F340" s="2" t="s">
        <v>15</v>
      </c>
      <c r="G340" s="2" t="s">
        <v>1064</v>
      </c>
      <c r="H340" s="2" t="s">
        <v>17</v>
      </c>
      <c r="I340" s="3" t="str">
        <f>IFERROR(__xludf.DUMMYFUNCTION("GOOGLETRANSLATE(C340,""fr"",""en"")"),"Very satisfactory price coherent
Facilitating the contract
Simple stages
I recommend the olive assurance
..........................")</f>
        <v>Very satisfactory price coherent
Facilitating the contract
Simple stages
I recommend the olive assurance
..........................</v>
      </c>
    </row>
    <row r="341" ht="15.75" customHeight="1">
      <c r="A341" s="2">
        <v>4.0</v>
      </c>
      <c r="B341" s="2" t="s">
        <v>1065</v>
      </c>
      <c r="C341" s="2" t="s">
        <v>1066</v>
      </c>
      <c r="D341" s="2" t="s">
        <v>20</v>
      </c>
      <c r="E341" s="2" t="s">
        <v>14</v>
      </c>
      <c r="F341" s="2" t="s">
        <v>15</v>
      </c>
      <c r="G341" s="2" t="s">
        <v>1067</v>
      </c>
      <c r="H341" s="2" t="s">
        <v>156</v>
      </c>
      <c r="I341" s="3" t="str">
        <f>IFERROR(__xludf.DUMMYFUNCTION("GOOGLETRANSLATE(C341,""fr"",""en"")"),"Service not yet tested but the price seems reasonable, I chose the all -risk option to be insured in the event of ice breaks, vandalism, etc.")</f>
        <v>Service not yet tested but the price seems reasonable, I chose the all -risk option to be insured in the event of ice breaks, vandalism, etc.</v>
      </c>
    </row>
    <row r="342" ht="15.75" customHeight="1">
      <c r="A342" s="2">
        <v>1.0</v>
      </c>
      <c r="B342" s="2" t="s">
        <v>1068</v>
      </c>
      <c r="C342" s="2" t="s">
        <v>1069</v>
      </c>
      <c r="D342" s="2" t="s">
        <v>75</v>
      </c>
      <c r="E342" s="2" t="s">
        <v>31</v>
      </c>
      <c r="F342" s="2" t="s">
        <v>15</v>
      </c>
      <c r="G342" s="2" t="s">
        <v>1070</v>
      </c>
      <c r="H342" s="2" t="s">
        <v>40</v>
      </c>
      <c r="I342" s="3" t="str">
        <f>IFERROR(__xludf.DUMMYFUNCTION("GOOGLETRANSLATE(C342,""fr"",""en"")"),"Anyone except this one.
Impossible to backtrack. The deadlines are very long for a partial refund. Crazy explanations.")</f>
        <v>Anyone except this one.
Impossible to backtrack. The deadlines are very long for a partial refund. Crazy explanations.</v>
      </c>
    </row>
    <row r="343" ht="15.75" customHeight="1">
      <c r="A343" s="2">
        <v>5.0</v>
      </c>
      <c r="B343" s="2" t="s">
        <v>1071</v>
      </c>
      <c r="C343" s="2" t="s">
        <v>1072</v>
      </c>
      <c r="D343" s="2" t="s">
        <v>13</v>
      </c>
      <c r="E343" s="2" t="s">
        <v>14</v>
      </c>
      <c r="F343" s="2" t="s">
        <v>15</v>
      </c>
      <c r="G343" s="2" t="s">
        <v>1073</v>
      </c>
      <c r="H343" s="2" t="s">
        <v>172</v>
      </c>
      <c r="I343" s="3" t="str">
        <f>IFERROR(__xludf.DUMMYFUNCTION("GOOGLETRANSLATE(C343,""fr"",""en"")"),"Very satisfied, attentive, answers questions, very fast, I would recommend 100 %. Very good auto and home insurance. Very serious.")</f>
        <v>Very satisfied, attentive, answers questions, very fast, I would recommend 100 %. Very good auto and home insurance. Very serious.</v>
      </c>
    </row>
    <row r="344" ht="15.75" customHeight="1">
      <c r="A344" s="2">
        <v>2.0</v>
      </c>
      <c r="B344" s="2" t="s">
        <v>1074</v>
      </c>
      <c r="C344" s="2" t="s">
        <v>1075</v>
      </c>
      <c r="D344" s="2" t="s">
        <v>233</v>
      </c>
      <c r="E344" s="2" t="s">
        <v>14</v>
      </c>
      <c r="F344" s="2" t="s">
        <v>15</v>
      </c>
      <c r="G344" s="2" t="s">
        <v>1076</v>
      </c>
      <c r="H344" s="2" t="s">
        <v>1010</v>
      </c>
      <c r="I344" s="3" t="str">
        <f>IFERROR(__xludf.DUMMYFUNCTION("GOOGLETRANSLATE(C344,""fr"",""en"")"),"In 44, less and less physical agency and a unique number to reach them. It is a disaster to be put in touch with a phone advisor and when you move 3/4 hours ago, even during the week. obligation to make an appointment just for a small operation")</f>
        <v>In 44, less and less physical agency and a unique number to reach them. It is a disaster to be put in touch with a phone advisor and when you move 3/4 hours ago, even during the week. obligation to make an appointment just for a small operation</v>
      </c>
    </row>
    <row r="345" ht="15.75" customHeight="1">
      <c r="A345" s="2">
        <v>4.0</v>
      </c>
      <c r="B345" s="2" t="s">
        <v>1077</v>
      </c>
      <c r="C345" s="2" t="s">
        <v>1078</v>
      </c>
      <c r="D345" s="2" t="s">
        <v>20</v>
      </c>
      <c r="E345" s="2" t="s">
        <v>14</v>
      </c>
      <c r="F345" s="2" t="s">
        <v>15</v>
      </c>
      <c r="G345" s="2" t="s">
        <v>1079</v>
      </c>
      <c r="H345" s="2" t="s">
        <v>156</v>
      </c>
      <c r="I345" s="3" t="str">
        <f>IFERROR(__xludf.DUMMYFUNCTION("GOOGLETRANSLATE(C345,""fr"",""en"")"),"I am satisfied the prices are correct and the quote is practical to inform.
I have not yet had the opportunity to compare with the competition but I think that Direct Insurance must be well positioned")</f>
        <v>I am satisfied the prices are correct and the quote is practical to inform.
I have not yet had the opportunity to compare with the competition but I think that Direct Insurance must be well positioned</v>
      </c>
    </row>
    <row r="346" ht="15.75" customHeight="1">
      <c r="A346" s="2">
        <v>5.0</v>
      </c>
      <c r="B346" s="2" t="s">
        <v>1080</v>
      </c>
      <c r="C346" s="2" t="s">
        <v>1081</v>
      </c>
      <c r="D346" s="2" t="s">
        <v>20</v>
      </c>
      <c r="E346" s="2" t="s">
        <v>14</v>
      </c>
      <c r="F346" s="2" t="s">
        <v>15</v>
      </c>
      <c r="G346" s="2" t="s">
        <v>240</v>
      </c>
      <c r="H346" s="2" t="s">
        <v>149</v>
      </c>
      <c r="I346" s="3" t="str">
        <f>IFERROR(__xludf.DUMMYFUNCTION("GOOGLETRANSLATE(C346,""fr"",""en"")"),"very good at any level
The person who collected me was very kind and very competent, I think I will ensure all my vehicles and home insurance
")</f>
        <v>very good at any level
The person who collected me was very kind and very competent, I think I will ensure all my vehicles and home insurance
</v>
      </c>
    </row>
    <row r="347" ht="15.75" customHeight="1">
      <c r="A347" s="2">
        <v>3.0</v>
      </c>
      <c r="B347" s="2" t="s">
        <v>1082</v>
      </c>
      <c r="C347" s="2" t="s">
        <v>1083</v>
      </c>
      <c r="D347" s="2" t="s">
        <v>48</v>
      </c>
      <c r="E347" s="2" t="s">
        <v>91</v>
      </c>
      <c r="F347" s="2" t="s">
        <v>15</v>
      </c>
      <c r="G347" s="2" t="s">
        <v>1084</v>
      </c>
      <c r="H347" s="2" t="s">
        <v>1085</v>
      </c>
      <c r="I347" s="3" t="str">
        <f>IFERROR(__xludf.DUMMYFUNCTION("GOOGLETRANSLATE(C347,""fr"",""en"")"),"Scandalous care. An agent told me at tel ""If you do not understand I finish the conversation"" I am a very faithful member. They have changed")</f>
        <v>Scandalous care. An agent told me at tel "If you do not understand I finish the conversation" I am a very faithful member. They have changed</v>
      </c>
    </row>
    <row r="348" ht="15.75" customHeight="1">
      <c r="A348" s="2">
        <v>3.0</v>
      </c>
      <c r="B348" s="2" t="s">
        <v>1086</v>
      </c>
      <c r="C348" s="2" t="s">
        <v>1087</v>
      </c>
      <c r="D348" s="2" t="s">
        <v>13</v>
      </c>
      <c r="E348" s="2" t="s">
        <v>14</v>
      </c>
      <c r="F348" s="2" t="s">
        <v>15</v>
      </c>
      <c r="G348" s="2" t="s">
        <v>1088</v>
      </c>
      <c r="H348" s="2" t="s">
        <v>255</v>
      </c>
      <c r="I348" s="3" t="str">
        <f>IFERROR(__xludf.DUMMYFUNCTION("GOOGLETRANSLATE(C348,""fr"",""en"")"),"Average price but after-sales service very bad ex on the outset 150 km from my home he offers me a return by taxi up to 50 euros .... the rest of the course I do it by hitchhike?")</f>
        <v>Average price but after-sales service very bad ex on the outset 150 km from my home he offers me a return by taxi up to 50 euros .... the rest of the course I do it by hitchhike?</v>
      </c>
    </row>
    <row r="349" ht="15.75" customHeight="1">
      <c r="A349" s="2">
        <v>4.0</v>
      </c>
      <c r="B349" s="2" t="s">
        <v>1089</v>
      </c>
      <c r="C349" s="2" t="s">
        <v>1090</v>
      </c>
      <c r="D349" s="2" t="s">
        <v>20</v>
      </c>
      <c r="E349" s="2" t="s">
        <v>14</v>
      </c>
      <c r="F349" s="2" t="s">
        <v>15</v>
      </c>
      <c r="G349" s="2" t="s">
        <v>268</v>
      </c>
      <c r="H349" s="2" t="s">
        <v>27</v>
      </c>
      <c r="I349" s="3" t="str">
        <f>IFERROR(__xludf.DUMMYFUNCTION("GOOGLETRANSLATE(C349,""fr"",""en"")"),"Perfect, I hope that the reduction with the Multidays code will be really effective and that the guarantees will be effective
thank you
Too long to reduce the opinion")</f>
        <v>Perfect, I hope that the reduction with the Multidays code will be really effective and that the guarantees will be effective
thank you
Too long to reduce the opinion</v>
      </c>
    </row>
    <row r="350" ht="15.75" customHeight="1">
      <c r="A350" s="2">
        <v>1.0</v>
      </c>
      <c r="B350" s="2" t="s">
        <v>1091</v>
      </c>
      <c r="C350" s="2" t="s">
        <v>1092</v>
      </c>
      <c r="D350" s="2" t="s">
        <v>112</v>
      </c>
      <c r="E350" s="2" t="s">
        <v>14</v>
      </c>
      <c r="F350" s="2" t="s">
        <v>15</v>
      </c>
      <c r="G350" s="2" t="s">
        <v>1093</v>
      </c>
      <c r="H350" s="2" t="s">
        <v>1094</v>
      </c>
      <c r="I350" s="3" t="str">
        <f>IFERROR(__xludf.DUMMYFUNCTION("GOOGLETRANSLATE(C350,""fr"",""en"")"),"Incompetent people gives false information")</f>
        <v>Incompetent people gives false information</v>
      </c>
    </row>
    <row r="351" ht="15.75" customHeight="1">
      <c r="A351" s="2">
        <v>4.0</v>
      </c>
      <c r="B351" s="2" t="s">
        <v>1095</v>
      </c>
      <c r="C351" s="2" t="s">
        <v>1096</v>
      </c>
      <c r="D351" s="2" t="s">
        <v>13</v>
      </c>
      <c r="E351" s="2" t="s">
        <v>14</v>
      </c>
      <c r="F351" s="2" t="s">
        <v>15</v>
      </c>
      <c r="G351" s="2" t="s">
        <v>234</v>
      </c>
      <c r="H351" s="2" t="s">
        <v>72</v>
      </c>
      <c r="I351" s="3" t="str">
        <f>IFERROR(__xludf.DUMMYFUNCTION("GOOGLETRANSLATE(C351,""fr"",""en"")"),"very good service
Good listening and relational
Very reasonable price for young driver and the annual pay is very interesting ..................")</f>
        <v>very good service
Good listening and relational
Very reasonable price for young driver and the annual pay is very interesting ..................</v>
      </c>
    </row>
    <row r="352" ht="15.75" customHeight="1">
      <c r="A352" s="2">
        <v>1.0</v>
      </c>
      <c r="B352" s="2" t="s">
        <v>1097</v>
      </c>
      <c r="C352" s="2" t="s">
        <v>1098</v>
      </c>
      <c r="D352" s="2" t="s">
        <v>621</v>
      </c>
      <c r="E352" s="2" t="s">
        <v>97</v>
      </c>
      <c r="F352" s="2" t="s">
        <v>15</v>
      </c>
      <c r="G352" s="2" t="s">
        <v>1002</v>
      </c>
      <c r="H352" s="2" t="s">
        <v>58</v>
      </c>
      <c r="I352" s="3" t="str">
        <f>IFERROR(__xludf.DUMMYFUNCTION("GOOGLETRANSLATE(C352,""fr"",""en"")"),"I put 1 star because I have to publish, but it's worth Zero !! If you have a real estate credit with a mutual credit or CIC flee !!!!
It's been 1 year since I have been temporarily incapacity and he still did not compensate me and even using the assuranc"&amp;"e mediation.
Good luck to all those who are in pain like me with their ACM life insurance.")</f>
        <v>I put 1 star because I have to publish, but it's worth Zero !! If you have a real estate credit with a mutual credit or CIC flee !!!!
It's been 1 year since I have been temporarily incapacity and he still did not compensate me and even using the assurance mediation.
Good luck to all those who are in pain like me with their ACM life insurance.</v>
      </c>
    </row>
    <row r="353" ht="15.75" customHeight="1">
      <c r="A353" s="2">
        <v>4.0</v>
      </c>
      <c r="B353" s="2" t="s">
        <v>1099</v>
      </c>
      <c r="C353" s="2" t="s">
        <v>1100</v>
      </c>
      <c r="D353" s="2" t="s">
        <v>13</v>
      </c>
      <c r="E353" s="2" t="s">
        <v>14</v>
      </c>
      <c r="F353" s="2" t="s">
        <v>15</v>
      </c>
      <c r="G353" s="2" t="s">
        <v>98</v>
      </c>
      <c r="H353" s="2" t="s">
        <v>17</v>
      </c>
      <c r="I353" s="3" t="str">
        <f>IFERROR(__xludf.DUMMYFUNCTION("GOOGLETRANSLATE(C353,""fr"",""en"")"),"Satisfied with the prices for a young driver of more interlocutor very nice during my various requests to the phone.")</f>
        <v>Satisfied with the prices for a young driver of more interlocutor very nice during my various requests to the phone.</v>
      </c>
    </row>
    <row r="354" ht="15.75" customHeight="1">
      <c r="A354" s="2">
        <v>5.0</v>
      </c>
      <c r="B354" s="2" t="s">
        <v>1101</v>
      </c>
      <c r="C354" s="2" t="s">
        <v>1102</v>
      </c>
      <c r="D354" s="2" t="s">
        <v>20</v>
      </c>
      <c r="E354" s="2" t="s">
        <v>14</v>
      </c>
      <c r="F354" s="2" t="s">
        <v>15</v>
      </c>
      <c r="G354" s="2" t="s">
        <v>293</v>
      </c>
      <c r="H354" s="2" t="s">
        <v>172</v>
      </c>
      <c r="I354" s="3" t="str">
        <f>IFERROR(__xludf.DUMMYFUNCTION("GOOGLETRANSLATE(C354,""fr"",""en"")"),"Simple, practical and fast, in two minutes I changed everything, home, school insurance and automobile. It's quite clear. The only question for which I will have to call it is whether Direct Insurance is responsible for terminating the old contracts")</f>
        <v>Simple, practical and fast, in two minutes I changed everything, home, school insurance and automobile. It's quite clear. The only question for which I will have to call it is whether Direct Insurance is responsible for terminating the old contracts</v>
      </c>
    </row>
    <row r="355" ht="15.75" customHeight="1">
      <c r="A355" s="2">
        <v>1.0</v>
      </c>
      <c r="B355" s="2" t="s">
        <v>1103</v>
      </c>
      <c r="C355" s="2" t="s">
        <v>1104</v>
      </c>
      <c r="D355" s="2" t="s">
        <v>1105</v>
      </c>
      <c r="E355" s="2" t="s">
        <v>107</v>
      </c>
      <c r="F355" s="2" t="s">
        <v>15</v>
      </c>
      <c r="G355" s="2" t="s">
        <v>1106</v>
      </c>
      <c r="H355" s="2" t="s">
        <v>72</v>
      </c>
      <c r="I355" s="3" t="str">
        <f>IFERROR(__xludf.DUMMYFUNCTION("GOOGLETRANSLATE(C355,""fr"",""en"")"),"I regain my hand on the files of my parents who are starting to be elderly and lost in the meanders of administrative procedures of all kinds !!
Regarding the file of their mutual insurance company at Humanis Providentance, the arms fall to me !!
Follow"&amp;"ing the hospitalization of my dad for one month, the hospital asks me for its third -party payment card. I discover then that he does not ... why? Well I inquire, I call the mutual insurance for 15 cents per minute + the price of a call (that is also scan"&amp;"dalous), a charming lady informs me that my parents' contract is too old And that given their advanced age nothing can be changed, specifying that from 70 years old is no more modifiable. I ask to talk to someone else, but obviously dam! This lady specifi"&amp;"es me that indeed it is by decision of insurers that these old contracts could be reviewed and modernize, but that they did not do it! We are in 2021 and the third -party third party does not work for certain contracts, it is completely mind -blowing. My "&amp;"parents will therefore have to advance the sum of a month of hospitalization with a resuscitation passage at 4000 euros per day ?? !!! But who has such sums? Take a loan ? Ah but no where do I have my head? They are too old!
To summarize, I just have to "&amp;"try to make a complaint on the website. Needless to say, I will not have an answer and if by chance I had one, I think that once again I will tell me that nothing can be done.
In short, flee this mutual !!")</f>
        <v>I regain my hand on the files of my parents who are starting to be elderly and lost in the meanders of administrative procedures of all kinds !!
Regarding the file of their mutual insurance company at Humanis Providentance, the arms fall to me !!
Following the hospitalization of my dad for one month, the hospital asks me for its third -party payment card. I discover then that he does not ... why? Well I inquire, I call the mutual insurance for 15 cents per minute + the price of a call (that is also scandalous), a charming lady informs me that my parents' contract is too old And that given their advanced age nothing can be changed, specifying that from 70 years old is no more modifiable. I ask to talk to someone else, but obviously dam! This lady specifies me that indeed it is by decision of insurers that these old contracts could be reviewed and modernize, but that they did not do it! We are in 2021 and the third -party third party does not work for certain contracts, it is completely mind -blowing. My parents will therefore have to advance the sum of a month of hospitalization with a resuscitation passage at 4000 euros per day ?? !!! But who has such sums? Take a loan ? Ah but no where do I have my head? They are too old!
To summarize, I just have to try to make a complaint on the website. Needless to say, I will not have an answer and if by chance I had one, I think that once again I will tell me that nothing can be done.
In short, flee this mutual !!</v>
      </c>
    </row>
    <row r="356" ht="15.75" customHeight="1">
      <c r="A356" s="2">
        <v>4.0</v>
      </c>
      <c r="B356" s="2" t="s">
        <v>1107</v>
      </c>
      <c r="C356" s="2" t="s">
        <v>1108</v>
      </c>
      <c r="D356" s="2" t="s">
        <v>13</v>
      </c>
      <c r="E356" s="2" t="s">
        <v>14</v>
      </c>
      <c r="F356" s="2" t="s">
        <v>15</v>
      </c>
      <c r="G356" s="2" t="s">
        <v>497</v>
      </c>
      <c r="H356" s="2" t="s">
        <v>125</v>
      </c>
      <c r="I356" s="3" t="str">
        <f>IFERROR(__xludf.DUMMYFUNCTION("GOOGLETRANSLATE(C356,""fr"",""en"")"),"The prices are attractive, hoping not to need to use the promised services (avoid an accident).
On the other hand I had a lot of trouble creating my account (on Android), I had to go through a fixed PC and make more than 5 attempts because the payment pa"&amp;"ge was mistaken each time ...")</f>
        <v>The prices are attractive, hoping not to need to use the promised services (avoid an accident).
On the other hand I had a lot of trouble creating my account (on Android), I had to go through a fixed PC and make more than 5 attempts because the payment page was mistaken each time ...</v>
      </c>
    </row>
    <row r="357" ht="15.75" customHeight="1">
      <c r="A357" s="2">
        <v>5.0</v>
      </c>
      <c r="B357" s="2" t="s">
        <v>1109</v>
      </c>
      <c r="C357" s="2" t="s">
        <v>1110</v>
      </c>
      <c r="D357" s="2" t="s">
        <v>233</v>
      </c>
      <c r="E357" s="2" t="s">
        <v>14</v>
      </c>
      <c r="F357" s="2" t="s">
        <v>15</v>
      </c>
      <c r="G357" s="2" t="s">
        <v>1111</v>
      </c>
      <c r="H357" s="2" t="s">
        <v>423</v>
      </c>
      <c r="I357" s="3" t="str">
        <f>IFERROR(__xludf.DUMMYFUNCTION("GOOGLETRANSLATE(C357,""fr"",""en"")"),"Responsible for a hanging, my file was processed quickly: care of the vehicle by an approved garage close to my home, loan of a vehicle all the duration of the repair, no useless paperwork.")</f>
        <v>Responsible for a hanging, my file was processed quickly: care of the vehicle by an approved garage close to my home, loan of a vehicle all the duration of the repair, no useless paperwork.</v>
      </c>
    </row>
    <row r="358" ht="15.75" customHeight="1">
      <c r="A358" s="2">
        <v>1.0</v>
      </c>
      <c r="B358" s="2" t="s">
        <v>1112</v>
      </c>
      <c r="C358" s="2" t="s">
        <v>1113</v>
      </c>
      <c r="D358" s="2" t="s">
        <v>469</v>
      </c>
      <c r="E358" s="2" t="s">
        <v>285</v>
      </c>
      <c r="F358" s="2" t="s">
        <v>15</v>
      </c>
      <c r="G358" s="2" t="s">
        <v>1114</v>
      </c>
      <c r="H358" s="2" t="s">
        <v>87</v>
      </c>
      <c r="I358" s="3" t="str">
        <f>IFERROR(__xludf.DUMMYFUNCTION("GOOGLETRANSLATE(C358,""fr"",""en"")"),"Fired 10,000 euros on my account in October and still nothing on my credited account, not normal mismanagement for a while")</f>
        <v>Fired 10,000 euros on my account in October and still nothing on my credited account, not normal mismanagement for a while</v>
      </c>
    </row>
    <row r="359" ht="15.75" customHeight="1">
      <c r="A359" s="2">
        <v>4.0</v>
      </c>
      <c r="B359" s="2" t="s">
        <v>1115</v>
      </c>
      <c r="C359" s="2" t="s">
        <v>1116</v>
      </c>
      <c r="D359" s="2" t="s">
        <v>13</v>
      </c>
      <c r="E359" s="2" t="s">
        <v>14</v>
      </c>
      <c r="F359" s="2" t="s">
        <v>15</v>
      </c>
      <c r="G359" s="2" t="s">
        <v>133</v>
      </c>
      <c r="H359" s="2" t="s">
        <v>133</v>
      </c>
      <c r="I359" s="3" t="str">
        <f>IFERROR(__xludf.DUMMYFUNCTION("GOOGLETRANSLATE(C359,""fr"",""en"")"),"Simple and practical even by phone.
Very friendly and professional welcome from the advisor.
To see in time, if the price is related to the service .....")</f>
        <v>Simple and practical even by phone.
Very friendly and professional welcome from the advisor.
To see in time, if the price is related to the service .....</v>
      </c>
    </row>
    <row r="360" ht="15.75" customHeight="1">
      <c r="A360" s="2">
        <v>4.0</v>
      </c>
      <c r="B360" s="2" t="s">
        <v>1117</v>
      </c>
      <c r="C360" s="2" t="s">
        <v>1118</v>
      </c>
      <c r="D360" s="2" t="s">
        <v>13</v>
      </c>
      <c r="E360" s="2" t="s">
        <v>14</v>
      </c>
      <c r="F360" s="2" t="s">
        <v>15</v>
      </c>
      <c r="G360" s="2" t="s">
        <v>1119</v>
      </c>
      <c r="H360" s="2" t="s">
        <v>172</v>
      </c>
      <c r="I360" s="3" t="str">
        <f>IFERROR(__xludf.DUMMYFUNCTION("GOOGLETRANSLATE(C360,""fr"",""en"")"),"Good reception and very professional advisor. Best price proposal on the market. Very satisfactory experience. I recommend this insurer")</f>
        <v>Good reception and very professional advisor. Best price proposal on the market. Very satisfactory experience. I recommend this insurer</v>
      </c>
    </row>
    <row r="361" ht="15.75" customHeight="1">
      <c r="A361" s="2">
        <v>2.0</v>
      </c>
      <c r="B361" s="2" t="s">
        <v>1120</v>
      </c>
      <c r="C361" s="2" t="s">
        <v>1121</v>
      </c>
      <c r="D361" s="2" t="s">
        <v>43</v>
      </c>
      <c r="E361" s="2" t="s">
        <v>14</v>
      </c>
      <c r="F361" s="2" t="s">
        <v>15</v>
      </c>
      <c r="G361" s="2" t="s">
        <v>1122</v>
      </c>
      <c r="H361" s="2" t="s">
        <v>140</v>
      </c>
      <c r="I361" s="3" t="str">
        <f>IFERROR(__xludf.DUMMYFUNCTION("GOOGLETRANSLATE(C361,""fr"",""en"")"),"I have been a member of the Macif for over 24 years. It was still fifteen days ago, I had never had an accident. But here it is, a motorist has been prioritizing, and I find myself with my car in scratch. Not being responsible, I naively thought that my v"&amp;"ehicle (which I bought nine 18 months earlier) would be reimbursed at the purchase price. But now, the Macif tells me that the reimbursement at the purchase price is optional (increased value) and that I have not opted for this option.
I think this is a "&amp;"blatant case of default of advice, given that this option has never been offered.
I went to the agency to ensure this new car, and obviously, the Macif advisor was more interested in the sale of car credit than by his duty to advise. I don't even know th"&amp;"e price of this option, but what I know is that I would not have hesitated for a second to take it if I had been aware.
I do not know how this story will end, but I do not make too much illusion on the management of the Macif.")</f>
        <v>I have been a member of the Macif for over 24 years. It was still fifteen days ago, I had never had an accident. But here it is, a motorist has been prioritizing, and I find myself with my car in scratch. Not being responsible, I naively thought that my vehicle (which I bought nine 18 months earlier) would be reimbursed at the purchase price. But now, the Macif tells me that the reimbursement at the purchase price is optional (increased value) and that I have not opted for this option.
I think this is a blatant case of default of advice, given that this option has never been offered.
I went to the agency to ensure this new car, and obviously, the Macif advisor was more interested in the sale of car credit than by his duty to advise. I don't even know the price of this option, but what I know is that I would not have hesitated for a second to take it if I had been aware.
I do not know how this story will end, but I do not make too much illusion on the management of the Macif.</v>
      </c>
    </row>
    <row r="362" ht="15.75" customHeight="1">
      <c r="A362" s="2">
        <v>1.0</v>
      </c>
      <c r="B362" s="2" t="s">
        <v>1123</v>
      </c>
      <c r="C362" s="2" t="s">
        <v>1124</v>
      </c>
      <c r="D362" s="2" t="s">
        <v>106</v>
      </c>
      <c r="E362" s="2" t="s">
        <v>31</v>
      </c>
      <c r="F362" s="2" t="s">
        <v>15</v>
      </c>
      <c r="G362" s="2" t="s">
        <v>1125</v>
      </c>
      <c r="H362" s="2" t="s">
        <v>287</v>
      </c>
      <c r="I362" s="3" t="str">
        <f>IFERROR(__xludf.DUMMYFUNCTION("GOOGLETRANSLATE(C362,""fr"",""en"")"),"The reimbursement times have just become mind -blowing. Last year, for the same orthodontic visit, I was reimbursed within 10 working days. This year after 10 days, still nothing. I phone, I am then announced a 20 -day delay ... just huge! I recall 5 days"&amp;" later because it is still 500 euros that I await and there the deadline has increased to 25 days. I have never seen such long deadlines. They really take us for idiots and in the meantime, it is not they who pay bank fees. And they are still at the Stone"&amp;" Age for sending mail and quotes, do not be in a hurry ... They do not know the email, they still send them by mail and at the extra slow story that you receive it as late as possible. Everything is long with them.")</f>
        <v>The reimbursement times have just become mind -blowing. Last year, for the same orthodontic visit, I was reimbursed within 10 working days. This year after 10 days, still nothing. I phone, I am then announced a 20 -day delay ... just huge! I recall 5 days later because it is still 500 euros that I await and there the deadline has increased to 25 days. I have never seen such long deadlines. They really take us for idiots and in the meantime, it is not they who pay bank fees. And they are still at the Stone Age for sending mail and quotes, do not be in a hurry ... They do not know the email, they still send them by mail and at the extra slow story that you receive it as late as possible. Everything is long with them.</v>
      </c>
    </row>
    <row r="363" ht="15.75" customHeight="1">
      <c r="A363" s="2">
        <v>1.0</v>
      </c>
      <c r="B363" s="2" t="s">
        <v>1126</v>
      </c>
      <c r="C363" s="2" t="s">
        <v>1127</v>
      </c>
      <c r="D363" s="2" t="s">
        <v>106</v>
      </c>
      <c r="E363" s="2" t="s">
        <v>31</v>
      </c>
      <c r="F363" s="2" t="s">
        <v>15</v>
      </c>
      <c r="G363" s="2" t="s">
        <v>1128</v>
      </c>
      <c r="H363" s="2" t="s">
        <v>109</v>
      </c>
      <c r="I363" s="3" t="str">
        <f>IFERROR(__xludf.DUMMYFUNCTION("GOOGLETRANSLATE(C363,""fr"",""en"")"),"I am still awaiting reimbursement of orthodontic costs for my son for a month. Today I still phoned and the advisor was sorry not to be able to answer me because of computer failure. ...
This is undoubtedly the last excuse to spread to shorten conversati"&amp;"ons. ...")</f>
        <v>I am still awaiting reimbursement of orthodontic costs for my son for a month. Today I still phoned and the advisor was sorry not to be able to answer me because of computer failure. ...
This is undoubtedly the last excuse to spread to shorten conversations. ...</v>
      </c>
    </row>
    <row r="364" ht="15.75" customHeight="1">
      <c r="A364" s="2">
        <v>5.0</v>
      </c>
      <c r="B364" s="2" t="s">
        <v>1129</v>
      </c>
      <c r="C364" s="2" t="s">
        <v>1130</v>
      </c>
      <c r="D364" s="2" t="s">
        <v>30</v>
      </c>
      <c r="E364" s="2" t="s">
        <v>31</v>
      </c>
      <c r="F364" s="2" t="s">
        <v>15</v>
      </c>
      <c r="G364" s="2" t="s">
        <v>234</v>
      </c>
      <c r="H364" s="2" t="s">
        <v>72</v>
      </c>
      <c r="I364" s="3" t="str">
        <f>IFERROR(__xludf.DUMMYFUNCTION("GOOGLETRANSLATE(C364,""fr"",""en"")"),"Very good service of this mutual: speed of care and reimbursements
The web application is very easy to use
I recommend this mutual")</f>
        <v>Very good service of this mutual: speed of care and reimbursements
The web application is very easy to use
I recommend this mutual</v>
      </c>
    </row>
    <row r="365" ht="15.75" customHeight="1">
      <c r="A365" s="2">
        <v>5.0</v>
      </c>
      <c r="B365" s="2" t="s">
        <v>1131</v>
      </c>
      <c r="C365" s="2" t="s">
        <v>1132</v>
      </c>
      <c r="D365" s="2" t="s">
        <v>513</v>
      </c>
      <c r="E365" s="2" t="s">
        <v>14</v>
      </c>
      <c r="F365" s="2" t="s">
        <v>15</v>
      </c>
      <c r="G365" s="2" t="s">
        <v>1133</v>
      </c>
      <c r="H365" s="2" t="s">
        <v>535</v>
      </c>
      <c r="I365" s="3" t="str">
        <f>IFERROR(__xludf.DUMMYFUNCTION("GOOGLETRANSLATE(C365,""fr"",""en"")"),"Top insurance!
I have been there for 6 years that it is for our cars and our house they have always been very responsive and the advisers on the phone always very pleasant and professional. And yet I had several problems with our cars and the house.
Ver"&amp;"y fast support as well as reimbursements. Really top top top.")</f>
        <v>Top insurance!
I have been there for 6 years that it is for our cars and our house they have always been very responsive and the advisers on the phone always very pleasant and professional. And yet I had several problems with our cars and the house.
Very fast support as well as reimbursements. Really top top top.</v>
      </c>
    </row>
    <row r="366" ht="15.75" customHeight="1">
      <c r="A366" s="2">
        <v>3.0</v>
      </c>
      <c r="B366" s="2" t="s">
        <v>1134</v>
      </c>
      <c r="C366" s="2" t="s">
        <v>1135</v>
      </c>
      <c r="D366" s="2" t="s">
        <v>469</v>
      </c>
      <c r="E366" s="2" t="s">
        <v>285</v>
      </c>
      <c r="F366" s="2" t="s">
        <v>15</v>
      </c>
      <c r="G366" s="2" t="s">
        <v>1136</v>
      </c>
      <c r="H366" s="2" t="s">
        <v>477</v>
      </c>
      <c r="I366" s="3" t="str">
        <f>IFERROR(__xludf.DUMMYFUNCTION("GOOGLETRANSLATE(C366,""fr"",""en"")"),"Since October 01, 2019 blocking of partial withdrawals
No correct operating time
It's very disturbing
withdrawals allow you to increase a small retirement")</f>
        <v>Since October 01, 2019 blocking of partial withdrawals
No correct operating time
It's very disturbing
withdrawals allow you to increase a small retirement</v>
      </c>
    </row>
    <row r="367" ht="15.75" customHeight="1">
      <c r="A367" s="2">
        <v>2.0</v>
      </c>
      <c r="B367" s="2" t="s">
        <v>1137</v>
      </c>
      <c r="C367" s="2" t="s">
        <v>1138</v>
      </c>
      <c r="D367" s="2" t="s">
        <v>20</v>
      </c>
      <c r="E367" s="2" t="s">
        <v>14</v>
      </c>
      <c r="F367" s="2" t="s">
        <v>15</v>
      </c>
      <c r="G367" s="2" t="s">
        <v>1139</v>
      </c>
      <c r="H367" s="2" t="s">
        <v>17</v>
      </c>
      <c r="I367" s="3" t="str">
        <f>IFERROR(__xludf.DUMMYFUNCTION("GOOGLETRANSLATE(C367,""fr"",""en"")"),"I find that with the records and record benefits recorded by car insurers while the country tightens the belt, an effort on the subscription would have been welcome.
Otherwise the service is correct.")</f>
        <v>I find that with the records and record benefits recorded by car insurers while the country tightens the belt, an effort on the subscription would have been welcome.
Otherwise the service is correct.</v>
      </c>
    </row>
    <row r="368" ht="15.75" customHeight="1">
      <c r="A368" s="2">
        <v>3.0</v>
      </c>
      <c r="B368" s="2" t="s">
        <v>1140</v>
      </c>
      <c r="C368" s="2" t="s">
        <v>1141</v>
      </c>
      <c r="D368" s="2" t="s">
        <v>20</v>
      </c>
      <c r="E368" s="2" t="s">
        <v>14</v>
      </c>
      <c r="F368" s="2" t="s">
        <v>15</v>
      </c>
      <c r="G368" s="2" t="s">
        <v>767</v>
      </c>
      <c r="H368" s="2" t="s">
        <v>27</v>
      </c>
      <c r="I368" s="3" t="str">
        <f>IFERROR(__xludf.DUMMYFUNCTION("GOOGLETRANSLATE(C368,""fr"",""en"")"),"The value for money looks interesting.
Too bad the quote is not easy to read on the website (many options, second driver, several prices displayed) - I hope I have chosen the contract that I really wanted.")</f>
        <v>The value for money looks interesting.
Too bad the quote is not easy to read on the website (many options, second driver, several prices displayed) - I hope I have chosen the contract that I really wanted.</v>
      </c>
    </row>
    <row r="369" ht="15.75" customHeight="1">
      <c r="A369" s="2">
        <v>4.0</v>
      </c>
      <c r="B369" s="2" t="s">
        <v>1142</v>
      </c>
      <c r="C369" s="2" t="s">
        <v>1143</v>
      </c>
      <c r="D369" s="2" t="s">
        <v>13</v>
      </c>
      <c r="E369" s="2" t="s">
        <v>14</v>
      </c>
      <c r="F369" s="2" t="s">
        <v>15</v>
      </c>
      <c r="G369" s="2" t="s">
        <v>1144</v>
      </c>
      <c r="H369" s="2" t="s">
        <v>334</v>
      </c>
      <c r="I369" s="3" t="str">
        <f>IFERROR(__xludf.DUMMYFUNCTION("GOOGLETRANSLATE(C369,""fr"",""en"")"),"I am satisfied with this insurance, especially for the price and reasonable and correct. I recommend it to several of my relatives. And you can also get a sponsorship")</f>
        <v>I am satisfied with this insurance, especially for the price and reasonable and correct. I recommend it to several of my relatives. And you can also get a sponsorship</v>
      </c>
    </row>
    <row r="370" ht="15.75" customHeight="1">
      <c r="A370" s="2">
        <v>3.0</v>
      </c>
      <c r="B370" s="2" t="s">
        <v>1145</v>
      </c>
      <c r="C370" s="2" t="s">
        <v>1146</v>
      </c>
      <c r="D370" s="2" t="s">
        <v>20</v>
      </c>
      <c r="E370" s="2" t="s">
        <v>14</v>
      </c>
      <c r="F370" s="2" t="s">
        <v>15</v>
      </c>
      <c r="G370" s="2" t="s">
        <v>1147</v>
      </c>
      <c r="H370" s="2" t="s">
        <v>423</v>
      </c>
      <c r="I370" s="3" t="str">
        <f>IFERROR(__xludf.DUMMYFUNCTION("GOOGLETRANSLATE(C370,""fr"",""en"")"),"Customer service relocated and certainly abroad. This service does not understand customer requests because it only stupidly repeats a text and transcribes our requests without even understanding them. On the other hand to subscribe to the contract we hav"&amp;"e to do to a person located in France and whose understanding and rapid to cash the deposit. I was insured 2 months unnecessarily following a poor understanding of the customer services, my contract was terminated on 07/28 for a vehicle that I finally bou"&amp;"ght at 29/07.")</f>
        <v>Customer service relocated and certainly abroad. This service does not understand customer requests because it only stupidly repeats a text and transcribes our requests without even understanding them. On the other hand to subscribe to the contract we have to do to a person located in France and whose understanding and rapid to cash the deposit. I was insured 2 months unnecessarily following a poor understanding of the customer services, my contract was terminated on 07/28 for a vehicle that I finally bought at 29/07.</v>
      </c>
    </row>
    <row r="371" ht="15.75" customHeight="1">
      <c r="A371" s="2">
        <v>3.0</v>
      </c>
      <c r="B371" s="2" t="s">
        <v>1148</v>
      </c>
      <c r="C371" s="2" t="s">
        <v>1149</v>
      </c>
      <c r="D371" s="2" t="s">
        <v>190</v>
      </c>
      <c r="E371" s="2" t="s">
        <v>31</v>
      </c>
      <c r="F371" s="2" t="s">
        <v>15</v>
      </c>
      <c r="G371" s="2" t="s">
        <v>1150</v>
      </c>
      <c r="H371" s="2" t="s">
        <v>33</v>
      </c>
      <c r="I371" s="3" t="str">
        <f>IFERROR(__xludf.DUMMYFUNCTION("GOOGLETRANSLATE(C371,""fr"",""en"")"),"Very good advisor, sympathetic and professional. She was able to solve all my doubts/problems. Very satisfied with customer service.
")</f>
        <v>Very good advisor, sympathetic and professional. She was able to solve all my doubts/problems. Very satisfied with customer service.
</v>
      </c>
    </row>
    <row r="372" ht="15.75" customHeight="1">
      <c r="A372" s="2">
        <v>3.0</v>
      </c>
      <c r="B372" s="2" t="s">
        <v>1151</v>
      </c>
      <c r="C372" s="2" t="s">
        <v>1152</v>
      </c>
      <c r="D372" s="2" t="s">
        <v>20</v>
      </c>
      <c r="E372" s="2" t="s">
        <v>14</v>
      </c>
      <c r="F372" s="2" t="s">
        <v>15</v>
      </c>
      <c r="G372" s="2" t="s">
        <v>1153</v>
      </c>
      <c r="H372" s="2" t="s">
        <v>172</v>
      </c>
      <c r="I372" s="3" t="str">
        <f>IFERROR(__xludf.DUMMYFUNCTION("GOOGLETRANSLATE(C372,""fr"",""en"")"),"I am not at all satisfied with my call for a change of address, on 04/14/2021 at 5:08 pm specifies, my interlocutor was very insolent.
Review the training of your employees.")</f>
        <v>I am not at all satisfied with my call for a change of address, on 04/14/2021 at 5:08 pm specifies, my interlocutor was very insolent.
Review the training of your employees.</v>
      </c>
    </row>
    <row r="373" ht="15.75" customHeight="1">
      <c r="A373" s="2">
        <v>4.0</v>
      </c>
      <c r="B373" s="2" t="s">
        <v>1154</v>
      </c>
      <c r="C373" s="2" t="s">
        <v>1155</v>
      </c>
      <c r="D373" s="2" t="s">
        <v>20</v>
      </c>
      <c r="E373" s="2" t="s">
        <v>14</v>
      </c>
      <c r="F373" s="2" t="s">
        <v>15</v>
      </c>
      <c r="G373" s="2" t="s">
        <v>564</v>
      </c>
      <c r="H373" s="2" t="s">
        <v>149</v>
      </c>
      <c r="I373" s="3" t="str">
        <f>IFERROR(__xludf.DUMMYFUNCTION("GOOGLETRANSLATE(C373,""fr"",""en"")"),"Correct price for subscription, advice to listen when they are called, only negative point for several vehicles they could make a small gesture because having had 3 vehicles ensure at your home no reduction made except there the sponsorship proposed in Fe"&amp;"bruary 2021 while you the fesiez well before")</f>
        <v>Correct price for subscription, advice to listen when they are called, only negative point for several vehicles they could make a small gesture because having had 3 vehicles ensure at your home no reduction made except there the sponsorship proposed in February 2021 while you the fesiez well before</v>
      </c>
    </row>
    <row r="374" ht="15.75" customHeight="1">
      <c r="A374" s="2">
        <v>1.0</v>
      </c>
      <c r="B374" s="2" t="s">
        <v>1156</v>
      </c>
      <c r="C374" s="2" t="s">
        <v>1157</v>
      </c>
      <c r="D374" s="2" t="s">
        <v>373</v>
      </c>
      <c r="E374" s="2" t="s">
        <v>31</v>
      </c>
      <c r="F374" s="2" t="s">
        <v>15</v>
      </c>
      <c r="G374" s="2" t="s">
        <v>404</v>
      </c>
      <c r="H374" s="2" t="s">
        <v>72</v>
      </c>
      <c r="I374" s="3" t="str">
        <f>IFERROR(__xludf.DUMMYFUNCTION("GOOGLETRANSLATE(C374,""fr"",""en"")"),"Adhering to this thing is the last thing to do. Flee if you don't want to goat, don't practice any refund. Do not answer the phone and even mail in AR.")</f>
        <v>Adhering to this thing is the last thing to do. Flee if you don't want to goat, don't practice any refund. Do not answer the phone and even mail in AR.</v>
      </c>
    </row>
    <row r="375" ht="15.75" customHeight="1">
      <c r="A375" s="2">
        <v>3.0</v>
      </c>
      <c r="B375" s="2" t="s">
        <v>1158</v>
      </c>
      <c r="C375" s="2" t="s">
        <v>1159</v>
      </c>
      <c r="D375" s="2" t="s">
        <v>101</v>
      </c>
      <c r="E375" s="2" t="s">
        <v>31</v>
      </c>
      <c r="F375" s="2" t="s">
        <v>15</v>
      </c>
      <c r="G375" s="2" t="s">
        <v>880</v>
      </c>
      <c r="H375" s="2" t="s">
        <v>125</v>
      </c>
      <c r="I375" s="3" t="str">
        <f>IFERROR(__xludf.DUMMYFUNCTION("GOOGLETRANSLATE(C375,""fr"",""en"")"),"I am satisfied that Balde, the advisor I had in telephone today, answers and understands, (finally ...), my request concerning a document that I sent several times to Néoliane, by different biases (email, with various addresses, customer service ...), and"&amp;" by telephone 6 times to other advisers who have not understood the content of my request, namely to complete the part of a CPAM document , that I have transmitted, including part to be completed by Néoliane, and to send me this document filled with you, "&amp;"so that I can send this same document to the CPAM, so that I can perceive the social aid that it Give me, with the aim of helping me pay, the health insurance that I subscribed to Néoliane from 01/01/2022, because I no longer have the right to the ASS, fr"&amp;"om this date , reason why, I have subscribed to complementary health at Néoliane.
Balde, unlike my other interlocutors, has finally understood my request, and carried out research with other services, to know when, and how my request would be processed.
"&amp;"
So I could have an answer, and he informed me that my mail will be filled and returned to my address at the end of the week.
He was very kind, friendly and very helpful, and I am very satisfied with this telephone exchange with the latter.")</f>
        <v>I am satisfied that Balde, the advisor I had in telephone today, answers and understands, (finally ...), my request concerning a document that I sent several times to Néoliane, by different biases (email, with various addresses, customer service ...), and by telephone 6 times to other advisers who have not understood the content of my request, namely to complete the part of a CPAM document , that I have transmitted, including part to be completed by Néoliane, and to send me this document filled with you, so that I can send this same document to the CPAM, so that I can perceive the social aid that it Give me, with the aim of helping me pay, the health insurance that I subscribed to Néoliane from 01/01/2022, because I no longer have the right to the ASS, from this date , reason why, I have subscribed to complementary health at Néoliane.
Balde, unlike my other interlocutors, has finally understood my request, and carried out research with other services, to know when, and how my request would be processed.
So I could have an answer, and he informed me that my mail will be filled and returned to my address at the end of the week.
He was very kind, friendly and very helpful, and I am very satisfied with this telephone exchange with the latter.</v>
      </c>
    </row>
    <row r="376" ht="15.75" customHeight="1">
      <c r="A376" s="2">
        <v>1.0</v>
      </c>
      <c r="B376" s="2" t="s">
        <v>1160</v>
      </c>
      <c r="C376" s="2" t="s">
        <v>1161</v>
      </c>
      <c r="D376" s="2" t="s">
        <v>284</v>
      </c>
      <c r="E376" s="2" t="s">
        <v>285</v>
      </c>
      <c r="F376" s="2" t="s">
        <v>15</v>
      </c>
      <c r="G376" s="2" t="s">
        <v>1162</v>
      </c>
      <c r="H376" s="2" t="s">
        <v>103</v>
      </c>
      <c r="I376" s="3" t="str">
        <f>IFERROR(__xludf.DUMMYFUNCTION("GOOGLETRANSLATE(C376,""fr"",""en"")"),"AV contract subscribed in August. For 2 months, access to my account on the cardif site does not work. I am unfortunately not. Customer service totally unable to solve the problem.")</f>
        <v>AV contract subscribed in August. For 2 months, access to my account on the cardif site does not work. I am unfortunately not. Customer service totally unable to solve the problem.</v>
      </c>
    </row>
    <row r="377" ht="15.75" customHeight="1">
      <c r="A377" s="2">
        <v>1.0</v>
      </c>
      <c r="B377" s="2" t="s">
        <v>1163</v>
      </c>
      <c r="C377" s="2" t="s">
        <v>1164</v>
      </c>
      <c r="D377" s="2" t="s">
        <v>48</v>
      </c>
      <c r="E377" s="2" t="s">
        <v>91</v>
      </c>
      <c r="F377" s="2" t="s">
        <v>15</v>
      </c>
      <c r="G377" s="2" t="s">
        <v>1165</v>
      </c>
      <c r="H377" s="2" t="s">
        <v>354</v>
      </c>
      <c r="I377" s="3" t="str">
        <f>IFERROR(__xludf.DUMMYFUNCTION("GOOGLETRANSLATE(C377,""fr"",""en"")"),"Good evening and Bravo Alohawave and colleagues !!! The exchanges clearly show the limits of the maif, the demagoguery and the hypocrisy which she knows how to demonstrate. Maif's ""Sbire"" are sent to the forum with the same approach: bring the authors o"&amp;"f the bad comments to exchange in private in order to try to suffocate freedom of speech. They are afraid that other members will open their eyes ... courage to those who argue to uncover the dysfunction of maif !!")</f>
        <v>Good evening and Bravo Alohawave and colleagues !!! The exchanges clearly show the limits of the maif, the demagoguery and the hypocrisy which she knows how to demonstrate. Maif's "Sbire" are sent to the forum with the same approach: bring the authors of the bad comments to exchange in private in order to try to suffocate freedom of speech. They are afraid that other members will open their eyes ... courage to those who argue to uncover the dysfunction of maif !!</v>
      </c>
    </row>
    <row r="378" ht="15.75" customHeight="1">
      <c r="A378" s="2">
        <v>3.0</v>
      </c>
      <c r="B378" s="2" t="s">
        <v>1166</v>
      </c>
      <c r="C378" s="2" t="s">
        <v>1167</v>
      </c>
      <c r="D378" s="2" t="s">
        <v>159</v>
      </c>
      <c r="E378" s="2" t="s">
        <v>91</v>
      </c>
      <c r="F378" s="2" t="s">
        <v>15</v>
      </c>
      <c r="G378" s="2" t="s">
        <v>1168</v>
      </c>
      <c r="H378" s="2" t="s">
        <v>504</v>
      </c>
      <c r="I378" s="3" t="str">
        <f>IFERROR(__xludf.DUMMYFUNCTION("GOOGLETRANSLATE(C378,""fr"",""en"")"),"Disappointed by a disaster not taken into account. Too large franchise. Given the risk, contribution far too high. Not having an internet account, being forced to request, please contact by phone or mail")</f>
        <v>Disappointed by a disaster not taken into account. Too large franchise. Given the risk, contribution far too high. Not having an internet account, being forced to request, please contact by phone or mail</v>
      </c>
    </row>
    <row r="379" ht="15.75" customHeight="1">
      <c r="A379" s="2">
        <v>5.0</v>
      </c>
      <c r="B379" s="2" t="s">
        <v>1169</v>
      </c>
      <c r="C379" s="2" t="s">
        <v>1170</v>
      </c>
      <c r="D379" s="2" t="s">
        <v>13</v>
      </c>
      <c r="E379" s="2" t="s">
        <v>14</v>
      </c>
      <c r="F379" s="2" t="s">
        <v>15</v>
      </c>
      <c r="G379" s="2" t="s">
        <v>1171</v>
      </c>
      <c r="H379" s="2" t="s">
        <v>17</v>
      </c>
      <c r="I379" s="3" t="str">
        <f>IFERROR(__xludf.DUMMYFUNCTION("GOOGLETRANSLATE(C379,""fr"",""en"")"),"Perfect welcome perfect explanations very attentive I recommend for the quality price it all picks up immediately no waiting not put aside perfect.")</f>
        <v>Perfect welcome perfect explanations very attentive I recommend for the quality price it all picks up immediately no waiting not put aside perfect.</v>
      </c>
    </row>
    <row r="380" ht="15.75" customHeight="1">
      <c r="A380" s="2">
        <v>1.0</v>
      </c>
      <c r="B380" s="2" t="s">
        <v>1172</v>
      </c>
      <c r="C380" s="2" t="s">
        <v>1173</v>
      </c>
      <c r="D380" s="2" t="s">
        <v>698</v>
      </c>
      <c r="E380" s="2" t="s">
        <v>285</v>
      </c>
      <c r="F380" s="2" t="s">
        <v>15</v>
      </c>
      <c r="G380" s="2" t="s">
        <v>1174</v>
      </c>
      <c r="H380" s="2" t="s">
        <v>195</v>
      </c>
      <c r="I380" s="3" t="str">
        <f>IFERROR(__xludf.DUMMYFUNCTION("GOOGLETRANSLATE(C380,""fr"",""en"")"),"Generali is unable to manage the identifiers of these customers. To flee !")</f>
        <v>Generali is unable to manage the identifiers of these customers. To flee !</v>
      </c>
    </row>
    <row r="381" ht="15.75" customHeight="1">
      <c r="A381" s="2">
        <v>1.0</v>
      </c>
      <c r="B381" s="2" t="s">
        <v>1175</v>
      </c>
      <c r="C381" s="2" t="s">
        <v>1176</v>
      </c>
      <c r="D381" s="2" t="s">
        <v>13</v>
      </c>
      <c r="E381" s="2" t="s">
        <v>14</v>
      </c>
      <c r="F381" s="2" t="s">
        <v>15</v>
      </c>
      <c r="G381" s="2" t="s">
        <v>1177</v>
      </c>
      <c r="H381" s="2" t="s">
        <v>68</v>
      </c>
      <c r="I381" s="3" t="str">
        <f>IFERROR(__xludf.DUMMYFUNCTION("GOOGLETRANSLATE(C381,""fr"",""en"")"),"Almost impossible termination with them. Little readable documents and vague explanations. Reception of documents very late to limit the termination reactivity.")</f>
        <v>Almost impossible termination with them. Little readable documents and vague explanations. Reception of documents very late to limit the termination reactivity.</v>
      </c>
    </row>
    <row r="382" ht="15.75" customHeight="1">
      <c r="A382" s="2">
        <v>4.0</v>
      </c>
      <c r="B382" s="2" t="s">
        <v>1178</v>
      </c>
      <c r="C382" s="2" t="s">
        <v>1179</v>
      </c>
      <c r="D382" s="2" t="s">
        <v>13</v>
      </c>
      <c r="E382" s="2" t="s">
        <v>14</v>
      </c>
      <c r="F382" s="2" t="s">
        <v>15</v>
      </c>
      <c r="G382" s="2" t="s">
        <v>929</v>
      </c>
      <c r="H382" s="2" t="s">
        <v>133</v>
      </c>
      <c r="I382" s="3" t="str">
        <f>IFERROR(__xludf.DUMMYFUNCTION("GOOGLETRANSLATE(C382,""fr"",""en"")"),"I am satisfied with the offer The price is attractive for my request, thank you V. V")</f>
        <v>I am satisfied with the offer The price is attractive for my request, thank you V. V</v>
      </c>
    </row>
    <row r="383" ht="15.75" customHeight="1">
      <c r="A383" s="2">
        <v>3.0</v>
      </c>
      <c r="B383" s="2" t="s">
        <v>1180</v>
      </c>
      <c r="C383" s="2" t="s">
        <v>1181</v>
      </c>
      <c r="D383" s="2" t="s">
        <v>20</v>
      </c>
      <c r="E383" s="2" t="s">
        <v>14</v>
      </c>
      <c r="F383" s="2" t="s">
        <v>15</v>
      </c>
      <c r="G383" s="2" t="s">
        <v>1055</v>
      </c>
      <c r="H383" s="2" t="s">
        <v>149</v>
      </c>
      <c r="I383" s="3" t="str">
        <f>IFERROR(__xludf.DUMMYFUNCTION("GOOGLETRANSLATE(C383,""fr"",""en"")"),"I am satisfied with the prices offered - the signed contract suits me
Start of contract March 2021
I am finishing my file which begins on March 8, 2021.")</f>
        <v>I am satisfied with the prices offered - the signed contract suits me
Start of contract March 2021
I am finishing my file which begins on March 8, 2021.</v>
      </c>
    </row>
    <row r="384" ht="15.75" customHeight="1">
      <c r="A384" s="2">
        <v>2.0</v>
      </c>
      <c r="B384" s="2" t="s">
        <v>1182</v>
      </c>
      <c r="C384" s="2" t="s">
        <v>1183</v>
      </c>
      <c r="D384" s="2" t="s">
        <v>13</v>
      </c>
      <c r="E384" s="2" t="s">
        <v>14</v>
      </c>
      <c r="F384" s="2" t="s">
        <v>15</v>
      </c>
      <c r="G384" s="2" t="s">
        <v>1184</v>
      </c>
      <c r="H384" s="2" t="s">
        <v>45</v>
      </c>
      <c r="I384" s="3" t="str">
        <f>IFERROR(__xludf.DUMMYFUNCTION("GOOGLETRANSLATE(C384,""fr"",""en"")"),"Completely farted site and no response from them. I can't access my personal space and I don't even have an error, impossible to modify my MDP because I get ""notice: Trying to get Property of Non Object in Eui_usuarios_resetear_Contrasena_Form_submit () "&amp;"(Line 1553 of / OPT/www/vhosts/xpromhdrupal01/mon-space/profiles/eui/modules/custom/eui_usuarios/eui_usuarios.module). ""
And no one answers!")</f>
        <v>Completely farted site and no response from them. I can't access my personal space and I don't even have an error, impossible to modify my MDP because I get "notice: Trying to get Property of Non Object in Eui_usuarios_resetear_Contrasena_Form_submit () (Line 1553 of / OPT/www/vhosts/xpromhdrupal01/mon-space/profiles/eui/modules/custom/eui_usuarios/eui_usuarios.module). "
And no one answers!</v>
      </c>
    </row>
    <row r="385" ht="15.75" customHeight="1">
      <c r="A385" s="2">
        <v>5.0</v>
      </c>
      <c r="B385" s="2" t="s">
        <v>1185</v>
      </c>
      <c r="C385" s="2" t="s">
        <v>1186</v>
      </c>
      <c r="D385" s="2" t="s">
        <v>128</v>
      </c>
      <c r="E385" s="2" t="s">
        <v>97</v>
      </c>
      <c r="F385" s="2" t="s">
        <v>15</v>
      </c>
      <c r="G385" s="2" t="s">
        <v>754</v>
      </c>
      <c r="H385" s="2" t="s">
        <v>535</v>
      </c>
      <c r="I385" s="3" t="str">
        <f>IFERROR(__xludf.DUMMYFUNCTION("GOOGLETRANSLATE(C385,""fr"",""en"")"),"I am satisfied
The prices are correct, online registration is fast
Building the file is easy, I was able to send my documents facuited
I recommend this service
thank you")</f>
        <v>I am satisfied
The prices are correct, online registration is fast
Building the file is easy, I was able to send my documents facuited
I recommend this service
thank you</v>
      </c>
    </row>
    <row r="386" ht="15.75" customHeight="1">
      <c r="A386" s="2">
        <v>5.0</v>
      </c>
      <c r="B386" s="2" t="s">
        <v>1187</v>
      </c>
      <c r="C386" s="2" t="s">
        <v>1188</v>
      </c>
      <c r="D386" s="2" t="s">
        <v>13</v>
      </c>
      <c r="E386" s="2" t="s">
        <v>14</v>
      </c>
      <c r="F386" s="2" t="s">
        <v>15</v>
      </c>
      <c r="G386" s="2" t="s">
        <v>438</v>
      </c>
      <c r="H386" s="2" t="s">
        <v>172</v>
      </c>
      <c r="I386" s="3" t="str">
        <f>IFERROR(__xludf.DUMMYFUNCTION("GOOGLETRANSLATE(C386,""fr"",""en"")"),"I am satisfied with the service.
I was able to find insurance that fits in my financial means at all risk. Being a young driver it is difficult to make sure without it costing us too much.")</f>
        <v>I am satisfied with the service.
I was able to find insurance that fits in my financial means at all risk. Being a young driver it is difficult to make sure without it costing us too much.</v>
      </c>
    </row>
    <row r="387" ht="15.75" customHeight="1">
      <c r="A387" s="2">
        <v>3.0</v>
      </c>
      <c r="B387" s="2" t="s">
        <v>1189</v>
      </c>
      <c r="C387" s="2" t="s">
        <v>1190</v>
      </c>
      <c r="D387" s="2" t="s">
        <v>185</v>
      </c>
      <c r="E387" s="2" t="s">
        <v>97</v>
      </c>
      <c r="F387" s="2" t="s">
        <v>15</v>
      </c>
      <c r="G387" s="2" t="s">
        <v>1191</v>
      </c>
      <c r="H387" s="2" t="s">
        <v>1094</v>
      </c>
      <c r="I387" s="3" t="str">
        <f>IFERROR(__xludf.DUMMYFUNCTION("GOOGLETRANSLATE(C387,""fr"",""en"")"),"To avoid absolutely, my son was the victim of a car accident with a serious cranian trauma. The expertise has been favorable but April has blocked the file for more than a year, refusing to pay (after 17 years of careless contributions). Bad faith without"&amp;" bounded (denial of registered letter despite the acknowledgment of receipt, no transmission of expert reports to the victim) a scandalous behavior that pushes the victims to judicialize the files (response from customer service: assign us, we will exhaus"&amp;"t All remedies, you will be compensated in 20 years) an insurer to avoid absolutely!")</f>
        <v>To avoid absolutely, my son was the victim of a car accident with a serious cranian trauma. The expertise has been favorable but April has blocked the file for more than a year, refusing to pay (after 17 years of careless contributions). Bad faith without bounded (denial of registered letter despite the acknowledgment of receipt, no transmission of expert reports to the victim) a scandalous behavior that pushes the victims to judicialize the files (response from customer service: assign us, we will exhaust All remedies, you will be compensated in 20 years) an insurer to avoid absolutely!</v>
      </c>
    </row>
    <row r="388" ht="15.75" customHeight="1">
      <c r="A388" s="2">
        <v>4.0</v>
      </c>
      <c r="B388" s="2" t="s">
        <v>1192</v>
      </c>
      <c r="C388" s="2" t="s">
        <v>1193</v>
      </c>
      <c r="D388" s="2" t="s">
        <v>328</v>
      </c>
      <c r="E388" s="2" t="s">
        <v>329</v>
      </c>
      <c r="F388" s="2" t="s">
        <v>15</v>
      </c>
      <c r="G388" s="2" t="s">
        <v>1194</v>
      </c>
      <c r="H388" s="2" t="s">
        <v>535</v>
      </c>
      <c r="I388" s="3" t="str">
        <f>IFERROR(__xludf.DUMMYFUNCTION("GOOGLETRANSLATE(C388,""fr"",""en"")")," It is scary to read so much absurdities on Assur o Hairy
The incompetence of some who cannot read their contract or there is a Celon regulation the formula which is chosen
I have been at Assur O Hailed for 12 years I have never encountered a problem
E"&amp;"xcept when my dog ​​was 10 years old I found that the monthly payments were too high I was put in touch with another person and we agreed on € 47 months
for a bichon
Since that day my reimbursements have been made without any member problem n ° 18543692"&amp;"
")</f>
        <v> It is scary to read so much absurdities on Assur o Hairy
The incompetence of some who cannot read their contract or there is a Celon regulation the formula which is chosen
I have been at Assur O Hailed for 12 years I have never encountered a problem
Except when my dog ​​was 10 years old I found that the monthly payments were too high I was put in touch with another person and we agreed on € 47 months
for a bichon
Since that day my reimbursements have been made without any member problem n ° 18543692
</v>
      </c>
    </row>
    <row r="389" ht="15.75" customHeight="1">
      <c r="A389" s="2">
        <v>3.0</v>
      </c>
      <c r="B389" s="2" t="s">
        <v>1195</v>
      </c>
      <c r="C389" s="2" t="s">
        <v>1196</v>
      </c>
      <c r="D389" s="2" t="s">
        <v>185</v>
      </c>
      <c r="E389" s="2" t="s">
        <v>31</v>
      </c>
      <c r="F389" s="2" t="s">
        <v>15</v>
      </c>
      <c r="G389" s="2" t="s">
        <v>40</v>
      </c>
      <c r="H389" s="2" t="s">
        <v>40</v>
      </c>
      <c r="I389" s="3" t="str">
        <f>IFERROR(__xludf.DUMMYFUNCTION("GOOGLETRANSLATE(C389,""fr"",""en"")"),"I especially criticize APRIL a level of safety of passwords of the subscriber space far too low. I do not want when case of hacking of information concerning me is disclosed.")</f>
        <v>I especially criticize APRIL a level of safety of passwords of the subscriber space far too low. I do not want when case of hacking of information concerning me is disclosed.</v>
      </c>
    </row>
    <row r="390" ht="15.75" customHeight="1">
      <c r="A390" s="2">
        <v>5.0</v>
      </c>
      <c r="B390" s="2" t="s">
        <v>1197</v>
      </c>
      <c r="C390" s="2" t="s">
        <v>1198</v>
      </c>
      <c r="D390" s="2" t="s">
        <v>20</v>
      </c>
      <c r="E390" s="2" t="s">
        <v>14</v>
      </c>
      <c r="F390" s="2" t="s">
        <v>15</v>
      </c>
      <c r="G390" s="2" t="s">
        <v>1199</v>
      </c>
      <c r="H390" s="2" t="s">
        <v>133</v>
      </c>
      <c r="I390" s="3" t="str">
        <f>IFERROR(__xludf.DUMMYFUNCTION("GOOGLETRANSLATE(C390,""fr"",""en"")"),"Very satisfied for several years with 3 contracts
Very appreciable price
I recommend direct insurance to all my loved ones
I hope they will continue to be so interesting price level")</f>
        <v>Very satisfied for several years with 3 contracts
Very appreciable price
I recommend direct insurance to all my loved ones
I hope they will continue to be so interesting price level</v>
      </c>
    </row>
    <row r="391" ht="15.75" customHeight="1">
      <c r="A391" s="2">
        <v>1.0</v>
      </c>
      <c r="B391" s="2" t="s">
        <v>1200</v>
      </c>
      <c r="C391" s="2" t="s">
        <v>1201</v>
      </c>
      <c r="D391" s="2" t="s">
        <v>13</v>
      </c>
      <c r="E391" s="2" t="s">
        <v>14</v>
      </c>
      <c r="F391" s="2" t="s">
        <v>15</v>
      </c>
      <c r="G391" s="2" t="s">
        <v>1202</v>
      </c>
      <c r="H391" s="2" t="s">
        <v>164</v>
      </c>
      <c r="I391" s="3" t="str">
        <f>IFERROR(__xludf.DUMMYFUNCTION("GOOGLETRANSLATE(C391,""fr"",""en"")"),"Incompetent after -sales service that we do not have repaired with its partners Example Carglass and Company")</f>
        <v>Incompetent after -sales service that we do not have repaired with its partners Example Carglass and Company</v>
      </c>
    </row>
    <row r="392" ht="15.75" customHeight="1">
      <c r="A392" s="2">
        <v>5.0</v>
      </c>
      <c r="B392" s="2" t="s">
        <v>1203</v>
      </c>
      <c r="C392" s="2" t="s">
        <v>1204</v>
      </c>
      <c r="D392" s="2" t="s">
        <v>20</v>
      </c>
      <c r="E392" s="2" t="s">
        <v>14</v>
      </c>
      <c r="F392" s="2" t="s">
        <v>15</v>
      </c>
      <c r="G392" s="2" t="s">
        <v>325</v>
      </c>
      <c r="H392" s="2" t="s">
        <v>72</v>
      </c>
      <c r="I392" s="3" t="str">
        <f>IFERROR(__xludf.DUMMYFUNCTION("GOOGLETRANSLATE(C392,""fr"",""en"")"),"I am satisfied with the price that is offered to me as well as the service rendered., That the very friendly reception, that the speed reserved for my file, since my membership with the establishment.")</f>
        <v>I am satisfied with the price that is offered to me as well as the service rendered., That the very friendly reception, that the speed reserved for my file, since my membership with the establishment.</v>
      </c>
    </row>
    <row r="393" ht="15.75" customHeight="1">
      <c r="A393" s="2">
        <v>2.0</v>
      </c>
      <c r="B393" s="2" t="s">
        <v>1205</v>
      </c>
      <c r="C393" s="2" t="s">
        <v>1206</v>
      </c>
      <c r="D393" s="2" t="s">
        <v>280</v>
      </c>
      <c r="E393" s="2" t="s">
        <v>14</v>
      </c>
      <c r="F393" s="2" t="s">
        <v>15</v>
      </c>
      <c r="G393" s="2" t="s">
        <v>1207</v>
      </c>
      <c r="H393" s="2" t="s">
        <v>114</v>
      </c>
      <c r="I393" s="3" t="str">
        <f>IFERROR(__xludf.DUMMYFUNCTION("GOOGLETRANSLATE(C393,""fr"",""en"")"),"Claims declared within the 5 years not responsible, and I have just received their termination. So insurance that does not provide anything! It is the right non -responsible drivers who drink !!! A shame!! And now I also find it difficult to find insuranc"&amp;"e that wants to take me, because of this !!")</f>
        <v>Claims declared within the 5 years not responsible, and I have just received their termination. So insurance that does not provide anything! It is the right non -responsible drivers who drink !!! A shame!! And now I also find it difficult to find insurance that wants to take me, because of this !!</v>
      </c>
    </row>
    <row r="394" ht="15.75" customHeight="1">
      <c r="A394" s="2">
        <v>1.0</v>
      </c>
      <c r="B394" s="2" t="s">
        <v>1208</v>
      </c>
      <c r="C394" s="2" t="s">
        <v>1209</v>
      </c>
      <c r="D394" s="2" t="s">
        <v>426</v>
      </c>
      <c r="E394" s="2" t="s">
        <v>31</v>
      </c>
      <c r="F394" s="2" t="s">
        <v>15</v>
      </c>
      <c r="G394" s="2" t="s">
        <v>1210</v>
      </c>
      <c r="H394" s="2" t="s">
        <v>168</v>
      </c>
      <c r="I394" s="3" t="str">
        <f>IFERROR(__xludf.DUMMYFUNCTION("GOOGLETRANSLATE(C394,""fr"",""en"")"),"After an operation with excess fees, the services were unable to make a paper quote (despite all the documents provided) just a figure indicated orally in agency. In written response just a photocopy with 2 possibilities are highlighted. Then it is the ba"&amp;"ttle to recognize the case now called Optam. You have to take steps in their place to understand the situation they themselves seem to not understand. We don't remind you. The answers are just binirse and the drop. It is up to you to fight possibly with t"&amp;"he surgeon who would exercise in 2 different places, one of which would not appear the case. Same problem if you have a child with deafness where the 100% is most complicated to apply by their services.")</f>
        <v>After an operation with excess fees, the services were unable to make a paper quote (despite all the documents provided) just a figure indicated orally in agency. In written response just a photocopy with 2 possibilities are highlighted. Then it is the battle to recognize the case now called Optam. You have to take steps in their place to understand the situation they themselves seem to not understand. We don't remind you. The answers are just binirse and the drop. It is up to you to fight possibly with the surgeon who would exercise in 2 different places, one of which would not appear the case. Same problem if you have a child with deafness where the 100% is most complicated to apply by their services.</v>
      </c>
    </row>
    <row r="395" ht="15.75" customHeight="1">
      <c r="A395" s="2">
        <v>2.0</v>
      </c>
      <c r="B395" s="2" t="s">
        <v>1211</v>
      </c>
      <c r="C395" s="2" t="s">
        <v>1212</v>
      </c>
      <c r="D395" s="2" t="s">
        <v>20</v>
      </c>
      <c r="E395" s="2" t="s">
        <v>14</v>
      </c>
      <c r="F395" s="2" t="s">
        <v>15</v>
      </c>
      <c r="G395" s="2" t="s">
        <v>1213</v>
      </c>
      <c r="H395" s="2" t="s">
        <v>1214</v>
      </c>
      <c r="I395" s="3" t="str">
        <f>IFERROR(__xludf.DUMMYFUNCTION("GOOGLETRANSLATE(C395,""fr"",""en"")"),"Termination for a single responsible accident!")</f>
        <v>Termination for a single responsible accident!</v>
      </c>
    </row>
    <row r="396" ht="15.75" customHeight="1">
      <c r="A396" s="2">
        <v>1.0</v>
      </c>
      <c r="B396" s="2" t="s">
        <v>1215</v>
      </c>
      <c r="C396" s="2" t="s">
        <v>1216</v>
      </c>
      <c r="D396" s="2" t="s">
        <v>502</v>
      </c>
      <c r="E396" s="2" t="s">
        <v>25</v>
      </c>
      <c r="F396" s="2" t="s">
        <v>15</v>
      </c>
      <c r="G396" s="2" t="s">
        <v>441</v>
      </c>
      <c r="H396" s="2" t="s">
        <v>17</v>
      </c>
      <c r="I396" s="3" t="str">
        <f>IFERROR(__xludf.DUMMYFUNCTION("GOOGLETRANSLATE(C396,""fr"",""en"")"),"Expensive by rapid market observation. After having made a quote as would do a prospect, I realize that approaches 10a without disaster (2 towing) I pay more than a new customer.
I contact and blah blah blah, nothing concrete, no nigo possible.
Well, I'"&amp;"m leaving")</f>
        <v>Expensive by rapid market observation. After having made a quote as would do a prospect, I realize that approaches 10a without disaster (2 towing) I pay more than a new customer.
I contact and blah blah blah, nothing concrete, no nigo possible.
Well, I'm leaving</v>
      </c>
    </row>
    <row r="397" ht="15.75" customHeight="1">
      <c r="A397" s="2">
        <v>1.0</v>
      </c>
      <c r="B397" s="2" t="s">
        <v>1217</v>
      </c>
      <c r="C397" s="2" t="s">
        <v>1218</v>
      </c>
      <c r="D397" s="2" t="s">
        <v>1219</v>
      </c>
      <c r="E397" s="2" t="s">
        <v>97</v>
      </c>
      <c r="F397" s="2" t="s">
        <v>15</v>
      </c>
      <c r="G397" s="2" t="s">
        <v>1220</v>
      </c>
      <c r="H397" s="2" t="s">
        <v>87</v>
      </c>
      <c r="I397" s="3" t="str">
        <f>IFERROR(__xludf.DUMMYFUNCTION("GOOGLETRANSLATE(C397,""fr"",""en"")"),"A shame !!! To be fleeing absolutely ... We were forced to take the assurance of our credit by our advisor to the Cluse agency, despite an equivalent proposal from another insurer !! Today the bank blocks us the termination despite our request which dates"&amp;" from more than 8 months and which is largely within the deadlines of the Hamon law !! The LCL only responds 2 months after our letters and imposes a due termination !! Despite our various reminders do not move !! Our advisor can do nothing saying because"&amp;" it is the headquarters that manages the terminations .. she now tells us that she did not impose this insurance when she also wanted to impose the home insurance. Beware of this Bank are liars ...")</f>
        <v>A shame !!! To be fleeing absolutely ... We were forced to take the assurance of our credit by our advisor to the Cluse agency, despite an equivalent proposal from another insurer !! Today the bank blocks us the termination despite our request which dates from more than 8 months and which is largely within the deadlines of the Hamon law !! The LCL only responds 2 months after our letters and imposes a due termination !! Despite our various reminders do not move !! Our advisor can do nothing saying because it is the headquarters that manages the terminations .. she now tells us that she did not impose this insurance when she also wanted to impose the home insurance. Beware of this Bank are liars ...</v>
      </c>
    </row>
    <row r="398" ht="15.75" customHeight="1">
      <c r="A398" s="2">
        <v>5.0</v>
      </c>
      <c r="B398" s="2" t="s">
        <v>1221</v>
      </c>
      <c r="C398" s="2" t="s">
        <v>1222</v>
      </c>
      <c r="D398" s="2" t="s">
        <v>13</v>
      </c>
      <c r="E398" s="2" t="s">
        <v>14</v>
      </c>
      <c r="F398" s="2" t="s">
        <v>15</v>
      </c>
      <c r="G398" s="2" t="s">
        <v>1223</v>
      </c>
      <c r="H398" s="2" t="s">
        <v>133</v>
      </c>
      <c r="I398" s="3" t="str">
        <f>IFERROR(__xludf.DUMMYFUNCTION("GOOGLETRANSLATE(C398,""fr"",""en"")"),"I am satisfied with the price but it is a pity that having to give an opinion becomes an obligation especially when we do not have much to say we are obliged to innovate ??")</f>
        <v>I am satisfied with the price but it is a pity that having to give an opinion becomes an obligation especially when we do not have much to say we are obliged to innovate ??</v>
      </c>
    </row>
    <row r="399" ht="15.75" customHeight="1">
      <c r="A399" s="2">
        <v>1.0</v>
      </c>
      <c r="B399" s="2" t="s">
        <v>1224</v>
      </c>
      <c r="C399" s="2" t="s">
        <v>1225</v>
      </c>
      <c r="D399" s="2" t="s">
        <v>20</v>
      </c>
      <c r="E399" s="2" t="s">
        <v>14</v>
      </c>
      <c r="F399" s="2" t="s">
        <v>15</v>
      </c>
      <c r="G399" s="2" t="s">
        <v>762</v>
      </c>
      <c r="H399" s="2" t="s">
        <v>149</v>
      </c>
      <c r="I399" s="3" t="str">
        <f>IFERROR(__xludf.DUMMYFUNCTION("GOOGLETRANSLATE(C399,""fr"",""en"")"),"Really zero customer service and does not answer the questions. My new insurer has written to change the car insurance and you removed the apartment insurance for me, I found myself without an apartment insurance for a year and you levied 673.43 euros tha"&amp;"t you have to take me back as soon as possible to see message!")</f>
        <v>Really zero customer service and does not answer the questions. My new insurer has written to change the car insurance and you removed the apartment insurance for me, I found myself without an apartment insurance for a year and you levied 673.43 euros that you have to take me back as soon as possible to see message!</v>
      </c>
    </row>
    <row r="400" ht="15.75" customHeight="1">
      <c r="A400" s="2">
        <v>3.0</v>
      </c>
      <c r="B400" s="2" t="s">
        <v>1226</v>
      </c>
      <c r="C400" s="2" t="s">
        <v>1227</v>
      </c>
      <c r="D400" s="2" t="s">
        <v>101</v>
      </c>
      <c r="E400" s="2" t="s">
        <v>31</v>
      </c>
      <c r="F400" s="2" t="s">
        <v>15</v>
      </c>
      <c r="G400" s="2" t="s">
        <v>1228</v>
      </c>
      <c r="H400" s="2" t="s">
        <v>911</v>
      </c>
      <c r="I400" s="3" t="str">
        <f>IFERROR(__xludf.DUMMYFUNCTION("GOOGLETRANSLATE(C400,""fr"",""en"")"),"Hello, I am happy to have gone through the standard standard because my problem was solved in 5 minutes unlike the Internet where after 3 weeks I still hadn't heard from the standardist Erika who solved the problem")</f>
        <v>Hello, I am happy to have gone through the standard standard because my problem was solved in 5 minutes unlike the Internet where after 3 weeks I still hadn't heard from the standardist Erika who solved the problem</v>
      </c>
    </row>
    <row r="401" ht="15.75" customHeight="1">
      <c r="A401" s="2">
        <v>1.0</v>
      </c>
      <c r="B401" s="2" t="s">
        <v>1229</v>
      </c>
      <c r="C401" s="2" t="s">
        <v>1230</v>
      </c>
      <c r="D401" s="2" t="s">
        <v>43</v>
      </c>
      <c r="E401" s="2" t="s">
        <v>14</v>
      </c>
      <c r="F401" s="2" t="s">
        <v>15</v>
      </c>
      <c r="G401" s="2" t="s">
        <v>1231</v>
      </c>
      <c r="H401" s="2" t="s">
        <v>1214</v>
      </c>
      <c r="I401" s="3" t="str">
        <f>IFERROR(__xludf.DUMMYFUNCTION("GOOGLETRANSLATE(C401,""fr"",""en"")"),"I just changed car, passage from a captur to a clio, same engine, same finish ... For the same guarantees, my contract goes from 300 to 450 €!
P.S. I have a 50% bonus and a ""on bonus"", so I am an unwelcome client for the Macif")</f>
        <v>I just changed car, passage from a captur to a clio, same engine, same finish ... For the same guarantees, my contract goes from 300 to 450 €!
P.S. I have a 50% bonus and a "on bonus", so I am an unwelcome client for the Macif</v>
      </c>
    </row>
    <row r="402" ht="15.75" customHeight="1">
      <c r="A402" s="2">
        <v>4.0</v>
      </c>
      <c r="B402" s="2" t="s">
        <v>1232</v>
      </c>
      <c r="C402" s="2" t="s">
        <v>1233</v>
      </c>
      <c r="D402" s="2" t="s">
        <v>101</v>
      </c>
      <c r="E402" s="2" t="s">
        <v>31</v>
      </c>
      <c r="F402" s="2" t="s">
        <v>15</v>
      </c>
      <c r="G402" s="2" t="s">
        <v>1234</v>
      </c>
      <c r="H402" s="2" t="s">
        <v>40</v>
      </c>
      <c r="I402" s="3" t="str">
        <f>IFERROR(__xludf.DUMMYFUNCTION("GOOGLETRANSLATE(C402,""fr"",""en"")"),"Thanks to Julien D, having answered effectively during our interview this day not too d, waiting, and answers to all my questions we feel more reassured")</f>
        <v>Thanks to Julien D, having answered effectively during our interview this day not too d, waiting, and answers to all my questions we feel more reassured</v>
      </c>
    </row>
    <row r="403" ht="15.75" customHeight="1">
      <c r="A403" s="2">
        <v>4.0</v>
      </c>
      <c r="B403" s="2" t="s">
        <v>1235</v>
      </c>
      <c r="C403" s="2" t="s">
        <v>1236</v>
      </c>
      <c r="D403" s="2" t="s">
        <v>13</v>
      </c>
      <c r="E403" s="2" t="s">
        <v>14</v>
      </c>
      <c r="F403" s="2" t="s">
        <v>15</v>
      </c>
      <c r="G403" s="2" t="s">
        <v>413</v>
      </c>
      <c r="H403" s="2" t="s">
        <v>149</v>
      </c>
      <c r="I403" s="3" t="str">
        <f>IFERROR(__xludf.DUMMYFUNCTION("GOOGLETRANSLATE(C403,""fr"",""en"")"),"Good communication and fast
Correct and easy to understand price
To see in time if sinister or other requires the insurer for its responsiveness")</f>
        <v>Good communication and fast
Correct and easy to understand price
To see in time if sinister or other requires the insurer for its responsiveness</v>
      </c>
    </row>
    <row r="404" ht="15.75" customHeight="1">
      <c r="A404" s="2">
        <v>3.0</v>
      </c>
      <c r="B404" s="2" t="s">
        <v>1237</v>
      </c>
      <c r="C404" s="2" t="s">
        <v>1238</v>
      </c>
      <c r="D404" s="2" t="s">
        <v>13</v>
      </c>
      <c r="E404" s="2" t="s">
        <v>14</v>
      </c>
      <c r="F404" s="2" t="s">
        <v>15</v>
      </c>
      <c r="G404" s="2" t="s">
        <v>81</v>
      </c>
      <c r="H404" s="2" t="s">
        <v>17</v>
      </c>
      <c r="I404" s="3" t="str">
        <f>IFERROR(__xludf.DUMMYFUNCTION("GOOGLETRANSLATE(C404,""fr"",""en"")"),"Happy with the service alone, the lack of knowledge on the part of the advisers on the services of the various contracts offered.
It remains to standardize the technical competence of the various advisers.")</f>
        <v>Happy with the service alone, the lack of knowledge on the part of the advisers on the services of the various contracts offered.
It remains to standardize the technical competence of the various advisers.</v>
      </c>
    </row>
    <row r="405" ht="15.75" customHeight="1">
      <c r="A405" s="2">
        <v>4.0</v>
      </c>
      <c r="B405" s="2" t="s">
        <v>1239</v>
      </c>
      <c r="C405" s="2" t="s">
        <v>1240</v>
      </c>
      <c r="D405" s="2" t="s">
        <v>147</v>
      </c>
      <c r="E405" s="2" t="s">
        <v>31</v>
      </c>
      <c r="F405" s="2" t="s">
        <v>15</v>
      </c>
      <c r="G405" s="2" t="s">
        <v>1241</v>
      </c>
      <c r="H405" s="2" t="s">
        <v>77</v>
      </c>
      <c r="I405" s="3" t="str">
        <f>IFERROR(__xludf.DUMMYFUNCTION("GOOGLETRANSLATE(C405,""fr"",""en"")"),"Recently insured at the MGP, I am satisfied as a whole during contacts with this organization. Good availability of staff. The only regret that I express is the cessation of the management of drugs (within the framework of self-medication or prescribed) w"&amp;"hose VAT amounts to 5.5% or 20%. I do not understand this modification in the statutes of the MGP when I had subscribed to this mutual for this type of care.")</f>
        <v>Recently insured at the MGP, I am satisfied as a whole during contacts with this organization. Good availability of staff. The only regret that I express is the cessation of the management of drugs (within the framework of self-medication or prescribed) whose VAT amounts to 5.5% or 20%. I do not understand this modification in the statutes of the MGP when I had subscribed to this mutual for this type of care.</v>
      </c>
    </row>
    <row r="406" ht="15.75" customHeight="1">
      <c r="A406" s="2">
        <v>4.0</v>
      </c>
      <c r="B406" s="2" t="s">
        <v>1242</v>
      </c>
      <c r="C406" s="2" t="s">
        <v>1243</v>
      </c>
      <c r="D406" s="2" t="s">
        <v>13</v>
      </c>
      <c r="E406" s="2" t="s">
        <v>14</v>
      </c>
      <c r="F406" s="2" t="s">
        <v>15</v>
      </c>
      <c r="G406" s="2" t="s">
        <v>1244</v>
      </c>
      <c r="H406" s="2" t="s">
        <v>58</v>
      </c>
      <c r="I406" s="3" t="str">
        <f>IFERROR(__xludf.DUMMYFUNCTION("GOOGLETRANSLATE(C406,""fr"",""en"")"),"I am satisfied with the price of products and the quality of services for my first year with Olivier insurance hoping to pay less next year.")</f>
        <v>I am satisfied with the price of products and the quality of services for my first year with Olivier insurance hoping to pay less next year.</v>
      </c>
    </row>
    <row r="407" ht="15.75" customHeight="1">
      <c r="A407" s="2">
        <v>1.0</v>
      </c>
      <c r="B407" s="2" t="s">
        <v>1245</v>
      </c>
      <c r="C407" s="2" t="s">
        <v>1246</v>
      </c>
      <c r="D407" s="2" t="s">
        <v>159</v>
      </c>
      <c r="E407" s="2" t="s">
        <v>107</v>
      </c>
      <c r="F407" s="2" t="s">
        <v>15</v>
      </c>
      <c r="G407" s="2" t="s">
        <v>1244</v>
      </c>
      <c r="H407" s="2" t="s">
        <v>58</v>
      </c>
      <c r="I407" s="3" t="str">
        <f>IFERROR(__xludf.DUMMYFUNCTION("GOOGLETRANSLATE(C407,""fr"",""en"")"),"Are you a liberal health professional? So flee !!! Why?
- No empathy, we really leave you in the M ...
- No understanding (nor desire for understanding) of our professional reality
- No concrete response, neither by phone, nor by email
With the Alli"&amp;"anz/Unim, with each sick leave, you will be forced to:
- Call 50 times without allowing you to move forward on your file
- Write 1 email that will remain unanswered
- Relaunch 30 times by email ... which will also remain unanswered
- Cry after hanging"&amp;" up, rage, despair, your choice ...
- Notify all your creditors to suspend your monthly payments until ... we do not know ..
- Make an appointment with your banker who will be more responsive than Allianz/Unim, it's a shame I admit.
I tell you, run a"&amp;"way !!!")</f>
        <v>Are you a liberal health professional? So flee !!! Why?
- No empathy, we really leave you in the M ...
- No understanding (nor desire for understanding) of our professional reality
- No concrete response, neither by phone, nor by email
With the Allianz/Unim, with each sick leave, you will be forced to:
- Call 50 times without allowing you to move forward on your file
- Write 1 email that will remain unanswered
- Relaunch 30 times by email ... which will also remain unanswered
- Cry after hanging up, rage, despair, your choice ...
- Notify all your creditors to suspend your monthly payments until ... we do not know ..
- Make an appointment with your banker who will be more responsive than Allianz/Unim, it's a shame I admit.
I tell you, run away !!!</v>
      </c>
    </row>
    <row r="408" ht="15.75" customHeight="1">
      <c r="A408" s="2">
        <v>3.0</v>
      </c>
      <c r="B408" s="2" t="s">
        <v>1247</v>
      </c>
      <c r="C408" s="2" t="s">
        <v>1248</v>
      </c>
      <c r="D408" s="2" t="s">
        <v>61</v>
      </c>
      <c r="E408" s="2" t="s">
        <v>14</v>
      </c>
      <c r="F408" s="2" t="s">
        <v>15</v>
      </c>
      <c r="G408" s="2" t="s">
        <v>1249</v>
      </c>
      <c r="H408" s="2" t="s">
        <v>309</v>
      </c>
      <c r="I408" s="3" t="str">
        <f>IFERROR(__xludf.DUMMYFUNCTION("GOOGLETRANSLATE(C408,""fr"",""en"")"),"The prices are high, but the contracts are respected. It is not always easy to join a coseiller, it is even sometimes impossible .... but a faith attached they do their work correctedly.
Seen the money saved because of the covid, I do not understand the "&amp;"augmentatios of this year, they are unjustified ....")</f>
        <v>The prices are high, but the contracts are respected. It is not always easy to join a coseiller, it is even sometimes impossible .... but a faith attached they do their work correctedly.
Seen the money saved because of the covid, I do not understand the augmentatios of this year, they are unjustified ....</v>
      </c>
    </row>
    <row r="409" ht="15.75" customHeight="1">
      <c r="A409" s="2">
        <v>3.0</v>
      </c>
      <c r="B409" s="2" t="s">
        <v>1250</v>
      </c>
      <c r="C409" s="2" t="s">
        <v>1251</v>
      </c>
      <c r="D409" s="2" t="s">
        <v>190</v>
      </c>
      <c r="E409" s="2" t="s">
        <v>31</v>
      </c>
      <c r="F409" s="2" t="s">
        <v>15</v>
      </c>
      <c r="G409" s="2" t="s">
        <v>262</v>
      </c>
      <c r="H409" s="2" t="s">
        <v>262</v>
      </c>
      <c r="I409" s="3" t="str">
        <f>IFERROR(__xludf.DUMMYFUNCTION("GOOGLETRANSLATE(C409,""fr"",""en"")"),"A big thank you to Erika for these advice and information which my summer of great help if by chance I found myself again with a problem I sincerely fall back on an advisor as much invested as Erika.")</f>
        <v>A big thank you to Erika for these advice and information which my summer of great help if by chance I found myself again with a problem I sincerely fall back on an advisor as much invested as Erika.</v>
      </c>
    </row>
    <row r="410" ht="15.75" customHeight="1">
      <c r="A410" s="2">
        <v>3.0</v>
      </c>
      <c r="B410" s="2" t="s">
        <v>1252</v>
      </c>
      <c r="C410" s="2" t="s">
        <v>1253</v>
      </c>
      <c r="D410" s="2" t="s">
        <v>13</v>
      </c>
      <c r="E410" s="2" t="s">
        <v>14</v>
      </c>
      <c r="F410" s="2" t="s">
        <v>15</v>
      </c>
      <c r="G410" s="2" t="s">
        <v>1254</v>
      </c>
      <c r="H410" s="2" t="s">
        <v>172</v>
      </c>
      <c r="I410" s="3" t="str">
        <f>IFERROR(__xludf.DUMMYFUNCTION("GOOGLETRANSLATE(C410,""fr"",""en"")"),"I cannot yet give an opinion because I am a new customer, I can just argue that customer service is quite reactive so for the moment it is positive")</f>
        <v>I cannot yet give an opinion because I am a new customer, I can just argue that customer service is quite reactive so for the moment it is positive</v>
      </c>
    </row>
    <row r="411" ht="15.75" customHeight="1">
      <c r="A411" s="2">
        <v>1.0</v>
      </c>
      <c r="B411" s="2" t="s">
        <v>1255</v>
      </c>
      <c r="C411" s="2" t="s">
        <v>1256</v>
      </c>
      <c r="D411" s="2" t="s">
        <v>13</v>
      </c>
      <c r="E411" s="2" t="s">
        <v>14</v>
      </c>
      <c r="F411" s="2" t="s">
        <v>15</v>
      </c>
      <c r="G411" s="2" t="s">
        <v>1257</v>
      </c>
      <c r="H411" s="2" t="s">
        <v>477</v>
      </c>
      <c r="I411" s="3" t="str">
        <f>IFERROR(__xludf.DUMMYFUNCTION("GOOGLETRANSLATE(C411,""fr"",""en"")"),"On 06.09.2019, a third struck my vehicle (BMW X3) in parking and it damaged, among other things, the front parchoc as well as the vehicle management. I immediately contacted the insurance olive tree to declare the claim for repair management being provide"&amp;"d in all risks. I was unpleasantly surprised to discover that the olive assurance did not set up an agreement with the German concessions and that it is necessary to go through their network of mechanic for support for repairs otherwise the customer must "&amp;"advance the costs and then request the refund. In my case, the costs of the repairs are estimated at 4,500 euros and the deductible is approximately 500 euros.
Following the declaration of the claim, the Olivier Assurance communicated to me the expertise"&amp;" firm. Indeed, it is up to the insured to contact the expert to make an appointment and communicate the niche of his visit to mechanic.
Obviously, the expert has very little availability and he offered me an appointment on 24.09.2019 for a declared disas"&amp;"ter on 06.09.2019 (17 calendar days). Given this period, the mechanic cannot receive the vehicle very long before the expert's passage.
I found myself in the obligation to leave my vehicle broken in the street in the same place for more than two weeks.
"&amp;"Then, on 22.09.2019, I took an RTT and I contacted Europe assistance mandated by the olive tree insurance to tow the vehicle to the garage. In my contract, Europe Diastance must provide me with a loan vehicle for 7 calendar days. In this sense, Europe Ass"&amp;"istance reserves a Fiat 500 3 doors, very practical for a family with a baby, in a rental agency 40 km from the garage. Normally, a taxi had to pick me up at the garage to take me to the rental agency. After 1.5 hours of waiting in the garage and after se"&amp;"veral recovery calls without success, I had to take an Uber to go home, exhausted by what just happened, I did not go and get the Fiat 500, I did not wish to add to myself other steps other than those already initiated.
After the passage of the expert on"&amp;" 23.09.2019, Olivier Assurance confirmed to me at first that we will have the expert report one week after his visit, that is to say on 30/09. On 24.09.2019 The expert asks me to send additional information: technical control and gray card. Obviously, I s"&amp;"ent the elements the same day. Then my file remained blocked, the expertise firm awaits the declaration of the claim that the olive assurance did not transmit. I had to insist with the olive assurance to unlock the situation by sending the declaration of "&amp;"the claim. On 04.10.2019, the expertise firm confirms to me that the report is finalized and that we will receive it soon ...
On 10.10.2019, the expertise firm communicates to us that the report is not yet finalized and that we have to wait at least at l"&amp;"east a week.
Assessment since 06.09.2019, my vehicle is non -rolling and immobilized at my mechanic who regularly restarts me. I contacted other private expertise firms The average cost is between 300 and 400 euros. I wonder if I can call on legal assist"&amp;"ance to take over, the moral damage caused by this case costs me very Dear and I am ready to incur fees to find a way out. Today, I am taken hostage by the lack of professionalism of stakeholders and I invite you to ask the good questions CAVER to engage "&amp;"in a contract with an insurer.")</f>
        <v>On 06.09.2019, a third struck my vehicle (BMW X3) in parking and it damaged, among other things, the front parchoc as well as the vehicle management. I immediately contacted the insurance olive tree to declare the claim for repair management being provided in all risks. I was unpleasantly surprised to discover that the olive assurance did not set up an agreement with the German concessions and that it is necessary to go through their network of mechanic for support for repairs otherwise the customer must advance the costs and then request the refund. In my case, the costs of the repairs are estimated at 4,500 euros and the deductible is approximately 500 euros.
Following the declaration of the claim, the Olivier Assurance communicated to me the expertise firm. Indeed, it is up to the insured to contact the expert to make an appointment and communicate the niche of his visit to mechanic.
Obviously, the expert has very little availability and he offered me an appointment on 24.09.2019 for a declared disaster on 06.09.2019 (17 calendar days). Given this period, the mechanic cannot receive the vehicle very long before the expert's passage.
I found myself in the obligation to leave my vehicle broken in the street in the same place for more than two weeks.
Then, on 22.09.2019, I took an RTT and I contacted Europe assistance mandated by the olive tree insurance to tow the vehicle to the garage. In my contract, Europe Diastance must provide me with a loan vehicle for 7 calendar days. In this sense, Europe Assistance reserves a Fiat 500 3 doors, very practical for a family with a baby, in a rental agency 40 km from the garage. Normally, a taxi had to pick me up at the garage to take me to the rental agency. After 1.5 hours of waiting in the garage and after several recovery calls without success, I had to take an Uber to go home, exhausted by what just happened, I did not go and get the Fiat 500, I did not wish to add to myself other steps other than those already initiated.
After the passage of the expert on 23.09.2019, Olivier Assurance confirmed to me at first that we will have the expert report one week after his visit, that is to say on 30/09. On 24.09.2019 The expert asks me to send additional information: technical control and gray card. Obviously, I sent the elements the same day. Then my file remained blocked, the expertise firm awaits the declaration of the claim that the olive assurance did not transmit. I had to insist with the olive assurance to unlock the situation by sending the declaration of the claim. On 04.10.2019, the expertise firm confirms to me that the report is finalized and that we will receive it soon ...
On 10.10.2019, the expertise firm communicates to us that the report is not yet finalized and that we have to wait at least at least a week.
Assessment since 06.09.2019, my vehicle is non -rolling and immobilized at my mechanic who regularly restarts me. I contacted other private expertise firms The average cost is between 300 and 400 euros. I wonder if I can call on legal assistance to take over, the moral damage caused by this case costs me very Dear and I am ready to incur fees to find a way out. Today, I am taken hostage by the lack of professionalism of stakeholders and I invite you to ask the good questions CAVER to engage in a contract with an insurer.</v>
      </c>
    </row>
    <row r="412" ht="15.75" customHeight="1">
      <c r="A412" s="2">
        <v>4.0</v>
      </c>
      <c r="B412" s="2" t="s">
        <v>1258</v>
      </c>
      <c r="C412" s="2" t="s">
        <v>1259</v>
      </c>
      <c r="D412" s="2" t="s">
        <v>20</v>
      </c>
      <c r="E412" s="2" t="s">
        <v>14</v>
      </c>
      <c r="F412" s="2" t="s">
        <v>15</v>
      </c>
      <c r="G412" s="2" t="s">
        <v>687</v>
      </c>
      <c r="H412" s="2" t="s">
        <v>172</v>
      </c>
      <c r="I412" s="3" t="str">
        <f>IFERROR(__xludf.DUMMYFUNCTION("GOOGLETRANSLATE(C412,""fr"",""en"")"),"Hello Miss, Sir,
I am very satisfied with the price, telephone contact, all about insurance.
Thank you for your professionalism.
Cordially.")</f>
        <v>Hello Miss, Sir,
I am very satisfied with the price, telephone contact, all about insurance.
Thank you for your professionalism.
Cordially.</v>
      </c>
    </row>
    <row r="413" ht="15.75" customHeight="1">
      <c r="A413" s="2">
        <v>5.0</v>
      </c>
      <c r="B413" s="2" t="s">
        <v>1260</v>
      </c>
      <c r="C413" s="2" t="s">
        <v>1261</v>
      </c>
      <c r="D413" s="2" t="s">
        <v>20</v>
      </c>
      <c r="E413" s="2" t="s">
        <v>14</v>
      </c>
      <c r="F413" s="2" t="s">
        <v>15</v>
      </c>
      <c r="G413" s="2" t="s">
        <v>274</v>
      </c>
      <c r="H413" s="2" t="s">
        <v>27</v>
      </c>
      <c r="I413" s="3" t="str">
        <f>IFERROR(__xludf.DUMMYFUNCTION("GOOGLETRANSLATE(C413,""fr"",""en"")"),"?? Super fast very well quote I recommend by i ternet
Waiting to receive final green card
Quick mail quick payment quote fast
For the moment satisfied")</f>
        <v>?? Super fast very well quote I recommend by i ternet
Waiting to receive final green card
Quick mail quick payment quote fast
For the moment satisfied</v>
      </c>
    </row>
    <row r="414" ht="15.75" customHeight="1">
      <c r="A414" s="2">
        <v>1.0</v>
      </c>
      <c r="B414" s="2" t="s">
        <v>1262</v>
      </c>
      <c r="C414" s="2" t="s">
        <v>1263</v>
      </c>
      <c r="D414" s="2" t="s">
        <v>80</v>
      </c>
      <c r="E414" s="2" t="s">
        <v>25</v>
      </c>
      <c r="F414" s="2" t="s">
        <v>15</v>
      </c>
      <c r="G414" s="2" t="s">
        <v>1264</v>
      </c>
      <c r="H414" s="2" t="s">
        <v>17</v>
      </c>
      <c r="I414" s="3" t="str">
        <f>IFERROR(__xludf.DUMMYFUNCTION("GOOGLETRANSLATE(C414,""fr"",""en"")"),"Cheap insurance but we quickly understand why, non -existent communication (automatic type email after 3 to 5 days).
Refusal to terminate insurance except for anniversary date (Hammon law?)
Farfelux sample .... in short, biker friends, go your way.")</f>
        <v>Cheap insurance but we quickly understand why, non -existent communication (automatic type email after 3 to 5 days).
Refusal to terminate insurance except for anniversary date (Hammon law?)
Farfelux sample .... in short, biker friends, go your way.</v>
      </c>
    </row>
    <row r="415" ht="15.75" customHeight="1">
      <c r="A415" s="2">
        <v>1.0</v>
      </c>
      <c r="B415" s="2" t="s">
        <v>1265</v>
      </c>
      <c r="C415" s="2" t="s">
        <v>1266</v>
      </c>
      <c r="D415" s="2" t="s">
        <v>66</v>
      </c>
      <c r="E415" s="2" t="s">
        <v>14</v>
      </c>
      <c r="F415" s="2" t="s">
        <v>15</v>
      </c>
      <c r="G415" s="2" t="s">
        <v>630</v>
      </c>
      <c r="H415" s="2" t="s">
        <v>535</v>
      </c>
      <c r="I415" s="3" t="str">
        <f>IFERROR(__xludf.DUMMYFUNCTION("GOOGLETRANSLATE(C415,""fr"",""en"")"),"Hello,
For more than 9 years we have subscribed to insurance for our cars. We had no problems, no delay in payment and added our daughter in driving accompanied 2 and a half years ago. And as he should have had the license on January 20. Very happy for h"&amp;"er, we contacted Eurofil to modify her status as a young driver and the Eurofil surprise does not provide young drivers. This insurer does not take this risk there .. and this is how we have come to have a new insurance overnight .. Comble in everything, "&amp;"the new insurance is cheaper even with a young driver ... By the way they made us an amicable termination. Nobleman. Nope?")</f>
        <v>Hello,
For more than 9 years we have subscribed to insurance for our cars. We had no problems, no delay in payment and added our daughter in driving accompanied 2 and a half years ago. And as he should have had the license on January 20. Very happy for her, we contacted Eurofil to modify her status as a young driver and the Eurofil surprise does not provide young drivers. This insurer does not take this risk there .. and this is how we have come to have a new insurance overnight .. Comble in everything, the new insurance is cheaper even with a young driver ... By the way they made us an amicable termination. Nobleman. Nope?</v>
      </c>
    </row>
    <row r="416" ht="15.75" customHeight="1">
      <c r="A416" s="2">
        <v>5.0</v>
      </c>
      <c r="B416" s="2" t="s">
        <v>1267</v>
      </c>
      <c r="C416" s="2" t="s">
        <v>1268</v>
      </c>
      <c r="D416" s="2" t="s">
        <v>20</v>
      </c>
      <c r="E416" s="2" t="s">
        <v>14</v>
      </c>
      <c r="F416" s="2" t="s">
        <v>15</v>
      </c>
      <c r="G416" s="2" t="s">
        <v>1171</v>
      </c>
      <c r="H416" s="2" t="s">
        <v>17</v>
      </c>
      <c r="I416" s="3" t="str">
        <f>IFERROR(__xludf.DUMMYFUNCTION("GOOGLETRANSLATE(C416,""fr"",""en"")"),"excellent; Good responsiveness, very good super professional telephone reception really nothing to say provided it lasts; I highly recommend .")</f>
        <v>excellent; Good responsiveness, very good super professional telephone reception really nothing to say provided it lasts; I highly recommend .</v>
      </c>
    </row>
    <row r="417" ht="15.75" customHeight="1">
      <c r="A417" s="2">
        <v>2.0</v>
      </c>
      <c r="B417" s="2" t="s">
        <v>1269</v>
      </c>
      <c r="C417" s="2" t="s">
        <v>1270</v>
      </c>
      <c r="D417" s="2" t="s">
        <v>280</v>
      </c>
      <c r="E417" s="2" t="s">
        <v>91</v>
      </c>
      <c r="F417" s="2" t="s">
        <v>15</v>
      </c>
      <c r="G417" s="2" t="s">
        <v>1271</v>
      </c>
      <c r="H417" s="2" t="s">
        <v>40</v>
      </c>
      <c r="I417" s="3" t="str">
        <f>IFERROR(__xludf.DUMMYFUNCTION("GOOGLETRANSLATE(C417,""fr"",""en"")"),"A loss of water responsible in 5 years and presto outside.
She assures the Matmut ????
Frankly it is abuse but at least I know that I will never advise this company.")</f>
        <v>A loss of water responsible in 5 years and presto outside.
She assures the Matmut ????
Frankly it is abuse but at least I know that I will never advise this company.</v>
      </c>
    </row>
    <row r="418" ht="15.75" customHeight="1">
      <c r="A418" s="2">
        <v>5.0</v>
      </c>
      <c r="B418" s="2" t="s">
        <v>1272</v>
      </c>
      <c r="C418" s="2" t="s">
        <v>1273</v>
      </c>
      <c r="D418" s="2" t="s">
        <v>20</v>
      </c>
      <c r="E418" s="2" t="s">
        <v>14</v>
      </c>
      <c r="F418" s="2" t="s">
        <v>15</v>
      </c>
      <c r="G418" s="2" t="s">
        <v>344</v>
      </c>
      <c r="H418" s="2" t="s">
        <v>133</v>
      </c>
      <c r="I418" s="3" t="str">
        <f>IFERROR(__xludf.DUMMYFUNCTION("GOOGLETRANSLATE(C418,""fr"",""en"")"),"Satisfied with services.
The prices suit us.
Site clarity.
Smooth and intuitive navigation.
Reactive customer service.
Several interesting choices.")</f>
        <v>Satisfied with services.
The prices suit us.
Site clarity.
Smooth and intuitive navigation.
Reactive customer service.
Several interesting choices.</v>
      </c>
    </row>
    <row r="419" ht="15.75" customHeight="1">
      <c r="A419" s="2">
        <v>4.0</v>
      </c>
      <c r="B419" s="2" t="s">
        <v>1274</v>
      </c>
      <c r="C419" s="2" t="s">
        <v>1275</v>
      </c>
      <c r="D419" s="2" t="s">
        <v>159</v>
      </c>
      <c r="E419" s="2" t="s">
        <v>14</v>
      </c>
      <c r="F419" s="2" t="s">
        <v>15</v>
      </c>
      <c r="G419" s="2" t="s">
        <v>1276</v>
      </c>
      <c r="H419" s="2" t="s">
        <v>445</v>
      </c>
      <c r="I419" s="3" t="str">
        <f>IFERROR(__xludf.DUMMYFUNCTION("GOOGLETRANSLATE(C419,""fr"",""en"")"),"In terms of price, they are not at the bottom of the scale.
From a satisfaction point of view no problem. Internet declaration for an accident or other with sending photos to the expert. We do not take care of anything without moving to the agency.")</f>
        <v>In terms of price, they are not at the bottom of the scale.
From a satisfaction point of view no problem. Internet declaration for an accident or other with sending photos to the expert. We do not take care of anything without moving to the agency.</v>
      </c>
    </row>
    <row r="420" ht="15.75" customHeight="1">
      <c r="A420" s="2">
        <v>5.0</v>
      </c>
      <c r="B420" s="2" t="s">
        <v>1277</v>
      </c>
      <c r="C420" s="2" t="s">
        <v>1278</v>
      </c>
      <c r="D420" s="2" t="s">
        <v>13</v>
      </c>
      <c r="E420" s="2" t="s">
        <v>14</v>
      </c>
      <c r="F420" s="2" t="s">
        <v>15</v>
      </c>
      <c r="G420" s="2" t="s">
        <v>17</v>
      </c>
      <c r="H420" s="2" t="s">
        <v>17</v>
      </c>
      <c r="I420" s="3" t="str">
        <f>IFERROR(__xludf.DUMMYFUNCTION("GOOGLETRANSLATE(C420,""fr"",""en"")"),"We needed insurance very quickly. The olive assurance was perfect for us. Fast, accessible, simple and efficient. In a few clicks, it is settled.
")</f>
        <v>We needed insurance very quickly. The olive assurance was perfect for us. Fast, accessible, simple and efficient. In a few clicks, it is settled.
</v>
      </c>
    </row>
    <row r="421" ht="15.75" customHeight="1">
      <c r="A421" s="2">
        <v>2.0</v>
      </c>
      <c r="B421" s="2" t="s">
        <v>1279</v>
      </c>
      <c r="C421" s="2" t="s">
        <v>1280</v>
      </c>
      <c r="D421" s="2" t="s">
        <v>80</v>
      </c>
      <c r="E421" s="2" t="s">
        <v>25</v>
      </c>
      <c r="F421" s="2" t="s">
        <v>15</v>
      </c>
      <c r="G421" s="2" t="s">
        <v>1281</v>
      </c>
      <c r="H421" s="2" t="s">
        <v>334</v>
      </c>
      <c r="I421" s="3" t="str">
        <f>IFERROR(__xludf.DUMMYFUNCTION("GOOGLETRANSLATE(C421,""fr"",""en"")"),"New new motorcycle guaranteed. The interlocutor insured him to the third party when I asked him for any risk. On the contract, nothing is clear. I slipped on leaves, so everything is for me! April refuses to recognize his error. Insurance that I will not "&amp;"recommend")</f>
        <v>New new motorcycle guaranteed. The interlocutor insured him to the third party when I asked him for any risk. On the contract, nothing is clear. I slipped on leaves, so everything is for me! April refuses to recognize his error. Insurance that I will not recommend</v>
      </c>
    </row>
    <row r="422" ht="15.75" customHeight="1">
      <c r="A422" s="2">
        <v>1.0</v>
      </c>
      <c r="B422" s="2" t="s">
        <v>1282</v>
      </c>
      <c r="C422" s="2" t="s">
        <v>1283</v>
      </c>
      <c r="D422" s="2" t="s">
        <v>284</v>
      </c>
      <c r="E422" s="2" t="s">
        <v>285</v>
      </c>
      <c r="F422" s="2" t="s">
        <v>15</v>
      </c>
      <c r="G422" s="2" t="s">
        <v>1284</v>
      </c>
      <c r="H422" s="2" t="s">
        <v>445</v>
      </c>
      <c r="I422" s="3" t="str">
        <f>IFERROR(__xludf.DUMMYFUNCTION("GOOGLETRANSLATE(C422,""fr"",""en"")"),"Good evening at Cardif their letter box is a trash can !!! You can send letters all the time lost !! , for my part transmitted directly by my BNP Paribas advisor, life insurance that does not respect our dead !!! Mail lost as if by magic !! Remember to se"&amp;"nd your letters well to receipt, it then helps a legal action, after this case I close my BNP account and everything that goes with it; BNP advisers are aware that this insurer is a bad !!! to meditate !! Customer for 30 years at BNP not one year more ..."&amp;"............................... I have you follow the 'A business step by step, cordially to all the victims of Cardif and BNP Paribas JRD Thanks to Cardif for not wondering my contract number to settle this dispute will send it to you quickly ........")</f>
        <v>Good evening at Cardif their letter box is a trash can !!! You can send letters all the time lost !! , for my part transmitted directly by my BNP Paribas advisor, life insurance that does not respect our dead !!! Mail lost as if by magic !! Remember to send your letters well to receipt, it then helps a legal action, after this case I close my BNP account and everything that goes with it; BNP advisers are aware that this insurer is a bad !!! to meditate !! Customer for 30 years at BNP not one year more .................................. I have you follow the 'A business step by step, cordially to all the victims of Cardif and BNP Paribas JRD Thanks to Cardif for not wondering my contract number to settle this dispute will send it to you quickly ........</v>
      </c>
    </row>
    <row r="423" ht="15.75" customHeight="1">
      <c r="A423" s="2">
        <v>2.0</v>
      </c>
      <c r="B423" s="2" t="s">
        <v>1285</v>
      </c>
      <c r="C423" s="2" t="s">
        <v>1286</v>
      </c>
      <c r="D423" s="2" t="s">
        <v>117</v>
      </c>
      <c r="E423" s="2" t="s">
        <v>14</v>
      </c>
      <c r="F423" s="2" t="s">
        <v>15</v>
      </c>
      <c r="G423" s="2" t="s">
        <v>350</v>
      </c>
      <c r="H423" s="2" t="s">
        <v>77</v>
      </c>
      <c r="I423" s="3" t="str">
        <f>IFERROR(__xludf.DUMMYFUNCTION("GOOGLETRANSLATE(C423,""fr"",""en"")"),"I have been at Axa Insurance for my car for 2 years for a 2002 twingo. I was stolen a full wheel (rim, tires and bolts, otherwise it's not funny) in a private parking (I prefer to specify it), I therefore immediately call my insurer who immediately sends "&amp;"me a tow truck. So, positive point, troubleshooting/reactivity of the service. But, when I ask for the franchise ... I am told that it is 260 euros. Yes yes, 260 euros for a full wheel. The change of a used rim and 2 new tires mounted and balanced came ba"&amp;"ck to me at ... 120 euros. I really don't find it correct, I pay 45 euros per month so that when I have a problem and I am not responsible we come to take money. From what I see here, and what I was not aware of is that the number of claims even when one "&amp;"is not responsible can be sufficient to be radiated, I find it scandalous when the role of Insurance is to ensure.")</f>
        <v>I have been at Axa Insurance for my car for 2 years for a 2002 twingo. I was stolen a full wheel (rim, tires and bolts, otherwise it's not funny) in a private parking (I prefer to specify it), I therefore immediately call my insurer who immediately sends me a tow truck. So, positive point, troubleshooting/reactivity of the service. But, when I ask for the franchise ... I am told that it is 260 euros. Yes yes, 260 euros for a full wheel. The change of a used rim and 2 new tires mounted and balanced came back to me at ... 120 euros. I really don't find it correct, I pay 45 euros per month so that when I have a problem and I am not responsible we come to take money. From what I see here, and what I was not aware of is that the number of claims even when one is not responsible can be sufficient to be radiated, I find it scandalous when the role of Insurance is to ensure.</v>
      </c>
    </row>
    <row r="424" ht="15.75" customHeight="1">
      <c r="A424" s="2">
        <v>5.0</v>
      </c>
      <c r="B424" s="2" t="s">
        <v>1287</v>
      </c>
      <c r="C424" s="2" t="s">
        <v>1288</v>
      </c>
      <c r="D424" s="2" t="s">
        <v>20</v>
      </c>
      <c r="E424" s="2" t="s">
        <v>14</v>
      </c>
      <c r="F424" s="2" t="s">
        <v>15</v>
      </c>
      <c r="G424" s="2" t="s">
        <v>713</v>
      </c>
      <c r="H424" s="2" t="s">
        <v>133</v>
      </c>
      <c r="I424" s="3" t="str">
        <f>IFERROR(__xludf.DUMMYFUNCTION("GOOGLETRANSLATE(C424,""fr"",""en"")"),"I am satisfied with the services, easy to do on the Internet, immediate and clear response. Very correct rates for the requested guarantees.")</f>
        <v>I am satisfied with the services, easy to do on the Internet, immediate and clear response. Very correct rates for the requested guarantees.</v>
      </c>
    </row>
    <row r="425" ht="15.75" customHeight="1">
      <c r="A425" s="2">
        <v>2.0</v>
      </c>
      <c r="B425" s="2" t="s">
        <v>1289</v>
      </c>
      <c r="C425" s="2" t="s">
        <v>1290</v>
      </c>
      <c r="D425" s="2" t="s">
        <v>43</v>
      </c>
      <c r="E425" s="2" t="s">
        <v>14</v>
      </c>
      <c r="F425" s="2" t="s">
        <v>15</v>
      </c>
      <c r="G425" s="2" t="s">
        <v>1291</v>
      </c>
      <c r="H425" s="2" t="s">
        <v>93</v>
      </c>
      <c r="I425" s="3" t="str">
        <f>IFERROR(__xludf.DUMMYFUNCTION("GOOGLETRANSLATE(C425,""fr"",""en"")"),"Macif is, pay you an annual flight warranty at € 350, but don't use it! Well, anyway we will prevent you with our abusive clauses!
I explain:
I have subscribed to flight insurance. My car is stolen and then found. Verdict expert from the Macif Proactiva"&amp;", no break -in!
Macif replies to me, ""well my friends has nothing to do with your early. So nothing your face ”. This insurance is despicable. After many requests for decisions revisions, nothing!
Suddenly after many refusals including that of the qu"&amp;"ality service, (my file is very well worked) the file will next to the stage of the complaint, hop court.
Then bad that I am, I add the fact of proposing to set up a group action to one of our 13 friends authorized.
However, the Macif is regularly c"&amp;"onvicted of refusal to compensate the victims following a break -in. Unfortunately, can of a victim obviously have the courage to oppose it given the persistence of this infamy by this insurer!
At a time when the web is an extremely effective communica"&amp;"tion medium, it is not very smart.")</f>
        <v>Macif is, pay you an annual flight warranty at € 350, but don't use it! Well, anyway we will prevent you with our abusive clauses!
I explain:
I have subscribed to flight insurance. My car is stolen and then found. Verdict expert from the Macif Proactiva, no break -in!
Macif replies to me, "well my friends has nothing to do with your early. So nothing your face ”. This insurance is despicable. After many requests for decisions revisions, nothing!
Suddenly after many refusals including that of the quality service, (my file is very well worked) the file will next to the stage of the complaint, hop court.
Then bad that I am, I add the fact of proposing to set up a group action to one of our 13 friends authorized.
However, the Macif is regularly convicted of refusal to compensate the victims following a break -in. Unfortunately, can of a victim obviously have the courage to oppose it given the persistence of this infamy by this insurer!
At a time when the web is an extremely effective communication medium, it is not very smart.</v>
      </c>
    </row>
    <row r="426" ht="15.75" customHeight="1">
      <c r="A426" s="2">
        <v>3.0</v>
      </c>
      <c r="B426" s="2" t="s">
        <v>1292</v>
      </c>
      <c r="C426" s="2" t="s">
        <v>1293</v>
      </c>
      <c r="D426" s="2" t="s">
        <v>48</v>
      </c>
      <c r="E426" s="2" t="s">
        <v>14</v>
      </c>
      <c r="F426" s="2" t="s">
        <v>15</v>
      </c>
      <c r="G426" s="2" t="s">
        <v>1294</v>
      </c>
      <c r="H426" s="2" t="s">
        <v>458</v>
      </c>
      <c r="I426" s="3" t="str">
        <f>IFERROR(__xludf.DUMMYFUNCTION("GOOGLETRANSLATE(C426,""fr"",""en"")"),"I am 66 years old and I have been a Maif member since the 1970s. As such, I contributed to the development of the mutual funds of teachers and I attended its evolution.
I deplore a deterioration of the relationship with members since the disappearance of"&amp;" the proximity of delegations.
In the present case, despite several requests and a complaint, I have no news of the management of my file in legal protection: silence of the lawyer chosen and commissioned by the manager of my file (in Rennes) and no reac"&amp;"tion of His share despite several messages sent and remained unanswered.
Where have the mutualist values ​​of yesteryear gone (respect for the member and the defense of his interests)? Apparently not with all managers !!!
")</f>
        <v>I am 66 years old and I have been a Maif member since the 1970s. As such, I contributed to the development of the mutual funds of teachers and I attended its evolution.
I deplore a deterioration of the relationship with members since the disappearance of the proximity of delegations.
In the present case, despite several requests and a complaint, I have no news of the management of my file in legal protection: silence of the lawyer chosen and commissioned by the manager of my file (in Rennes) and no reaction of His share despite several messages sent and remained unanswered.
Where have the mutualist values ​​of yesteryear gone (respect for the member and the defense of his interests)? Apparently not with all managers !!!
</v>
      </c>
    </row>
    <row r="427" ht="15.75" customHeight="1">
      <c r="A427" s="2">
        <v>3.0</v>
      </c>
      <c r="B427" s="2" t="s">
        <v>1295</v>
      </c>
      <c r="C427" s="2" t="s">
        <v>1296</v>
      </c>
      <c r="D427" s="2" t="s">
        <v>112</v>
      </c>
      <c r="E427" s="2" t="s">
        <v>14</v>
      </c>
      <c r="F427" s="2" t="s">
        <v>15</v>
      </c>
      <c r="G427" s="2" t="s">
        <v>1297</v>
      </c>
      <c r="H427" s="2" t="s">
        <v>208</v>
      </c>
      <c r="I427" s="3" t="str">
        <f>IFERROR(__xludf.DUMMYFUNCTION("GOOGLETRANSLATE(C427,""fr"",""en"")"),"On insurance comparators among the cheapest but I understand why.
Customer service at the absent subscriber.
 Never response to email, therefore compulsory passage by the telephone line to 80 cts per minute.
 Ten months awaiting the shipment of the i"&amp;"nsurance certificate, after several requests but never received (home print on a white sheet to have proof in the event of control).
Seasons in the pockets for reimbursement when closing a contract (sale of the vehicle), I have just closed my second co"&amp;"ntract with them the reimbursement should be around 1/6 of the contribution I doubt it
Impossible to slip an insurance contract of a vehicle (sold) to another in the event of replacement of it Creation of a new contract with the same documents to be pr"&amp;"ovided (permit in information. ...)
Everyone is free but I do not recommend very active assurance")</f>
        <v>On insurance comparators among the cheapest but I understand why.
Customer service at the absent subscriber.
 Never response to email, therefore compulsory passage by the telephone line to 80 cts per minute.
 Ten months awaiting the shipment of the insurance certificate, after several requests but never received (home print on a white sheet to have proof in the event of control).
Seasons in the pockets for reimbursement when closing a contract (sale of the vehicle), I have just closed my second contract with them the reimbursement should be around 1/6 of the contribution I doubt it
Impossible to slip an insurance contract of a vehicle (sold) to another in the event of replacement of it Creation of a new contract with the same documents to be provided (permit in information. ...)
Everyone is free but I do not recommend very active assurance</v>
      </c>
    </row>
    <row r="428" ht="15.75" customHeight="1">
      <c r="A428" s="2">
        <v>4.0</v>
      </c>
      <c r="B428" s="2" t="s">
        <v>1298</v>
      </c>
      <c r="C428" s="2" t="s">
        <v>1299</v>
      </c>
      <c r="D428" s="2" t="s">
        <v>20</v>
      </c>
      <c r="E428" s="2" t="s">
        <v>14</v>
      </c>
      <c r="F428" s="2" t="s">
        <v>15</v>
      </c>
      <c r="G428" s="2" t="s">
        <v>1300</v>
      </c>
      <c r="H428" s="2" t="s">
        <v>149</v>
      </c>
      <c r="I428" s="3" t="str">
        <f>IFERROR(__xludf.DUMMYFUNCTION("GOOGLETRANSLATE(C428,""fr"",""en"")"),"Available service and ease of subscription. Competitive price but the deductibles are high. The telephone service is very accessible with short waiting times.")</f>
        <v>Available service and ease of subscription. Competitive price but the deductibles are high. The telephone service is very accessible with short waiting times.</v>
      </c>
    </row>
    <row r="429" ht="15.75" customHeight="1">
      <c r="A429" s="2">
        <v>1.0</v>
      </c>
      <c r="B429" s="2" t="s">
        <v>1301</v>
      </c>
      <c r="C429" s="2" t="s">
        <v>1302</v>
      </c>
      <c r="D429" s="2" t="s">
        <v>43</v>
      </c>
      <c r="E429" s="2" t="s">
        <v>14</v>
      </c>
      <c r="F429" s="2" t="s">
        <v>15</v>
      </c>
      <c r="G429" s="2" t="s">
        <v>1303</v>
      </c>
      <c r="H429" s="2" t="s">
        <v>77</v>
      </c>
      <c r="I429" s="3" t="str">
        <f>IFERROR(__xludf.DUMMYFUNCTION("GOOGLETRANSLATE(C429,""fr"",""en"")"),"I strongly advise against this insurance, he did not really agree to take me as assured at home because I was penalty and then once insured with them, I had a non -responsible loss he sent a nice mail to tell me that he didn't want to assured me anymore")</f>
        <v>I strongly advise against this insurance, he did not really agree to take me as assured at home because I was penalty and then once insured with them, I had a non -responsible loss he sent a nice mail to tell me that he didn't want to assured me anymore</v>
      </c>
    </row>
    <row r="430" ht="15.75" customHeight="1">
      <c r="A430" s="2">
        <v>3.0</v>
      </c>
      <c r="B430" s="2" t="s">
        <v>1304</v>
      </c>
      <c r="C430" s="2" t="s">
        <v>1305</v>
      </c>
      <c r="D430" s="2" t="s">
        <v>101</v>
      </c>
      <c r="E430" s="2" t="s">
        <v>31</v>
      </c>
      <c r="F430" s="2" t="s">
        <v>15</v>
      </c>
      <c r="G430" s="2" t="s">
        <v>1306</v>
      </c>
      <c r="H430" s="2" t="s">
        <v>77</v>
      </c>
      <c r="I430" s="3" t="str">
        <f>IFERROR(__xludf.DUMMYFUNCTION("GOOGLETRANSLATE(C430,""fr"",""en"")"),"I am very unhappy because I have always been my reimbursements for several years. They never answer on the phone, they are big liars. They never told me at the Primary Caisse. When I send them the papers to be reimbursed they tell me that a paper is missi"&amp;"ng every time. They never respond to letters. Flee from this insurance.")</f>
        <v>I am very unhappy because I have always been my reimbursements for several years. They never answer on the phone, they are big liars. They never told me at the Primary Caisse. When I send them the papers to be reimbursed they tell me that a paper is missing every time. They never respond to letters. Flee from this insurance.</v>
      </c>
    </row>
    <row r="431" ht="15.75" customHeight="1">
      <c r="A431" s="2">
        <v>1.0</v>
      </c>
      <c r="B431" s="2" t="s">
        <v>1307</v>
      </c>
      <c r="C431" s="2" t="s">
        <v>1308</v>
      </c>
      <c r="D431" s="2" t="s">
        <v>13</v>
      </c>
      <c r="E431" s="2" t="s">
        <v>14</v>
      </c>
      <c r="F431" s="2" t="s">
        <v>15</v>
      </c>
      <c r="G431" s="2" t="s">
        <v>1309</v>
      </c>
      <c r="H431" s="2" t="s">
        <v>354</v>
      </c>
      <c r="I431" s="3" t="str">
        <f>IFERROR(__xludf.DUMMYFUNCTION("GOOGLETRANSLATE(C431,""fr"",""en"")"),"I contacted the Olivier Insurance today for information if we put a 2nd driver how much it came back. Living in cohabitation I was told that my situation change compared to statistics we increase my 24th grade and in addition to that I am charged the 15th"&amp;" addend. I find it all to force because at the base I call just for information. I learned from other insurer and find anything to charge because I go from bachelor to cohabitation.")</f>
        <v>I contacted the Olivier Insurance today for information if we put a 2nd driver how much it came back. Living in cohabitation I was told that my situation change compared to statistics we increase my 24th grade and in addition to that I am charged the 15th addend. I find it all to force because at the base I call just for information. I learned from other insurer and find anything to charge because I go from bachelor to cohabitation.</v>
      </c>
    </row>
    <row r="432" ht="15.75" customHeight="1">
      <c r="A432" s="2">
        <v>1.0</v>
      </c>
      <c r="B432" s="2" t="s">
        <v>1310</v>
      </c>
      <c r="C432" s="2" t="s">
        <v>1311</v>
      </c>
      <c r="D432" s="2" t="s">
        <v>13</v>
      </c>
      <c r="E432" s="2" t="s">
        <v>14</v>
      </c>
      <c r="F432" s="2" t="s">
        <v>15</v>
      </c>
      <c r="G432" s="2" t="s">
        <v>1312</v>
      </c>
      <c r="H432" s="2" t="s">
        <v>156</v>
      </c>
      <c r="I432" s="3" t="str">
        <f>IFERROR(__xludf.DUMMYFUNCTION("GOOGLETRANSLATE(C432,""fr"",""en"")"),"Currently client at home more for very long because I am still waiting for my franchise that I am paying for me because my sinter in August its will be 1 year I find very very long, especially when we had to advance the very very very disappointed costs o"&amp;"f this .")</f>
        <v>Currently client at home more for very long because I am still waiting for my franchise that I am paying for me because my sinter in August its will be 1 year I find very very long, especially when we had to advance the very very very disappointed costs of this .</v>
      </c>
    </row>
    <row r="433" ht="15.75" customHeight="1">
      <c r="A433" s="2">
        <v>3.0</v>
      </c>
      <c r="B433" s="2" t="s">
        <v>1313</v>
      </c>
      <c r="C433" s="2" t="s">
        <v>1314</v>
      </c>
      <c r="D433" s="2" t="s">
        <v>20</v>
      </c>
      <c r="E433" s="2" t="s">
        <v>14</v>
      </c>
      <c r="F433" s="2" t="s">
        <v>15</v>
      </c>
      <c r="G433" s="2" t="s">
        <v>905</v>
      </c>
      <c r="H433" s="2" t="s">
        <v>133</v>
      </c>
      <c r="I433" s="3" t="str">
        <f>IFERROR(__xludf.DUMMYFUNCTION("GOOGLETRANSLATE(C433,""fr"",""en"")"),"The service is simple and quick. Prices are the cheapest on the market, even if I find that the price I have to pay is still high enough for my vehicle.
By cons it is not possible to open another session in a second tab, which is a shame because it is no"&amp;"t practical to compare two quotes with different options.")</f>
        <v>The service is simple and quick. Prices are the cheapest on the market, even if I find that the price I have to pay is still high enough for my vehicle.
By cons it is not possible to open another session in a second tab, which is a shame because it is not practical to compare two quotes with different options.</v>
      </c>
    </row>
    <row r="434" ht="15.75" customHeight="1">
      <c r="A434" s="2">
        <v>1.0</v>
      </c>
      <c r="B434" s="2" t="s">
        <v>1315</v>
      </c>
      <c r="C434" s="2" t="s">
        <v>1316</v>
      </c>
      <c r="D434" s="2" t="s">
        <v>43</v>
      </c>
      <c r="E434" s="2" t="s">
        <v>25</v>
      </c>
      <c r="F434" s="2" t="s">
        <v>15</v>
      </c>
      <c r="G434" s="2" t="s">
        <v>1317</v>
      </c>
      <c r="H434" s="2" t="s">
        <v>93</v>
      </c>
      <c r="I434" s="3" t="str">
        <f>IFERROR(__xludf.DUMMYFUNCTION("GOOGLETRANSLATE(C434,""fr"",""en"")"),"Following the flight and degradation of our two wheels, the Macif refuses to compensate us on the pretext of a clause of non -deterioration of the starting system.")</f>
        <v>Following the flight and degradation of our two wheels, the Macif refuses to compensate us on the pretext of a clause of non -deterioration of the starting system.</v>
      </c>
    </row>
    <row r="435" ht="15.75" customHeight="1">
      <c r="A435" s="2">
        <v>4.0</v>
      </c>
      <c r="B435" s="2" t="s">
        <v>1318</v>
      </c>
      <c r="C435" s="2" t="s">
        <v>1319</v>
      </c>
      <c r="D435" s="2" t="s">
        <v>190</v>
      </c>
      <c r="E435" s="2" t="s">
        <v>31</v>
      </c>
      <c r="F435" s="2" t="s">
        <v>15</v>
      </c>
      <c r="G435" s="2" t="s">
        <v>1320</v>
      </c>
      <c r="H435" s="2" t="s">
        <v>644</v>
      </c>
      <c r="I435" s="3" t="str">
        <f>IFERROR(__xludf.DUMMYFUNCTION("GOOGLETRANSLATE(C435,""fr"",""en"")"),"A big thank you to Kadi for having unlocked my Monsantiane account because I could not activate my account for a few less.")</f>
        <v>A big thank you to Kadi for having unlocked my Monsantiane account because I could not activate my account for a few less.</v>
      </c>
    </row>
    <row r="436" ht="15.75" customHeight="1">
      <c r="A436" s="2">
        <v>1.0</v>
      </c>
      <c r="B436" s="2" t="s">
        <v>1321</v>
      </c>
      <c r="C436" s="2" t="s">
        <v>1322</v>
      </c>
      <c r="D436" s="2" t="s">
        <v>469</v>
      </c>
      <c r="E436" s="2" t="s">
        <v>285</v>
      </c>
      <c r="F436" s="2" t="s">
        <v>15</v>
      </c>
      <c r="G436" s="2" t="s">
        <v>1323</v>
      </c>
      <c r="H436" s="2" t="s">
        <v>40</v>
      </c>
      <c r="I436" s="3" t="str">
        <f>IFERROR(__xludf.DUMMYFUNCTION("GOOGLETRANSLATE(C436,""fr"",""en"")"),"I have been waiting for more than a year the regulation of the life insurance capital of my deceased wife. Unanswered letters, requested information that does not come.
 Since January 20, 2020, I am waiting for the Courrier of the STATE SERVICE OF GIE AF"&amp;"ER members, which was announced to me by the secretary general of the association, Jack LEQUERTIER.
I specify that another insurance company La GMF on June 11, 2020 settled my wife's insurance capital. The request was filed at the same time.
Meanwhile I"&amp;" am deprived of the re -use of this capital. It is obvious that I will not come back to AFER.")</f>
        <v>I have been waiting for more than a year the regulation of the life insurance capital of my deceased wife. Unanswered letters, requested information that does not come.
 Since January 20, 2020, I am waiting for the Courrier of the STATE SERVICE OF GIE AFER members, which was announced to me by the secretary general of the association, Jack LEQUERTIER.
I specify that another insurance company La GMF on June 11, 2020 settled my wife's insurance capital. The request was filed at the same time.
Meanwhile I am deprived of the re -use of this capital. It is obvious that I will not come back to AFER.</v>
      </c>
    </row>
    <row r="437" ht="15.75" customHeight="1">
      <c r="A437" s="2">
        <v>3.0</v>
      </c>
      <c r="B437" s="2" t="s">
        <v>1324</v>
      </c>
      <c r="C437" s="2" t="s">
        <v>1325</v>
      </c>
      <c r="D437" s="2" t="s">
        <v>20</v>
      </c>
      <c r="E437" s="2" t="s">
        <v>14</v>
      </c>
      <c r="F437" s="2" t="s">
        <v>15</v>
      </c>
      <c r="G437" s="2" t="s">
        <v>953</v>
      </c>
      <c r="H437" s="2" t="s">
        <v>17</v>
      </c>
      <c r="I437" s="3" t="str">
        <f>IFERROR(__xludf.DUMMYFUNCTION("GOOGLETRANSLATE(C437,""fr"",""en"")"),"I am sufficiently satisfied not to try to change insurer. Access, quick modification and reasonable price even if we expect even more effort for vehicles.")</f>
        <v>I am sufficiently satisfied not to try to change insurer. Access, quick modification and reasonable price even if we expect even more effort for vehicles.</v>
      </c>
    </row>
    <row r="438" ht="15.75" customHeight="1">
      <c r="A438" s="2">
        <v>4.0</v>
      </c>
      <c r="B438" s="2" t="s">
        <v>1326</v>
      </c>
      <c r="C438" s="2" t="s">
        <v>1327</v>
      </c>
      <c r="D438" s="2" t="s">
        <v>20</v>
      </c>
      <c r="E438" s="2" t="s">
        <v>14</v>
      </c>
      <c r="F438" s="2" t="s">
        <v>15</v>
      </c>
      <c r="G438" s="2" t="s">
        <v>27</v>
      </c>
      <c r="H438" s="2" t="s">
        <v>27</v>
      </c>
      <c r="I438" s="3" t="str">
        <f>IFERROR(__xludf.DUMMYFUNCTION("GOOGLETRANSLATE(C438,""fr"",""en"")"),"I am satisfied with your services looking forward to sharing with friends cordially Gilles Tupinier d'Argeles sur Mer thank you very much for the people who answers the phone quickly")</f>
        <v>I am satisfied with your services looking forward to sharing with friends cordially Gilles Tupinier d'Argeles sur Mer thank you very much for the people who answers the phone quickly</v>
      </c>
    </row>
    <row r="439" ht="15.75" customHeight="1">
      <c r="A439" s="2">
        <v>3.0</v>
      </c>
      <c r="B439" s="2" t="s">
        <v>1328</v>
      </c>
      <c r="C439" s="2" t="s">
        <v>1329</v>
      </c>
      <c r="D439" s="2" t="s">
        <v>13</v>
      </c>
      <c r="E439" s="2" t="s">
        <v>14</v>
      </c>
      <c r="F439" s="2" t="s">
        <v>15</v>
      </c>
      <c r="G439" s="2" t="s">
        <v>1330</v>
      </c>
      <c r="H439" s="2" t="s">
        <v>133</v>
      </c>
      <c r="I439" s="3" t="str">
        <f>IFERROR(__xludf.DUMMYFUNCTION("GOOGLETRANSLATE(C439,""fr"",""en"")"),"For already 3 months I still haven't been able to contact insurance to change my address, because as I understood they sent my green card, and she left in the other end of France (in my old address) ... and the concerns what I can no longer use my car bec"&amp;"ause I have not a green card (knowing that I work in another city). I am really ""disgusted"" because I try to contract by everything, gmail , number .... in short I will change the insurance if it will not work out ....")</f>
        <v>For already 3 months I still haven't been able to contact insurance to change my address, because as I understood they sent my green card, and she left in the other end of France (in my old address) ... and the concerns what I can no longer use my car because I have not a green card (knowing that I work in another city). I am really "disgusted" because I try to contract by everything, gmail , number .... in short I will change the insurance if it will not work out ....</v>
      </c>
    </row>
    <row r="440" ht="15.75" customHeight="1">
      <c r="A440" s="2">
        <v>4.0</v>
      </c>
      <c r="B440" s="2" t="s">
        <v>1331</v>
      </c>
      <c r="C440" s="2" t="s">
        <v>1332</v>
      </c>
      <c r="D440" s="2" t="s">
        <v>20</v>
      </c>
      <c r="E440" s="2" t="s">
        <v>14</v>
      </c>
      <c r="F440" s="2" t="s">
        <v>15</v>
      </c>
      <c r="G440" s="2" t="s">
        <v>564</v>
      </c>
      <c r="H440" s="2" t="s">
        <v>149</v>
      </c>
      <c r="I440" s="3" t="str">
        <f>IFERROR(__xludf.DUMMYFUNCTION("GOOGLETRANSLATE(C440,""fr"",""en"")"),"Everything is very good, the only real black point is the fluctuation of quotes that establishes doubt ... as soon as we redo a quote you have the impression that it changes, it would be necessary to space the bearings for a better readability of the pric"&amp;"e offer.")</f>
        <v>Everything is very good, the only real black point is the fluctuation of quotes that establishes doubt ... as soon as we redo a quote you have the impression that it changes, it would be necessary to space the bearings for a better readability of the price offer.</v>
      </c>
    </row>
    <row r="441" ht="15.75" customHeight="1">
      <c r="A441" s="2">
        <v>2.0</v>
      </c>
      <c r="B441" s="2" t="s">
        <v>1333</v>
      </c>
      <c r="C441" s="2" t="s">
        <v>1334</v>
      </c>
      <c r="D441" s="2" t="s">
        <v>13</v>
      </c>
      <c r="E441" s="2" t="s">
        <v>14</v>
      </c>
      <c r="F441" s="2" t="s">
        <v>15</v>
      </c>
      <c r="G441" s="2" t="s">
        <v>1335</v>
      </c>
      <c r="H441" s="2" t="s">
        <v>58</v>
      </c>
      <c r="I441" s="3" t="str">
        <f>IFERROR(__xludf.DUMMYFUNCTION("GOOGLETRANSLATE(C441,""fr"",""en"")"),"I am currently satisfied the person I had on the phone explained to me I received my documents by email I would recommend Sinple and quick thank you again")</f>
        <v>I am currently satisfied the person I had on the phone explained to me I received my documents by email I would recommend Sinple and quick thank you again</v>
      </c>
    </row>
    <row r="442" ht="15.75" customHeight="1">
      <c r="A442" s="2">
        <v>1.0</v>
      </c>
      <c r="B442" s="2" t="s">
        <v>1336</v>
      </c>
      <c r="C442" s="2" t="s">
        <v>1337</v>
      </c>
      <c r="D442" s="2" t="s">
        <v>20</v>
      </c>
      <c r="E442" s="2" t="s">
        <v>14</v>
      </c>
      <c r="F442" s="2" t="s">
        <v>15</v>
      </c>
      <c r="G442" s="2" t="s">
        <v>1338</v>
      </c>
      <c r="H442" s="2" t="s">
        <v>395</v>
      </c>
      <c r="I442" s="3" t="str">
        <f>IFERROR(__xludf.DUMMYFUNCTION("GOOGLETRANSLATE(C442,""fr"",""en"")"),"Much more expensive than the average! Deplorable site. The after -sales service is to be avoided.")</f>
        <v>Much more expensive than the average! Deplorable site. The after -sales service is to be avoided.</v>
      </c>
    </row>
    <row r="443" ht="15.75" customHeight="1">
      <c r="A443" s="2">
        <v>4.0</v>
      </c>
      <c r="B443" s="2" t="s">
        <v>1339</v>
      </c>
      <c r="C443" s="2" t="s">
        <v>1340</v>
      </c>
      <c r="D443" s="2" t="s">
        <v>513</v>
      </c>
      <c r="E443" s="2" t="s">
        <v>14</v>
      </c>
      <c r="F443" s="2" t="s">
        <v>15</v>
      </c>
      <c r="G443" s="2" t="s">
        <v>182</v>
      </c>
      <c r="H443" s="2" t="s">
        <v>58</v>
      </c>
      <c r="I443" s="3" t="str">
        <f>IFERROR(__xludf.DUMMYFUNCTION("GOOGLETRANSLATE(C443,""fr"",""en"")"),"This Pacifica auto insurance is actually more expensive than other insurers, but the guarantees are by far very superior.
I had two claims (broken driver's driver and breakdown of the clutch cable) and I can only say perfect: welcome, after -sales servic"&amp;"e, support, vehicle towing, nothing to pay ... etc ...
The guarantees and protection of the driver as well as passengers are still more important than a question of 5 or 10th per month.")</f>
        <v>This Pacifica auto insurance is actually more expensive than other insurers, but the guarantees are by far very superior.
I had two claims (broken driver's driver and breakdown of the clutch cable) and I can only say perfect: welcome, after -sales service, support, vehicle towing, nothing to pay ... etc ...
The guarantees and protection of the driver as well as passengers are still more important than a question of 5 or 10th per month.</v>
      </c>
    </row>
    <row r="444" ht="15.75" customHeight="1">
      <c r="A444" s="2">
        <v>5.0</v>
      </c>
      <c r="B444" s="2" t="s">
        <v>1341</v>
      </c>
      <c r="C444" s="2" t="s">
        <v>1342</v>
      </c>
      <c r="D444" s="2" t="s">
        <v>162</v>
      </c>
      <c r="E444" s="2" t="s">
        <v>25</v>
      </c>
      <c r="F444" s="2" t="s">
        <v>15</v>
      </c>
      <c r="G444" s="2" t="s">
        <v>684</v>
      </c>
      <c r="H444" s="2" t="s">
        <v>152</v>
      </c>
      <c r="I444" s="3" t="str">
        <f>IFERROR(__xludf.DUMMYFUNCTION("GOOGLETRANSLATE(C444,""fr"",""en"")"),"Very satisfied with the speed to have a advisor and be assured, a welcome really exelicted by the advisor, very kind and effective who knew how to answer my questions and explain the steps very clearly and walks to follow.")</f>
        <v>Very satisfied with the speed to have a advisor and be assured, a welcome really exelicted by the advisor, very kind and effective who knew how to answer my questions and explain the steps very clearly and walks to follow.</v>
      </c>
    </row>
    <row r="445" ht="15.75" customHeight="1">
      <c r="A445" s="2">
        <v>2.0</v>
      </c>
      <c r="B445" s="2" t="s">
        <v>1343</v>
      </c>
      <c r="C445" s="2" t="s">
        <v>1344</v>
      </c>
      <c r="D445" s="2" t="s">
        <v>284</v>
      </c>
      <c r="E445" s="2" t="s">
        <v>97</v>
      </c>
      <c r="F445" s="2" t="s">
        <v>15</v>
      </c>
      <c r="G445" s="2" t="s">
        <v>1345</v>
      </c>
      <c r="H445" s="2" t="s">
        <v>313</v>
      </c>
      <c r="I445" s="3" t="str">
        <f>IFERROR(__xludf.DUMMYFUNCTION("GOOGLETRANSLATE(C445,""fr"",""en"")"),"It is a shame to see how they make the patients believe that their case will be studied by the medical expert in the office, or then we send a big file for complaint for the doctor of the Cardif, and to the Cardif mediator. The mediator does not respond. "&amp;"And the doctor of Cardif responds far too quickly, for having read everything my big file.
It is a shame to treat people like that.")</f>
        <v>It is a shame to see how they make the patients believe that their case will be studied by the medical expert in the office, or then we send a big file for complaint for the doctor of the Cardif, and to the Cardif mediator. The mediator does not respond. And the doctor of Cardif responds far too quickly, for having read everything my big file.
It is a shame to treat people like that.</v>
      </c>
    </row>
    <row r="446" ht="15.75" customHeight="1">
      <c r="A446" s="2">
        <v>5.0</v>
      </c>
      <c r="B446" s="2" t="s">
        <v>1346</v>
      </c>
      <c r="C446" s="2" t="s">
        <v>1347</v>
      </c>
      <c r="D446" s="2" t="s">
        <v>20</v>
      </c>
      <c r="E446" s="2" t="s">
        <v>14</v>
      </c>
      <c r="F446" s="2" t="s">
        <v>15</v>
      </c>
      <c r="G446" s="2" t="s">
        <v>564</v>
      </c>
      <c r="H446" s="2" t="s">
        <v>149</v>
      </c>
      <c r="I446" s="3" t="str">
        <f>IFERROR(__xludf.DUMMYFUNCTION("GOOGLETRANSLATE(C446,""fr"",""en"")"),"Very competitive price, even without reduction. But I did not declare a claim so I cannot judge completely. Youdrive is undoubtedly the best option for someone who has never been insured, time to constitute his bonus.")</f>
        <v>Very competitive price, even without reduction. But I did not declare a claim so I cannot judge completely. Youdrive is undoubtedly the best option for someone who has never been insured, time to constitute his bonus.</v>
      </c>
    </row>
    <row r="447" ht="15.75" customHeight="1">
      <c r="A447" s="2">
        <v>5.0</v>
      </c>
      <c r="B447" s="2" t="s">
        <v>1348</v>
      </c>
      <c r="C447" s="2" t="s">
        <v>1349</v>
      </c>
      <c r="D447" s="2" t="s">
        <v>147</v>
      </c>
      <c r="E447" s="2" t="s">
        <v>31</v>
      </c>
      <c r="F447" s="2" t="s">
        <v>15</v>
      </c>
      <c r="G447" s="2" t="s">
        <v>1350</v>
      </c>
      <c r="H447" s="2" t="s">
        <v>77</v>
      </c>
      <c r="I447" s="3" t="str">
        <f>IFERROR(__xludf.DUMMYFUNCTION("GOOGLETRANSLATE(C447,""fr"",""en"")"),"Excellent welcome, impeccable, even when there are people, whether in their offices or on the phone. Lovable and courteous always available to welcome or look for solutions to our problems. I have been registered since I entered the police as a peacekeepe"&amp;"r on March 1, 1983. I have never been disappointed, they have always responded !!! Bravo to all of you who have represented and where who still represents the MGP, for these 38 years spent with them the general mutual of the police, yes I proudly recommen"&amp;"d it, knowing that life has not always been easy with 5 children and 2 divorces, yes I can say it is a mutual that supports you at every painful moment of life, I would not put a point because it is not over, I would have the pleasure of testifying to you"&amp;" and answering you with pleasure")</f>
        <v>Excellent welcome, impeccable, even when there are people, whether in their offices or on the phone. Lovable and courteous always available to welcome or look for solutions to our problems. I have been registered since I entered the police as a peacekeeper on March 1, 1983. I have never been disappointed, they have always responded !!! Bravo to all of you who have represented and where who still represents the MGP, for these 38 years spent with them the general mutual of the police, yes I proudly recommend it, knowing that life has not always been easy with 5 children and 2 divorces, yes I can say it is a mutual that supports you at every painful moment of life, I would not put a point because it is not over, I would have the pleasure of testifying to you and answering you with pleasure</v>
      </c>
    </row>
    <row r="448" ht="15.75" customHeight="1">
      <c r="A448" s="2">
        <v>1.0</v>
      </c>
      <c r="B448" s="2" t="s">
        <v>1351</v>
      </c>
      <c r="C448" s="2" t="s">
        <v>1352</v>
      </c>
      <c r="D448" s="2" t="s">
        <v>20</v>
      </c>
      <c r="E448" s="2" t="s">
        <v>14</v>
      </c>
      <c r="F448" s="2" t="s">
        <v>15</v>
      </c>
      <c r="G448" s="2" t="s">
        <v>234</v>
      </c>
      <c r="H448" s="2" t="s">
        <v>72</v>
      </c>
      <c r="I448" s="3" t="str">
        <f>IFERROR(__xludf.DUMMYFUNCTION("GOOGLETRANSLATE(C448,""fr"",""en"")"),"Very mismanagement of my non -responsible disaster: The proposed garage does not repair hybrid vehicles! Me to find who will want to repair for the price indicated by the garage (not empowered to do so!))
The tranquility pack option is probably for insur"&amp;"ance but not for the insured.
And increases: 5 to 6% every year !!!!!!! + 25% in 4 years - without comments.
I don't use my vehicle anymore for ""work journeys"": I make a simulation to cancel it and it's more expensive ... Who do we laugh?")</f>
        <v>Very mismanagement of my non -responsible disaster: The proposed garage does not repair hybrid vehicles! Me to find who will want to repair for the price indicated by the garage (not empowered to do so!))
The tranquility pack option is probably for insurance but not for the insured.
And increases: 5 to 6% every year !!!!!!! + 25% in 4 years - without comments.
I don't use my vehicle anymore for "work journeys": I make a simulation to cancel it and it's more expensive ... Who do we laugh?</v>
      </c>
    </row>
    <row r="449" ht="15.75" customHeight="1">
      <c r="A449" s="2">
        <v>2.0</v>
      </c>
      <c r="B449" s="2" t="s">
        <v>1353</v>
      </c>
      <c r="C449" s="2" t="s">
        <v>1354</v>
      </c>
      <c r="D449" s="2" t="s">
        <v>233</v>
      </c>
      <c r="E449" s="2" t="s">
        <v>14</v>
      </c>
      <c r="F449" s="2" t="s">
        <v>15</v>
      </c>
      <c r="G449" s="2" t="s">
        <v>1355</v>
      </c>
      <c r="H449" s="2" t="s">
        <v>133</v>
      </c>
      <c r="I449" s="3" t="str">
        <f>IFERROR(__xludf.DUMMYFUNCTION("GOOGLETRANSLATE(C449,""fr"",""en"")"),"I find that the annual subscription is too high compared to the services offered3
In addition, the price has increased each year while we have been customers for several years and have never had a claim.
I seriously think about studying competition.
")</f>
        <v>I find that the annual subscription is too high compared to the services offered3
In addition, the price has increased each year while we have been customers for several years and have never had a claim.
I seriously think about studying competition.
</v>
      </c>
    </row>
    <row r="450" ht="15.75" customHeight="1">
      <c r="A450" s="2">
        <v>1.0</v>
      </c>
      <c r="B450" s="2" t="s">
        <v>1356</v>
      </c>
      <c r="C450" s="2" t="s">
        <v>1357</v>
      </c>
      <c r="D450" s="2" t="s">
        <v>61</v>
      </c>
      <c r="E450" s="2" t="s">
        <v>14</v>
      </c>
      <c r="F450" s="2" t="s">
        <v>15</v>
      </c>
      <c r="G450" s="2" t="s">
        <v>898</v>
      </c>
      <c r="H450" s="2" t="s">
        <v>152</v>
      </c>
      <c r="I450" s="3" t="str">
        <f>IFERROR(__xludf.DUMMYFUNCTION("GOOGLETRANSLATE(C450,""fr"",""en"")"),"Time quond pays no worries if you happen to you a problem of money the most no one we treat you like a dog and in addition it supposedly makes an arrangement (bailiff at home) while I have tried everything to Paying my after 10 years without problem I am "&amp;"really disappointed they are inhuman")</f>
        <v>Time quond pays no worries if you happen to you a problem of money the most no one we treat you like a dog and in addition it supposedly makes an arrangement (bailiff at home) while I have tried everything to Paying my after 10 years without problem I am really disappointed they are inhuman</v>
      </c>
    </row>
    <row r="451" ht="15.75" customHeight="1">
      <c r="A451" s="2">
        <v>1.0</v>
      </c>
      <c r="B451" s="2" t="s">
        <v>1358</v>
      </c>
      <c r="C451" s="2" t="s">
        <v>1359</v>
      </c>
      <c r="D451" s="2" t="s">
        <v>393</v>
      </c>
      <c r="E451" s="2" t="s">
        <v>285</v>
      </c>
      <c r="F451" s="2" t="s">
        <v>15</v>
      </c>
      <c r="G451" s="2" t="s">
        <v>1360</v>
      </c>
      <c r="H451" s="2" t="s">
        <v>410</v>
      </c>
      <c r="I451" s="3" t="str">
        <f>IFERROR(__xludf.DUMMYFUNCTION("GOOGLETRANSLATE(C451,""fr"",""en"")"),"My mother who died on 05/14/2019 subscribed in November 2015 a contract with Swiss Life via a broker. Two and a half months after the death The payment of its capital has still not reached the succession. The contacts I could take with Swiss Life and the "&amp;"mail lead to nothing. I am led by boat: once, I am told that the request for a balance of the contract has not arrived (we are at the end of June), another time (3 weeks after the 1st) I am told that I will receive n document to have taxes signed (still n"&amp;"ot received to date). The succession service for which I have been communicated an email address, does not respond and does not even open the emails ....
A real crab basket.
I'm sure now we're going to tell me: it's the holidays ....
I ask myself the q"&amp;"uestion of bringing this file before the competent jurisdiction .... to denounce the practices of Swiss Life and the broker.
")</f>
        <v>My mother who died on 05/14/2019 subscribed in November 2015 a contract with Swiss Life via a broker. Two and a half months after the death The payment of its capital has still not reached the succession. The contacts I could take with Swiss Life and the mail lead to nothing. I am led by boat: once, I am told that the request for a balance of the contract has not arrived (we are at the end of June), another time (3 weeks after the 1st) I am told that I will receive n document to have taxes signed (still not received to date). The succession service for which I have been communicated an email address, does not respond and does not even open the emails ....
A real crab basket.
I'm sure now we're going to tell me: it's the holidays ....
I ask myself the question of bringing this file before the competent jurisdiction .... to denounce the practices of Swiss Life and the broker.
</v>
      </c>
    </row>
    <row r="452" ht="15.75" customHeight="1">
      <c r="A452" s="2">
        <v>1.0</v>
      </c>
      <c r="B452" s="2" t="s">
        <v>1361</v>
      </c>
      <c r="C452" s="2" t="s">
        <v>1362</v>
      </c>
      <c r="D452" s="2" t="s">
        <v>106</v>
      </c>
      <c r="E452" s="2" t="s">
        <v>31</v>
      </c>
      <c r="F452" s="2" t="s">
        <v>15</v>
      </c>
      <c r="G452" s="2" t="s">
        <v>980</v>
      </c>
      <c r="H452" s="2" t="s">
        <v>149</v>
      </c>
      <c r="I452" s="3" t="str">
        <f>IFERROR(__xludf.DUMMYFUNCTION("GOOGLETRANSLATE(C452,""fr"",""en"")"),"Insured for 50 years when it was called differently, this mutual has become zero from all points! They did not take into account my termination and practically never responds despite my reminders. The termination was made in good and form and despite the "&amp;"termination sent to LRAR, it is a dialogue of deaf! Run away !!!")</f>
        <v>Insured for 50 years when it was called differently, this mutual has become zero from all points! They did not take into account my termination and practically never responds despite my reminders. The termination was made in good and form and despite the termination sent to LRAR, it is a dialogue of deaf! Run away !!!</v>
      </c>
    </row>
    <row r="453" ht="15.75" customHeight="1">
      <c r="A453" s="2">
        <v>1.0</v>
      </c>
      <c r="B453" s="2" t="s">
        <v>1363</v>
      </c>
      <c r="C453" s="2" t="s">
        <v>1364</v>
      </c>
      <c r="D453" s="2" t="s">
        <v>307</v>
      </c>
      <c r="E453" s="2" t="s">
        <v>31</v>
      </c>
      <c r="F453" s="2" t="s">
        <v>15</v>
      </c>
      <c r="G453" s="2" t="s">
        <v>287</v>
      </c>
      <c r="H453" s="2" t="s">
        <v>287</v>
      </c>
      <c r="I453" s="3" t="str">
        <f>IFERROR(__xludf.DUMMYFUNCTION("GOOGLETRANSLATE(C453,""fr"",""en"")"),"To have an estimate on a quote, I called customer service after 2 and a half weeks for the first time but I had as a response ""the processing time is 3 weeks so we are within the deadlines"". After 3 weeks, I called several calls (paid) I had as a respon"&amp;"se ""We have just revived your file, the new processing period is between 2 and 3 weeks, good day sir"". I then asked for the complaint service and I had as an answer ""even if it is the telephone number of the complaints service that is displayed on the "&amp;"site, I cannot take your complaint and you must make your complaints only by email "".
To summarize, very bad service .. to flee")</f>
        <v>To have an estimate on a quote, I called customer service after 2 and a half weeks for the first time but I had as a response "the processing time is 3 weeks so we are within the deadlines". After 3 weeks, I called several calls (paid) I had as a response "We have just revived your file, the new processing period is between 2 and 3 weeks, good day sir". I then asked for the complaint service and I had as an answer "even if it is the telephone number of the complaints service that is displayed on the site, I cannot take your complaint and you must make your complaints only by email ".
To summarize, very bad service .. to flee</v>
      </c>
    </row>
    <row r="454" ht="15.75" customHeight="1">
      <c r="A454" s="2">
        <v>1.0</v>
      </c>
      <c r="B454" s="2" t="s">
        <v>1365</v>
      </c>
      <c r="C454" s="2" t="s">
        <v>1366</v>
      </c>
      <c r="D454" s="2" t="s">
        <v>112</v>
      </c>
      <c r="E454" s="2" t="s">
        <v>14</v>
      </c>
      <c r="F454" s="2" t="s">
        <v>15</v>
      </c>
      <c r="G454" s="2" t="s">
        <v>1367</v>
      </c>
      <c r="H454" s="2" t="s">
        <v>152</v>
      </c>
      <c r="I454" s="3" t="str">
        <f>IFERROR(__xludf.DUMMYFUNCTION("GOOGLETRANSLATE(C454,""fr"",""en"")"),"Insurance to flee. The prices are exorbitant. The guarantees are minimal. I have terminated my contract since 4/11/2016 and they have still not reimbursed me from the remaining months. To flee to flee! Customer service is unreachable to their so -called n"&amp;"umber in 08 which is overpriced to call them. By email either you do not get any answers.")</f>
        <v>Insurance to flee. The prices are exorbitant. The guarantees are minimal. I have terminated my contract since 4/11/2016 and they have still not reimbursed me from the remaining months. To flee to flee! Customer service is unreachable to their so -called number in 08 which is overpriced to call them. By email either you do not get any answers.</v>
      </c>
    </row>
    <row r="455" ht="15.75" customHeight="1">
      <c r="A455" s="2">
        <v>1.0</v>
      </c>
      <c r="B455" s="2" t="s">
        <v>1368</v>
      </c>
      <c r="C455" s="2" t="s">
        <v>1369</v>
      </c>
      <c r="D455" s="2" t="s">
        <v>373</v>
      </c>
      <c r="E455" s="2" t="s">
        <v>31</v>
      </c>
      <c r="F455" s="2" t="s">
        <v>15</v>
      </c>
      <c r="G455" s="2" t="s">
        <v>214</v>
      </c>
      <c r="H455" s="2" t="s">
        <v>149</v>
      </c>
      <c r="I455" s="3" t="str">
        <f>IFERROR(__xludf.DUMMYFUNCTION("GOOGLETRANSLATE(C455,""fr"",""en"")"),"So me is the worst since October 2020 opening of my health contract! No matter how much I call and know information, it's the cross and the banner. And in addition to date they have not yet put the separate SEPA for the levy from my bank. Since October th"&amp;"at I have all sent the documents. I also had a registered letter of formal notice ... Yes and when I have them, because I was furious you know what they told me! They automatically send the mail. And the worst without any samples, because to take a direct"&amp;" debit, you must have the authorization of the bank, but still seen to date, they have not deposited the separate Sepa, I will of course receive a letter Recommend for non-payment ... to believe that it is their goals in order to earn money simply. And pu"&amp;"t the customer in an uncomfortable situation and above all blocks to make important exams.")</f>
        <v>So me is the worst since October 2020 opening of my health contract! No matter how much I call and know information, it's the cross and the banner. And in addition to date they have not yet put the separate SEPA for the levy from my bank. Since October that I have all sent the documents. I also had a registered letter of formal notice ... Yes and when I have them, because I was furious you know what they told me! They automatically send the mail. And the worst without any samples, because to take a direct debit, you must have the authorization of the bank, but still seen to date, they have not deposited the separate Sepa, I will of course receive a letter Recommend for non-payment ... to believe that it is their goals in order to earn money simply. And put the customer in an uncomfortable situation and above all blocks to make important exams.</v>
      </c>
    </row>
    <row r="456" ht="15.75" customHeight="1">
      <c r="A456" s="2">
        <v>1.0</v>
      </c>
      <c r="B456" s="2" t="s">
        <v>1370</v>
      </c>
      <c r="C456" s="2" t="s">
        <v>1371</v>
      </c>
      <c r="D456" s="2" t="s">
        <v>13</v>
      </c>
      <c r="E456" s="2" t="s">
        <v>14</v>
      </c>
      <c r="F456" s="2" t="s">
        <v>15</v>
      </c>
      <c r="G456" s="2" t="s">
        <v>1372</v>
      </c>
      <c r="H456" s="2" t="s">
        <v>354</v>
      </c>
      <c r="I456" s="3" t="str">
        <f>IFERROR(__xludf.DUMMYFUNCTION("GOOGLETRANSLATE(C456,""fr"",""en"")"),"A disaster ... I had 2 incidents with them, none was processed ... The time limits for repair are 2 months higher than")</f>
        <v>A disaster ... I had 2 incidents with them, none was processed ... The time limits for repair are 2 months higher than</v>
      </c>
    </row>
    <row r="457" ht="15.75" customHeight="1">
      <c r="A457" s="2">
        <v>3.0</v>
      </c>
      <c r="B457" s="2" t="s">
        <v>1373</v>
      </c>
      <c r="C457" s="2" t="s">
        <v>1374</v>
      </c>
      <c r="D457" s="2" t="s">
        <v>621</v>
      </c>
      <c r="E457" s="2" t="s">
        <v>97</v>
      </c>
      <c r="F457" s="2" t="s">
        <v>15</v>
      </c>
      <c r="G457" s="2" t="s">
        <v>1375</v>
      </c>
      <c r="H457" s="2" t="s">
        <v>54</v>
      </c>
      <c r="I457" s="3" t="str">
        <f>IFERROR(__xludf.DUMMYFUNCTION("GOOGLETRANSLATE(C457,""fr"",""en"")"),"Functional rate 15 percent so as not to have to pay it is already difficult to find yourself in invalidity if in addition we pay insurance for nothing
Disgusted I will not let myself be as much not to be ensured having all my insurances in mutual credit "&amp;"I go all the termination since they are useless")</f>
        <v>Functional rate 15 percent so as not to have to pay it is already difficult to find yourself in invalidity if in addition we pay insurance for nothing
Disgusted I will not let myself be as much not to be ensured having all my insurances in mutual credit I go all the termination since they are useless</v>
      </c>
    </row>
    <row r="458" ht="15.75" customHeight="1">
      <c r="A458" s="2">
        <v>4.0</v>
      </c>
      <c r="B458" s="2" t="s">
        <v>1376</v>
      </c>
      <c r="C458" s="2" t="s">
        <v>1377</v>
      </c>
      <c r="D458" s="2" t="s">
        <v>20</v>
      </c>
      <c r="E458" s="2" t="s">
        <v>14</v>
      </c>
      <c r="F458" s="2" t="s">
        <v>15</v>
      </c>
      <c r="G458" s="2" t="s">
        <v>1378</v>
      </c>
      <c r="H458" s="2" t="s">
        <v>58</v>
      </c>
      <c r="I458" s="3" t="str">
        <f>IFERROR(__xludf.DUMMYFUNCTION("GOOGLETRANSLATE(C458,""fr"",""en"")"),"I'm happy to have the green sticker quickly
Regards awaiting a response from you I am delighted with the quality of the site and good value for money")</f>
        <v>I'm happy to have the green sticker quickly
Regards awaiting a response from you I am delighted with the quality of the site and good value for money</v>
      </c>
    </row>
    <row r="459" ht="15.75" customHeight="1">
      <c r="A459" s="2">
        <v>4.0</v>
      </c>
      <c r="B459" s="2" t="s">
        <v>1379</v>
      </c>
      <c r="C459" s="2" t="s">
        <v>1380</v>
      </c>
      <c r="D459" s="2" t="s">
        <v>80</v>
      </c>
      <c r="E459" s="2" t="s">
        <v>25</v>
      </c>
      <c r="F459" s="2" t="s">
        <v>15</v>
      </c>
      <c r="G459" s="2" t="s">
        <v>1381</v>
      </c>
      <c r="H459" s="2" t="s">
        <v>17</v>
      </c>
      <c r="I459" s="3" t="str">
        <f>IFERROR(__xludf.DUMMYFUNCTION("GOOGLETRANSLATE(C459,""fr"",""en"")"),"Fast and clear good value for money
I look for cheap and fast insurance they responded quickly by comparing on the lynx they were the cheapest")</f>
        <v>Fast and clear good value for money
I look for cheap and fast insurance they responded quickly by comparing on the lynx they were the cheapest</v>
      </c>
    </row>
    <row r="460" ht="15.75" customHeight="1">
      <c r="A460" s="2">
        <v>1.0</v>
      </c>
      <c r="B460" s="2" t="s">
        <v>1382</v>
      </c>
      <c r="C460" s="2" t="s">
        <v>1383</v>
      </c>
      <c r="D460" s="2" t="s">
        <v>61</v>
      </c>
      <c r="E460" s="2" t="s">
        <v>14</v>
      </c>
      <c r="F460" s="2" t="s">
        <v>15</v>
      </c>
      <c r="G460" s="2" t="s">
        <v>1384</v>
      </c>
      <c r="H460" s="2" t="s">
        <v>149</v>
      </c>
      <c r="I460" s="3" t="str">
        <f>IFERROR(__xludf.DUMMYFUNCTION("GOOGLETRANSLATE(C460,""fr"",""en"")"),"I have just got out of this agency and I strongly advise you against. I ask them to make sure of a commercial premises that I have to wake up in a few weeks not being passed to the notary still the premises are not on Kbis. Refusal to make sure the premis"&amp;"es unless I assure them the others well stipulated on the Kbis it is more than limited with a special mention for the two angles who received me as a dog. I went to the competition Immediately released and problem solved in two minutes. I will never go to"&amp;" a maaf agency in my life again and don't waste your time that of Royan")</f>
        <v>I have just got out of this agency and I strongly advise you against. I ask them to make sure of a commercial premises that I have to wake up in a few weeks not being passed to the notary still the premises are not on Kbis. Refusal to make sure the premises unless I assure them the others well stipulated on the Kbis it is more than limited with a special mention for the two angles who received me as a dog. I went to the competition Immediately released and problem solved in two minutes. I will never go to a maaf agency in my life again and don't waste your time that of Royan</v>
      </c>
    </row>
    <row r="461" ht="15.75" customHeight="1">
      <c r="A461" s="2">
        <v>2.0</v>
      </c>
      <c r="B461" s="2" t="s">
        <v>1385</v>
      </c>
      <c r="C461" s="2" t="s">
        <v>1386</v>
      </c>
      <c r="D461" s="2" t="s">
        <v>106</v>
      </c>
      <c r="E461" s="2" t="s">
        <v>107</v>
      </c>
      <c r="F461" s="2" t="s">
        <v>15</v>
      </c>
      <c r="G461" s="2" t="s">
        <v>1387</v>
      </c>
      <c r="H461" s="2" t="s">
        <v>140</v>
      </c>
      <c r="I461" s="3" t="str">
        <f>IFERROR(__xludf.DUMMYFUNCTION("GOOGLETRANSLATE(C461,""fr"",""en"")"),"In 2nd category invalidity since October 2017, the AG2R must pay me a supplement in addition to the cramif, I can not assert my rights, temporary I am alone to make the need because I live alone and am also recognized handicapped Since 2016 and there has "&amp;"still been no formation file despite my periodic calls. Customer service does not say the same thing from one call to another and explained to me having only a limited consultation power on my file. In the meantime I have nothing secure from AG2R for the "&amp;"rest of my file which is complete")</f>
        <v>In 2nd category invalidity since October 2017, the AG2R must pay me a supplement in addition to the cramif, I can not assert my rights, temporary I am alone to make the need because I live alone and am also recognized handicapped Since 2016 and there has still been no formation file despite my periodic calls. Customer service does not say the same thing from one call to another and explained to me having only a limited consultation power on my file. In the meantime I have nothing secure from AG2R for the rest of my file which is complete</v>
      </c>
    </row>
    <row r="462" ht="15.75" customHeight="1">
      <c r="A462" s="2">
        <v>1.0</v>
      </c>
      <c r="B462" s="2" t="s">
        <v>1388</v>
      </c>
      <c r="C462" s="2" t="s">
        <v>1389</v>
      </c>
      <c r="D462" s="2" t="s">
        <v>48</v>
      </c>
      <c r="E462" s="2" t="s">
        <v>14</v>
      </c>
      <c r="F462" s="2" t="s">
        <v>15</v>
      </c>
      <c r="G462" s="2" t="s">
        <v>663</v>
      </c>
      <c r="H462" s="2" t="s">
        <v>156</v>
      </c>
      <c r="I462" s="3" t="str">
        <f>IFERROR(__xludf.DUMMYFUNCTION("GOOGLETRANSLATE(C462,""fr"",""en"")"),"Sinister vandalism, basic vehicle Casi new, sold to MAIF (because non -repairable and compensation contract to be made at the purchase value) vehicle loaned 40 days without payment of the situation. Duration of the decision 7 and a half months. Refund of "&amp;"the vehicle canceled because erroneous declaration (set good body condition instead of medium because small hailstorms). Vehicle prix: € 13,600 abandonment of the regulations with more obligation to recover the vehicle as it is to say vandalized .
Finall"&amp;"y recourse to justice.")</f>
        <v>Sinister vandalism, basic vehicle Casi new, sold to MAIF (because non -repairable and compensation contract to be made at the purchase value) vehicle loaned 40 days without payment of the situation. Duration of the decision 7 and a half months. Refund of the vehicle canceled because erroneous declaration (set good body condition instead of medium because small hailstorms). Vehicle prix: € 13,600 abandonment of the regulations with more obligation to recover the vehicle as it is to say vandalized .
Finally recourse to justice.</v>
      </c>
    </row>
    <row r="463" ht="15.75" customHeight="1">
      <c r="A463" s="2">
        <v>5.0</v>
      </c>
      <c r="B463" s="2" t="s">
        <v>1390</v>
      </c>
      <c r="C463" s="2" t="s">
        <v>1391</v>
      </c>
      <c r="D463" s="2" t="s">
        <v>13</v>
      </c>
      <c r="E463" s="2" t="s">
        <v>14</v>
      </c>
      <c r="F463" s="2" t="s">
        <v>15</v>
      </c>
      <c r="G463" s="2" t="s">
        <v>1392</v>
      </c>
      <c r="H463" s="2" t="s">
        <v>172</v>
      </c>
      <c r="I463" s="3" t="str">
        <f>IFERROR(__xludf.DUMMYFUNCTION("GOOGLETRANSLATE(C463,""fr"",""en"")"),"Excellent value for money
Advisers always at the top and attentive.
I highly recommend the olive assurances to my entourage. Thank you Olivier Assurances")</f>
        <v>Excellent value for money
Advisers always at the top and attentive.
I highly recommend the olive assurances to my entourage. Thank you Olivier Assurances</v>
      </c>
    </row>
    <row r="464" ht="15.75" customHeight="1">
      <c r="A464" s="2">
        <v>4.0</v>
      </c>
      <c r="B464" s="2" t="s">
        <v>1393</v>
      </c>
      <c r="C464" s="2" t="s">
        <v>1394</v>
      </c>
      <c r="D464" s="2" t="s">
        <v>101</v>
      </c>
      <c r="E464" s="2" t="s">
        <v>31</v>
      </c>
      <c r="F464" s="2" t="s">
        <v>15</v>
      </c>
      <c r="G464" s="2" t="s">
        <v>1395</v>
      </c>
      <c r="H464" s="2" t="s">
        <v>125</v>
      </c>
      <c r="I464" s="3" t="str">
        <f>IFERROR(__xludf.DUMMYFUNCTION("GOOGLETRANSLATE(C464,""fr"",""en"")"),"Hello Madame Khadidiatou
I am very satisfied with our telephone interview following the contract I have at Neolaine.
Thank you for your kind kindness for your listening to my request.
")</f>
        <v>Hello Madame Khadidiatou
I am very satisfied with our telephone interview following the contract I have at Neolaine.
Thank you for your kind kindness for your listening to my request.
</v>
      </c>
    </row>
    <row r="465" ht="15.75" customHeight="1">
      <c r="A465" s="2">
        <v>1.0</v>
      </c>
      <c r="B465" s="2" t="s">
        <v>1396</v>
      </c>
      <c r="C465" s="2" t="s">
        <v>1397</v>
      </c>
      <c r="D465" s="2" t="s">
        <v>20</v>
      </c>
      <c r="E465" s="2" t="s">
        <v>14</v>
      </c>
      <c r="F465" s="2" t="s">
        <v>15</v>
      </c>
      <c r="G465" s="2" t="s">
        <v>1398</v>
      </c>
      <c r="H465" s="2" t="s">
        <v>410</v>
      </c>
      <c r="I465" s="3" t="str">
        <f>IFERROR(__xludf.DUMMYFUNCTION("GOOGLETRANSLATE(C465,""fr"",""en"")"),"To flee - They invoke that their insurance law is not the same as the highway code !! Someone returned to me behind, the police indicate that I am the victim, Diressassurance indicates that it is me and despite the google plan of the road etc impossible t"&amp;"o obtain satisfaction he hangs up in the face - the other Responsible is of AXA I understand after that if accident between Direct and Axa, Direct will always be wrong because Axa is the mother.
Their customer service is deplorable is limit it insults yo"&amp;"u, and we hang up in the figure")</f>
        <v>To flee - They invoke that their insurance law is not the same as the highway code !! Someone returned to me behind, the police indicate that I am the victim, Diressassurance indicates that it is me and despite the google plan of the road etc impossible to obtain satisfaction he hangs up in the face - the other Responsible is of AXA I understand after that if accident between Direct and Axa, Direct will always be wrong because Axa is the mother.
Their customer service is deplorable is limit it insults you, and we hang up in the figure</v>
      </c>
    </row>
    <row r="466" ht="15.75" customHeight="1">
      <c r="A466" s="2">
        <v>1.0</v>
      </c>
      <c r="B466" s="2" t="s">
        <v>1399</v>
      </c>
      <c r="C466" s="2" t="s">
        <v>1400</v>
      </c>
      <c r="D466" s="2" t="s">
        <v>43</v>
      </c>
      <c r="E466" s="2" t="s">
        <v>14</v>
      </c>
      <c r="F466" s="2" t="s">
        <v>15</v>
      </c>
      <c r="G466" s="2" t="s">
        <v>1401</v>
      </c>
      <c r="H466" s="2" t="s">
        <v>33</v>
      </c>
      <c r="I466" s="3" t="str">
        <f>IFERROR(__xludf.DUMMYFUNCTION("GOOGLETRANSLATE(C466,""fr"",""en"")"),"I am very disappointed with the Macif, because we cannot chat with the salesperson: ""It's like that and not otherwise"" it is closed and very unfriendly ... Some insurances have reimbursed because of the coronavirus and the drop in accidents But they do "&amp;"not want to hear about it, the answers are all made and not questionable even by being good customers, I do not recommend.")</f>
        <v>I am very disappointed with the Macif, because we cannot chat with the salesperson: "It's like that and not otherwise" it is closed and very unfriendly ... Some insurances have reimbursed because of the coronavirus and the drop in accidents But they do not want to hear about it, the answers are all made and not questionable even by being good customers, I do not recommend.</v>
      </c>
    </row>
    <row r="467" ht="15.75" customHeight="1">
      <c r="A467" s="2">
        <v>1.0</v>
      </c>
      <c r="B467" s="2" t="s">
        <v>1402</v>
      </c>
      <c r="C467" s="2" t="s">
        <v>1403</v>
      </c>
      <c r="D467" s="2" t="s">
        <v>373</v>
      </c>
      <c r="E467" s="2" t="s">
        <v>31</v>
      </c>
      <c r="F467" s="2" t="s">
        <v>15</v>
      </c>
      <c r="G467" s="2" t="s">
        <v>374</v>
      </c>
      <c r="H467" s="2" t="s">
        <v>172</v>
      </c>
      <c r="I467" s="3" t="str">
        <f>IFERROR(__xludf.DUMMYFUNCTION("GOOGLETRANSLATE(C467,""fr"",""en"")"),"Really a catastrophe this insurance that brokers, however, vaulted no dialogue, does not answer, especially does not reimburse I was leaving the neoliane not terrible but Cegema awful ...")</f>
        <v>Really a catastrophe this insurance that brokers, however, vaulted no dialogue, does not answer, especially does not reimburse I was leaving the neoliane not terrible but Cegema awful ...</v>
      </c>
    </row>
    <row r="468" ht="15.75" customHeight="1">
      <c r="A468" s="2">
        <v>2.0</v>
      </c>
      <c r="B468" s="2" t="s">
        <v>1404</v>
      </c>
      <c r="C468" s="2" t="s">
        <v>1405</v>
      </c>
      <c r="D468" s="2" t="s">
        <v>20</v>
      </c>
      <c r="E468" s="2" t="s">
        <v>14</v>
      </c>
      <c r="F468" s="2" t="s">
        <v>15</v>
      </c>
      <c r="G468" s="2" t="s">
        <v>1406</v>
      </c>
      <c r="H468" s="2" t="s">
        <v>68</v>
      </c>
      <c r="I468" s="3" t="str">
        <f>IFERROR(__xludf.DUMMYFUNCTION("GOOGLETRANSLATE(C468,""fr"",""en"")"),"I strongly advise against direct insurance, I had a claim they took 2 months to unindemnate me they do it by check and he sends the check in simple mail which I find aberrant .... I was ensuring any risk From my insist I explain to me that I will have to "&amp;"wait for the repairs to start on the vehicle to recover it, I had to wait two weeks for an expert to be mandated, waiting for it on the phone is just unbearable. Do not trust their website.")</f>
        <v>I strongly advise against direct insurance, I had a claim they took 2 months to unindemnate me they do it by check and he sends the check in simple mail which I find aberrant .... I was ensuring any risk From my insist I explain to me that I will have to wait for the repairs to start on the vehicle to recover it, I had to wait two weeks for an expert to be mandated, waiting for it on the phone is just unbearable. Do not trust their website.</v>
      </c>
    </row>
    <row r="469" ht="15.75" customHeight="1">
      <c r="A469" s="2">
        <v>5.0</v>
      </c>
      <c r="B469" s="2" t="s">
        <v>1407</v>
      </c>
      <c r="C469" s="2" t="s">
        <v>1408</v>
      </c>
      <c r="D469" s="2" t="s">
        <v>20</v>
      </c>
      <c r="E469" s="2" t="s">
        <v>14</v>
      </c>
      <c r="F469" s="2" t="s">
        <v>15</v>
      </c>
      <c r="G469" s="2" t="s">
        <v>738</v>
      </c>
      <c r="H469" s="2" t="s">
        <v>72</v>
      </c>
      <c r="I469" s="3" t="str">
        <f>IFERROR(__xludf.DUMMYFUNCTION("GOOGLETRANSLATE(C469,""fr"",""en"")"),"I am satisfied I would say even very satisfied crumbs
From the Servise, the price more you can easily reach you (thank you) I don't know what to say but I am asked 150 characters")</f>
        <v>I am satisfied I would say even very satisfied crumbs
From the Servise, the price more you can easily reach you (thank you) I don't know what to say but I am asked 150 characters</v>
      </c>
    </row>
    <row r="470" ht="15.75" customHeight="1">
      <c r="A470" s="2">
        <v>1.0</v>
      </c>
      <c r="B470" s="2" t="s">
        <v>1409</v>
      </c>
      <c r="C470" s="2" t="s">
        <v>1410</v>
      </c>
      <c r="D470" s="2" t="s">
        <v>101</v>
      </c>
      <c r="E470" s="2" t="s">
        <v>31</v>
      </c>
      <c r="F470" s="2" t="s">
        <v>15</v>
      </c>
      <c r="G470" s="2" t="s">
        <v>1411</v>
      </c>
      <c r="H470" s="2" t="s">
        <v>50</v>
      </c>
      <c r="I470" s="3" t="str">
        <f>IFERROR(__xludf.DUMMYFUNCTION("GOOGLETRANSLATE(C470,""fr"",""en"")"),"I have another problem, they sent me my counting for 2017 in December ... The envelope (which I obviously kept, with the codes sending) is well dated in December, while the count is Dated at Oct 24, date on which they should have informed me of my future "&amp;"contributions, so that I could retract ... Indeed in 2013 I paid 37 € for 2017 I am announced 72 €, I have 34 years and is not the need for the mutual insurance company at this price! Not to mention that the increase for 2017 is 15%loan !!! They are very "&amp;"good at the start and then it is anything, during my call, in December, I did not necessarily want to terminate but to be able to change my contract, outside a person told me a call from a No one competent to offer it a solution, without ever calling me ."&amp;".. When I tried to reach them each time a voice ended up telling me after 15 minutes that I will be nice to recall later. .. I had to try my luck at least 10 times!
Being afraid of having no more recourse I then wanted to dennon my contract following an "&amp;"abusive increase ... And finally, they levied the contribution of January, without even responding to my mail received in December ... They drag, so that the deadlines run, and so that we are no longer a possible recourse ... If I ever have the same luck "&amp;"as M. that someone falls on my post my member number is 382/12.
Good luck to those who are in a case similar to mine!")</f>
        <v>I have another problem, they sent me my counting for 2017 in December ... The envelope (which I obviously kept, with the codes sending) is well dated in December, while the count is Dated at Oct 24, date on which they should have informed me of my future contributions, so that I could retract ... Indeed in 2013 I paid 37 € for 2017 I am announced 72 €, I have 34 years and is not the need for the mutual insurance company at this price! Not to mention that the increase for 2017 is 15%loan !!! They are very good at the start and then it is anything, during my call, in December, I did not necessarily want to terminate but to be able to change my contract, outside a person told me a call from a No one competent to offer it a solution, without ever calling me ... When I tried to reach them each time a voice ended up telling me after 15 minutes that I will be nice to recall later. .. I had to try my luck at least 10 times!
Being afraid of having no more recourse I then wanted to dennon my contract following an abusive increase ... And finally, they levied the contribution of January, without even responding to my mail received in December ... They drag, so that the deadlines run, and so that we are no longer a possible recourse ... If I ever have the same luck as M. that someone falls on my post my member number is 382/12.
Good luck to those who are in a case similar to mine!</v>
      </c>
    </row>
    <row r="471" ht="15.75" customHeight="1">
      <c r="A471" s="2">
        <v>5.0</v>
      </c>
      <c r="B471" s="2" t="s">
        <v>1412</v>
      </c>
      <c r="C471" s="2" t="s">
        <v>1413</v>
      </c>
      <c r="D471" s="2" t="s">
        <v>13</v>
      </c>
      <c r="E471" s="2" t="s">
        <v>14</v>
      </c>
      <c r="F471" s="2" t="s">
        <v>15</v>
      </c>
      <c r="G471" s="2" t="s">
        <v>1414</v>
      </c>
      <c r="H471" s="2" t="s">
        <v>17</v>
      </c>
      <c r="I471" s="3" t="str">
        <f>IFERROR(__xludf.DUMMYFUNCTION("GOOGLETRANSLATE(C471,""fr"",""en"")"),"I am very happy with the service. The site is very well done and the procedures easy to perform. I highly recommend. Cordially
Have a good day")</f>
        <v>I am very happy with the service. The site is very well done and the procedures easy to perform. I highly recommend. Cordially
Have a good day</v>
      </c>
    </row>
    <row r="472" ht="15.75" customHeight="1">
      <c r="A472" s="2">
        <v>1.0</v>
      </c>
      <c r="B472" s="2" t="s">
        <v>1415</v>
      </c>
      <c r="C472" s="2" t="s">
        <v>1416</v>
      </c>
      <c r="D472" s="2" t="s">
        <v>48</v>
      </c>
      <c r="E472" s="2" t="s">
        <v>14</v>
      </c>
      <c r="F472" s="2" t="s">
        <v>15</v>
      </c>
      <c r="G472" s="2" t="s">
        <v>1133</v>
      </c>
      <c r="H472" s="2" t="s">
        <v>535</v>
      </c>
      <c r="I472" s="3" t="str">
        <f>IFERROR(__xludf.DUMMYFUNCTION("GOOGLETRANSLATE(C472,""fr"",""en"")"),"Hello to the subscription in 2016 Very well on the other hand level Grassa management of incompetent managers and which hangs you up with the nose you do not respond to the mail with recommended a big one who neglects their zero client on 10 MAIF customer"&amp;" service a year to reimburse me a claim After multiple expertise.")</f>
        <v>Hello to the subscription in 2016 Very well on the other hand level Grassa management of incompetent managers and which hangs you up with the nose you do not respond to the mail with recommended a big one who neglects their zero client on 10 MAIF customer service a year to reimburse me a claim After multiple expertise.</v>
      </c>
    </row>
    <row r="473" ht="15.75" customHeight="1">
      <c r="A473" s="2">
        <v>1.0</v>
      </c>
      <c r="B473" s="2" t="s">
        <v>1417</v>
      </c>
      <c r="C473" s="2" t="s">
        <v>1418</v>
      </c>
      <c r="D473" s="2" t="s">
        <v>101</v>
      </c>
      <c r="E473" s="2" t="s">
        <v>31</v>
      </c>
      <c r="F473" s="2" t="s">
        <v>15</v>
      </c>
      <c r="G473" s="2" t="s">
        <v>1419</v>
      </c>
      <c r="H473" s="2" t="s">
        <v>458</v>
      </c>
      <c r="I473" s="3" t="str">
        <f>IFERROR(__xludf.DUMMYFUNCTION("GOOGLETRANSLATE(C473,""fr"",""en"")"),"Abusive canvassing by phone: under cover of information on a so-called law modification, the salesperson checks your info and sells you, the air of nothing, a new mutual. Commercial which becomes very aggressive when you ask for a verification / reflectio"&amp;"n deadline, which is still the minimum ... hang up as soon as possible, do not click on the links they send you by text. This type of commercial canvassing is shameful, should be punished by law and prohibited.")</f>
        <v>Abusive canvassing by phone: under cover of information on a so-called law modification, the salesperson checks your info and sells you, the air of nothing, a new mutual. Commercial which becomes very aggressive when you ask for a verification / reflection deadline, which is still the minimum ... hang up as soon as possible, do not click on the links they send you by text. This type of commercial canvassing is shameful, should be punished by law and prohibited.</v>
      </c>
    </row>
    <row r="474" ht="15.75" customHeight="1">
      <c r="A474" s="2">
        <v>3.0</v>
      </c>
      <c r="B474" s="2" t="s">
        <v>1420</v>
      </c>
      <c r="C474" s="2" t="s">
        <v>1421</v>
      </c>
      <c r="D474" s="2" t="s">
        <v>20</v>
      </c>
      <c r="E474" s="2" t="s">
        <v>14</v>
      </c>
      <c r="F474" s="2" t="s">
        <v>15</v>
      </c>
      <c r="G474" s="2" t="s">
        <v>1422</v>
      </c>
      <c r="H474" s="2" t="s">
        <v>27</v>
      </c>
      <c r="I474" s="3" t="str">
        <f>IFERROR(__xludf.DUMMYFUNCTION("GOOGLETRANSLATE(C474,""fr"",""en"")"),"Well overall.
Quick
I am very satisfied you website and the application very good service I will continue to provide cars with you thank you
")</f>
        <v>Well overall.
Quick
I am very satisfied you website and the application very good service I will continue to provide cars with you thank you
</v>
      </c>
    </row>
    <row r="475" ht="15.75" customHeight="1">
      <c r="A475" s="2">
        <v>3.0</v>
      </c>
      <c r="B475" s="2" t="s">
        <v>1423</v>
      </c>
      <c r="C475" s="2" t="s">
        <v>1424</v>
      </c>
      <c r="D475" s="2" t="s">
        <v>20</v>
      </c>
      <c r="E475" s="2" t="s">
        <v>14</v>
      </c>
      <c r="F475" s="2" t="s">
        <v>15</v>
      </c>
      <c r="G475" s="2" t="s">
        <v>1425</v>
      </c>
      <c r="H475" s="2" t="s">
        <v>133</v>
      </c>
      <c r="I475" s="3" t="str">
        <f>IFERROR(__xludf.DUMMYFUNCTION("GOOGLETRANSLATE(C475,""fr"",""en"")"),"I am satisfied with the service offered by Direct Insurance. The speed of the connection, the implementation of the quote and the subscription to car insurance")</f>
        <v>I am satisfied with the service offered by Direct Insurance. The speed of the connection, the implementation of the quote and the subscription to car insurance</v>
      </c>
    </row>
    <row r="476" ht="15.75" customHeight="1">
      <c r="A476" s="2">
        <v>1.0</v>
      </c>
      <c r="B476" s="2" t="s">
        <v>1426</v>
      </c>
      <c r="C476" s="2" t="s">
        <v>1427</v>
      </c>
      <c r="D476" s="2" t="s">
        <v>43</v>
      </c>
      <c r="E476" s="2" t="s">
        <v>107</v>
      </c>
      <c r="F476" s="2" t="s">
        <v>15</v>
      </c>
      <c r="G476" s="2" t="s">
        <v>1428</v>
      </c>
      <c r="H476" s="2" t="s">
        <v>395</v>
      </c>
      <c r="I476" s="3" t="str">
        <f>IFERROR(__xludf.DUMMYFUNCTION("GOOGLETRANSLATE(C476,""fr"",""en"")"),"A customer service that takes you high. I had two very unpleasant advisers, who have only one desire is to hang up as soon as possible. No advice from them. I'm so disappointed. It is better to go on your way and subscribe to another insurance that gives "&amp;"more consideration to its customers.")</f>
        <v>A customer service that takes you high. I had two very unpleasant advisers, who have only one desire is to hang up as soon as possible. No advice from them. I'm so disappointed. It is better to go on your way and subscribe to another insurance that gives more consideration to its customers.</v>
      </c>
    </row>
    <row r="477" ht="15.75" customHeight="1">
      <c r="A477" s="2">
        <v>5.0</v>
      </c>
      <c r="B477" s="2" t="s">
        <v>1429</v>
      </c>
      <c r="C477" s="2" t="s">
        <v>1430</v>
      </c>
      <c r="D477" s="2" t="s">
        <v>20</v>
      </c>
      <c r="E477" s="2" t="s">
        <v>14</v>
      </c>
      <c r="F477" s="2" t="s">
        <v>15</v>
      </c>
      <c r="G477" s="2" t="s">
        <v>1422</v>
      </c>
      <c r="H477" s="2" t="s">
        <v>27</v>
      </c>
      <c r="I477" s="3" t="str">
        <f>IFERROR(__xludf.DUMMYFUNCTION("GOOGLETRANSLATE(C477,""fr"",""en"")"),"Thank you very much this is very efficient repaid great I highly recommend thank you for your understanding I very well received the contract
Thanks to you I am quiet to run safely")</f>
        <v>Thank you very much this is very efficient repaid great I highly recommend thank you for your understanding I very well received the contract
Thanks to you I am quiet to run safely</v>
      </c>
    </row>
    <row r="478" ht="15.75" customHeight="1">
      <c r="A478" s="2">
        <v>1.0</v>
      </c>
      <c r="B478" s="2" t="s">
        <v>1431</v>
      </c>
      <c r="C478" s="2" t="s">
        <v>1432</v>
      </c>
      <c r="D478" s="2" t="s">
        <v>159</v>
      </c>
      <c r="E478" s="2" t="s">
        <v>285</v>
      </c>
      <c r="F478" s="2" t="s">
        <v>15</v>
      </c>
      <c r="G478" s="2" t="s">
        <v>1433</v>
      </c>
      <c r="H478" s="2" t="s">
        <v>195</v>
      </c>
      <c r="I478" s="3" t="str">
        <f>IFERROR(__xludf.DUMMYFUNCTION("GOOGLETRANSLATE(C478,""fr"",""en"")"),"I subscribed to an insurance towards Allianz in 2015. Since 2015 I have not earned a penny, I have rather lost money. It's been 10 days now that I asked for my takeover and no one knows how to tell me if it was taken into account. The only thing I am sure"&amp;" and I still lose money.
Allianz is very strong to sell you contracts but on the other hand after there was no one.
Personally there is much better in competition.")</f>
        <v>I subscribed to an insurance towards Allianz in 2015. Since 2015 I have not earned a penny, I have rather lost money. It's been 10 days now that I asked for my takeover and no one knows how to tell me if it was taken into account. The only thing I am sure and I still lose money.
Allianz is very strong to sell you contracts but on the other hand after there was no one.
Personally there is much better in competition.</v>
      </c>
    </row>
    <row r="479" ht="15.75" customHeight="1">
      <c r="A479" s="2">
        <v>4.0</v>
      </c>
      <c r="B479" s="2" t="s">
        <v>1434</v>
      </c>
      <c r="C479" s="2" t="s">
        <v>1435</v>
      </c>
      <c r="D479" s="2" t="s">
        <v>20</v>
      </c>
      <c r="E479" s="2" t="s">
        <v>14</v>
      </c>
      <c r="F479" s="2" t="s">
        <v>15</v>
      </c>
      <c r="G479" s="2" t="s">
        <v>299</v>
      </c>
      <c r="H479" s="2" t="s">
        <v>149</v>
      </c>
      <c r="I479" s="3" t="str">
        <f>IFERROR(__xludf.DUMMYFUNCTION("GOOGLETRANSLATE(C479,""fr"",""en"")"),"For the moment the price proposal suits me. I subscribed for my car insurance a short time ago, I hope to be satisfied with my ""comfort"" formula.")</f>
        <v>For the moment the price proposal suits me. I subscribed for my car insurance a short time ago, I hope to be satisfied with my "comfort" formula.</v>
      </c>
    </row>
    <row r="480" ht="15.75" customHeight="1">
      <c r="A480" s="2">
        <v>4.0</v>
      </c>
      <c r="B480" s="2" t="s">
        <v>1436</v>
      </c>
      <c r="C480" s="2" t="s">
        <v>1437</v>
      </c>
      <c r="D480" s="2" t="s">
        <v>513</v>
      </c>
      <c r="E480" s="2" t="s">
        <v>91</v>
      </c>
      <c r="F480" s="2" t="s">
        <v>15</v>
      </c>
      <c r="G480" s="2" t="s">
        <v>1438</v>
      </c>
      <c r="H480" s="2" t="s">
        <v>445</v>
      </c>
      <c r="I480" s="3" t="str">
        <f>IFERROR(__xludf.DUMMYFUNCTION("GOOGLETRANSLATE(C480,""fr"",""en"")"),"Nothing to say about the care as well as on the unlocking of the funds following a disaster. Resurance in accordance with the wait except disagreement about a partitioning of 9m2 in a basement, which has my eyes has no value If not avoid fuel and dust odo"&amp;"rs before going up to the apartment. For this reason, the contract takes me from 7 to 8 documents from or a disagreement with Pacifica. This fact that the contribution having increased sharply I am obliged to leave this insurance and to search for another"&amp;" formula.
When signing the contract, we tell you that the basements are not counted !!")</f>
        <v>Nothing to say about the care as well as on the unlocking of the funds following a disaster. Resurance in accordance with the wait except disagreement about a partitioning of 9m2 in a basement, which has my eyes has no value If not avoid fuel and dust odors before going up to the apartment. For this reason, the contract takes me from 7 to 8 documents from or a disagreement with Pacifica. This fact that the contribution having increased sharply I am obliged to leave this insurance and to search for another formula.
When signing the contract, we tell you that the basements are not counted !!</v>
      </c>
    </row>
    <row r="481" ht="15.75" customHeight="1">
      <c r="A481" s="2">
        <v>1.0</v>
      </c>
      <c r="B481" s="2" t="s">
        <v>1439</v>
      </c>
      <c r="C481" s="2" t="s">
        <v>1440</v>
      </c>
      <c r="D481" s="2" t="s">
        <v>24</v>
      </c>
      <c r="E481" s="2" t="s">
        <v>25</v>
      </c>
      <c r="F481" s="2" t="s">
        <v>15</v>
      </c>
      <c r="G481" s="2" t="s">
        <v>1441</v>
      </c>
      <c r="H481" s="2" t="s">
        <v>156</v>
      </c>
      <c r="I481" s="3" t="str">
        <f>IFERROR(__xludf.DUMMYFUNCTION("GOOGLETRANSLATE(C481,""fr"",""en"")"),"Too bad we are a person for a person. With contradictory discussions
Result I terminate all my contracts. They are not in the human.
During Covid and illness we had to find an arrangement once yes we never remind you of recalling. I am deleted the month"&amp;"ly payment without notice ah if mail well after ..... on the phone ????? An incompetent .....")</f>
        <v>Too bad we are a person for a person. With contradictory discussions
Result I terminate all my contracts. They are not in the human.
During Covid and illness we had to find an arrangement once yes we never remind you of recalling. I am deleted the monthly payment without notice ah if mail well after ..... on the phone ????? An incompetent .....</v>
      </c>
    </row>
    <row r="482" ht="15.75" customHeight="1">
      <c r="A482" s="2">
        <v>1.0</v>
      </c>
      <c r="B482" s="2" t="s">
        <v>1442</v>
      </c>
      <c r="C482" s="2" t="s">
        <v>1443</v>
      </c>
      <c r="D482" s="2" t="s">
        <v>48</v>
      </c>
      <c r="E482" s="2" t="s">
        <v>91</v>
      </c>
      <c r="F482" s="2" t="s">
        <v>15</v>
      </c>
      <c r="G482" s="2" t="s">
        <v>1444</v>
      </c>
      <c r="H482" s="2" t="s">
        <v>119</v>
      </c>
      <c r="I482" s="3" t="str">
        <f>IFERROR(__xludf.DUMMYFUNCTION("GOOGLETRANSLATE(C482,""fr"",""en"")"),"Client for 25 years and always difficulties during claims. It looked like the experts in MAIF are wicks with those of other insurances. Even if it is the craftsmen who have twisted (and there they play their decennial), the expert of the mayf pushes you b"&amp;"y telling you that it was up to you to predict a waterproofer for your Italian bathroom. As if I am in the construction industry. And then 3 years to finally be reimbursed.
Same, after a flight at my home, after photos and mail of jewelry of a grandmot"&amp;"her's rear maïf did not even give me 1 € for stolen jewelry, while they are turning a pub at the cinema Saying that even without invoice, or estimate of jewelry, we are reimbursed.
I am very disappointed and think to leave them in the month.")</f>
        <v>Client for 25 years and always difficulties during claims. It looked like the experts in MAIF are wicks with those of other insurances. Even if it is the craftsmen who have twisted (and there they play their decennial), the expert of the mayf pushes you by telling you that it was up to you to predict a waterproofer for your Italian bathroom. As if I am in the construction industry. And then 3 years to finally be reimbursed.
Same, after a flight at my home, after photos and mail of jewelry of a grandmother's rear maïf did not even give me 1 € for stolen jewelry, while they are turning a pub at the cinema Saying that even without invoice, or estimate of jewelry, we are reimbursed.
I am very disappointed and think to leave them in the month.</v>
      </c>
    </row>
    <row r="483" ht="15.75" customHeight="1">
      <c r="A483" s="2">
        <v>4.0</v>
      </c>
      <c r="B483" s="2" t="s">
        <v>1445</v>
      </c>
      <c r="C483" s="2" t="s">
        <v>1446</v>
      </c>
      <c r="D483" s="2" t="s">
        <v>233</v>
      </c>
      <c r="E483" s="2" t="s">
        <v>14</v>
      </c>
      <c r="F483" s="2" t="s">
        <v>15</v>
      </c>
      <c r="G483" s="2" t="s">
        <v>608</v>
      </c>
      <c r="H483" s="2" t="s">
        <v>27</v>
      </c>
      <c r="I483" s="3" t="str">
        <f>IFERROR(__xludf.DUMMYFUNCTION("GOOGLETRANSLATE(C483,""fr"",""en"")"),"Good listening and taking into account needs. I recommend GMF and share its values. Moderate rates and very complete insurance offer. I can sponsor you if necessary, you will not be disappointed.")</f>
        <v>Good listening and taking into account needs. I recommend GMF and share its values. Moderate rates and very complete insurance offer. I can sponsor you if necessary, you will not be disappointed.</v>
      </c>
    </row>
    <row r="484" ht="15.75" customHeight="1">
      <c r="A484" s="2">
        <v>1.0</v>
      </c>
      <c r="B484" s="2" t="s">
        <v>1447</v>
      </c>
      <c r="C484" s="2" t="s">
        <v>1448</v>
      </c>
      <c r="D484" s="2" t="s">
        <v>280</v>
      </c>
      <c r="E484" s="2" t="s">
        <v>91</v>
      </c>
      <c r="F484" s="2" t="s">
        <v>15</v>
      </c>
      <c r="G484" s="2" t="s">
        <v>1449</v>
      </c>
      <c r="H484" s="2" t="s">
        <v>1450</v>
      </c>
      <c r="I484" s="3" t="str">
        <f>IFERROR(__xludf.DUMMYFUNCTION("GOOGLETRANSLATE(C484,""fr"",""en"")"),"If we could select zero ""0"" star I would have done it with pleasure !! No customer service, incompetent and unpleasant staff on the phone, who is not even able to orient people correctly! In short not at all up to it !!")</f>
        <v>If we could select zero "0" star I would have done it with pleasure !! No customer service, incompetent and unpleasant staff on the phone, who is not even able to orient people correctly! In short not at all up to it !!</v>
      </c>
    </row>
    <row r="485" ht="15.75" customHeight="1">
      <c r="A485" s="2">
        <v>5.0</v>
      </c>
      <c r="B485" s="2" t="s">
        <v>1451</v>
      </c>
      <c r="C485" s="2" t="s">
        <v>1452</v>
      </c>
      <c r="D485" s="2" t="s">
        <v>13</v>
      </c>
      <c r="E485" s="2" t="s">
        <v>14</v>
      </c>
      <c r="F485" s="2" t="s">
        <v>15</v>
      </c>
      <c r="G485" s="2" t="s">
        <v>1453</v>
      </c>
      <c r="H485" s="2" t="s">
        <v>72</v>
      </c>
      <c r="I485" s="3" t="str">
        <f>IFERROR(__xludf.DUMMYFUNCTION("GOOGLETRANSLATE(C485,""fr"",""en"")"),"I am satisfied with the price of the service to follow
The access to the personal space on the site is perfect
I recommend, hoping that the quality of the service continues")</f>
        <v>I am satisfied with the price of the service to follow
The access to the personal space on the site is perfect
I recommend, hoping that the quality of the service continues</v>
      </c>
    </row>
    <row r="486" ht="15.75" customHeight="1">
      <c r="A486" s="2">
        <v>2.0</v>
      </c>
      <c r="B486" s="2" t="s">
        <v>1454</v>
      </c>
      <c r="C486" s="2" t="s">
        <v>1455</v>
      </c>
      <c r="D486" s="2" t="s">
        <v>20</v>
      </c>
      <c r="E486" s="2" t="s">
        <v>14</v>
      </c>
      <c r="F486" s="2" t="s">
        <v>15</v>
      </c>
      <c r="G486" s="2" t="s">
        <v>72</v>
      </c>
      <c r="H486" s="2" t="s">
        <v>72</v>
      </c>
      <c r="I486" s="3" t="str">
        <f>IFERROR(__xludf.DUMMYFUNCTION("GOOGLETRANSLATE(C486,""fr"",""en"")"),"I am completely disappointed with the customer service that I cannot reach by phone. If I still can't reach them in a few days, I change insurer")</f>
        <v>I am completely disappointed with the customer service that I cannot reach by phone. If I still can't reach them in a few days, I change insurer</v>
      </c>
    </row>
    <row r="487" ht="15.75" customHeight="1">
      <c r="A487" s="2">
        <v>5.0</v>
      </c>
      <c r="B487" s="2" t="s">
        <v>1456</v>
      </c>
      <c r="C487" s="2" t="s">
        <v>1457</v>
      </c>
      <c r="D487" s="2" t="s">
        <v>20</v>
      </c>
      <c r="E487" s="2" t="s">
        <v>14</v>
      </c>
      <c r="F487" s="2" t="s">
        <v>15</v>
      </c>
      <c r="G487" s="2" t="s">
        <v>602</v>
      </c>
      <c r="H487" s="2" t="s">
        <v>149</v>
      </c>
      <c r="I487" s="3" t="str">
        <f>IFERROR(__xludf.DUMMYFUNCTION("GOOGLETRANSLATE(C487,""fr"",""en"")"),"I am very satisfied with your service
The person on the phone is very nice and explains very well
very attractive price I recommend direct insurance")</f>
        <v>I am very satisfied with your service
The person on the phone is very nice and explains very well
very attractive price I recommend direct insurance</v>
      </c>
    </row>
    <row r="488" ht="15.75" customHeight="1">
      <c r="A488" s="2">
        <v>4.0</v>
      </c>
      <c r="B488" s="2" t="s">
        <v>1458</v>
      </c>
      <c r="C488" s="2" t="s">
        <v>1459</v>
      </c>
      <c r="D488" s="2" t="s">
        <v>453</v>
      </c>
      <c r="E488" s="2" t="s">
        <v>329</v>
      </c>
      <c r="F488" s="2" t="s">
        <v>15</v>
      </c>
      <c r="G488" s="2" t="s">
        <v>1460</v>
      </c>
      <c r="H488" s="2" t="s">
        <v>1085</v>
      </c>
      <c r="I488" s="3" t="str">
        <f>IFERROR(__xludf.DUMMYFUNCTION("GOOGLETRANSLATE(C488,""fr"",""en"")"),"My dog ​​has been insured with this insurer since her arrival is 2015. Since then she has had a lot of little worries that required many visits to the veterinarian. The care has always been reimbursed without discussions and on time. So really nothing to "&amp;"complain about on this side.")</f>
        <v>My dog ​​has been insured with this insurer since her arrival is 2015. Since then she has had a lot of little worries that required many visits to the veterinarian. The care has always been reimbursed without discussions and on time. So really nothing to complain about on this side.</v>
      </c>
    </row>
    <row r="489" ht="15.75" customHeight="1">
      <c r="A489" s="2">
        <v>2.0</v>
      </c>
      <c r="B489" s="2" t="s">
        <v>1461</v>
      </c>
      <c r="C489" s="2" t="s">
        <v>1462</v>
      </c>
      <c r="D489" s="2" t="s">
        <v>20</v>
      </c>
      <c r="E489" s="2" t="s">
        <v>14</v>
      </c>
      <c r="F489" s="2" t="s">
        <v>15</v>
      </c>
      <c r="G489" s="2" t="s">
        <v>1463</v>
      </c>
      <c r="H489" s="2" t="s">
        <v>1085</v>
      </c>
      <c r="I489" s="3" t="str">
        <f>IFERROR(__xludf.DUMMYFUNCTION("GOOGLETRANSLATE(C489,""fr"",""en"")"),"Very very disappointed. Certainly the prices are low therefore attractive but once confronted with a concern we know why !!!
On May 2, 2018 at 7 a.m. I see that the 4 wheels of my car were stolen.
The assistance service for troubleshooting sends me a co"&amp;"nvenience store within an hour. Until nothing to say. Except that since May 2 in the morning my car has been in the parking lot of the convenience store while waiting for Direct Insurance to find an approved garage in which to send my car. Uhhhhhhhh 3 day"&amp;"s to find a garage capable of climbing 4 wheels in the Lille suburbs is a joke ?????
Never seen.")</f>
        <v>Very very disappointed. Certainly the prices are low therefore attractive but once confronted with a concern we know why !!!
On May 2, 2018 at 7 a.m. I see that the 4 wheels of my car were stolen.
The assistance service for troubleshooting sends me a convenience store within an hour. Until nothing to say. Except that since May 2 in the morning my car has been in the parking lot of the convenience store while waiting for Direct Insurance to find an approved garage in which to send my car. Uhhhhhhhh 3 days to find a garage capable of climbing 4 wheels in the Lille suburbs is a joke ?????
Never seen.</v>
      </c>
    </row>
    <row r="490" ht="15.75" customHeight="1">
      <c r="A490" s="2">
        <v>4.0</v>
      </c>
      <c r="B490" s="2" t="s">
        <v>1464</v>
      </c>
      <c r="C490" s="2" t="s">
        <v>1465</v>
      </c>
      <c r="D490" s="2" t="s">
        <v>20</v>
      </c>
      <c r="E490" s="2" t="s">
        <v>14</v>
      </c>
      <c r="F490" s="2" t="s">
        <v>15</v>
      </c>
      <c r="G490" s="2" t="s">
        <v>531</v>
      </c>
      <c r="H490" s="2" t="s">
        <v>58</v>
      </c>
      <c r="I490" s="3" t="str">
        <f>IFERROR(__xludf.DUMMYFUNCTION("GOOGLETRANSLATE(C490,""fr"",""en"")"),"No chi-chi. Quote before entering its contact details. Good.
Price, very correct compared to other insurances (finally those where he is not obliged to return his contact details before doing anything)")</f>
        <v>No chi-chi. Quote before entering its contact details. Good.
Price, very correct compared to other insurances (finally those where he is not obliged to return his contact details before doing anything)</v>
      </c>
    </row>
    <row r="491" ht="15.75" customHeight="1">
      <c r="A491" s="2">
        <v>1.0</v>
      </c>
      <c r="B491" s="2" t="s">
        <v>1466</v>
      </c>
      <c r="C491" s="2" t="s">
        <v>1467</v>
      </c>
      <c r="D491" s="2" t="s">
        <v>1052</v>
      </c>
      <c r="E491" s="2" t="s">
        <v>285</v>
      </c>
      <c r="F491" s="2" t="s">
        <v>15</v>
      </c>
      <c r="G491" s="2" t="s">
        <v>735</v>
      </c>
      <c r="H491" s="2" t="s">
        <v>27</v>
      </c>
      <c r="I491" s="3" t="str">
        <f>IFERROR(__xludf.DUMMYFUNCTION("GOOGLETRANSLATE(C491,""fr"",""en"")"),"Since December I have been waiting for SOGECAP to me pay my provident insurance. Being incapable of work since December 2020. I send them all the papers ask and even more they do not ask !!!!!
My contract ended on the end of June 2021. And strangely I do"&amp;" not arrive on the assets on the phone now !!! Was my number blocked at home?
I am in a delicate situation, I lost my dear Cavid husband in March 2019.
So really need to be paid for my provident insurance.
Level satisfaction as many people.
What reput"&amp;"ation they are
")</f>
        <v>Since December I have been waiting for SOGECAP to me pay my provident insurance. Being incapable of work since December 2020. I send them all the papers ask and even more they do not ask !!!!!
My contract ended on the end of June 2021. And strangely I do not arrive on the assets on the phone now !!! Was my number blocked at home?
I am in a delicate situation, I lost my dear Cavid husband in March 2019.
So really need to be paid for my provident insurance.
Level satisfaction as many people.
What reputation they are
</v>
      </c>
    </row>
    <row r="492" ht="15.75" customHeight="1">
      <c r="A492" s="2">
        <v>3.0</v>
      </c>
      <c r="B492" s="2" t="s">
        <v>1468</v>
      </c>
      <c r="C492" s="2" t="s">
        <v>1469</v>
      </c>
      <c r="D492" s="2" t="s">
        <v>233</v>
      </c>
      <c r="E492" s="2" t="s">
        <v>14</v>
      </c>
      <c r="F492" s="2" t="s">
        <v>15</v>
      </c>
      <c r="G492" s="2" t="s">
        <v>1470</v>
      </c>
      <c r="H492" s="2" t="s">
        <v>149</v>
      </c>
      <c r="I492" s="3" t="str">
        <f>IFERROR(__xludf.DUMMYFUNCTION("GOOGLETRANSLATE(C492,""fr"",""en"")"),"I am satisfied with the service
However, I am looking for an insurance certificate and not assistance
I hope this will be convenient
In addition, I have documents awaiting signature and I do not understand why")</f>
        <v>I am satisfied with the service
However, I am looking for an insurance certificate and not assistance
I hope this will be convenient
In addition, I have documents awaiting signature and I do not understand why</v>
      </c>
    </row>
    <row r="493" ht="15.75" customHeight="1">
      <c r="A493" s="2">
        <v>1.0</v>
      </c>
      <c r="B493" s="2" t="s">
        <v>1471</v>
      </c>
      <c r="C493" s="2" t="s">
        <v>1472</v>
      </c>
      <c r="D493" s="2" t="s">
        <v>43</v>
      </c>
      <c r="E493" s="2" t="s">
        <v>14</v>
      </c>
      <c r="F493" s="2" t="s">
        <v>15</v>
      </c>
      <c r="G493" s="2" t="s">
        <v>710</v>
      </c>
      <c r="H493" s="2" t="s">
        <v>58</v>
      </c>
      <c r="I493" s="3" t="str">
        <f>IFERROR(__xludf.DUMMYFUNCTION("GOOGLETRANSLATE(C493,""fr"",""en"")"),"Horrible behavior with the customer. I deeply regret having insured the car with this insurer. On the phone a very unpleasant employee. They sent me the notification for staggered payment and in reality they have emptied my account twice.
They offered to"&amp;" pay in several times and they no longer want to comply with their own payment agreement. In desperation I started sending checks to pay the staggering according to the convention. They send me letters with threatening and insulting messages. Would not ha"&amp;"ve thought of finding me in this situation.
Now he threatens to terminate my contract despite the fact that I have paid.
I can't wait to end it because my experience with the massif is horrible.")</f>
        <v>Horrible behavior with the customer. I deeply regret having insured the car with this insurer. On the phone a very unpleasant employee. They sent me the notification for staggered payment and in reality they have emptied my account twice.
They offered to pay in several times and they no longer want to comply with their own payment agreement. In desperation I started sending checks to pay the staggering according to the convention. They send me letters with threatening and insulting messages. Would not have thought of finding me in this situation.
Now he threatens to terminate my contract despite the fact that I have paid.
I can't wait to end it because my experience with the massif is horrible.</v>
      </c>
    </row>
    <row r="494" ht="15.75" customHeight="1">
      <c r="A494" s="2">
        <v>2.0</v>
      </c>
      <c r="B494" s="2" t="s">
        <v>1473</v>
      </c>
      <c r="C494" s="2" t="s">
        <v>1474</v>
      </c>
      <c r="D494" s="2" t="s">
        <v>117</v>
      </c>
      <c r="E494" s="2" t="s">
        <v>14</v>
      </c>
      <c r="F494" s="2" t="s">
        <v>15</v>
      </c>
      <c r="G494" s="2" t="s">
        <v>824</v>
      </c>
      <c r="H494" s="2" t="s">
        <v>27</v>
      </c>
      <c r="I494" s="3" t="str">
        <f>IFERROR(__xludf.DUMMYFUNCTION("GOOGLETRANSLATE(C494,""fr"",""en"")"),"Hello, I am in cold with my insurer .. I indeed signed a contract in January 2015 with Peugeot Insurance/AXA, no claim to be deplored and in June 2021 I change my vehicle and contact insurance to modify information on The vehicle. I receive and signs the "&amp;"contract that I return directly via the Peugeot Insurance site. Fifteen days later I receive an annex to my contract stipulating a modification of my bonus .. I was at 0.50 for thirty eight years and now five years after the subscription of my contract wi"&amp;"th Peugeot assurance .. this last decided to Pass my coefficient from 0.50 to 0.68 !!!!
I immediately reacted and the answer given: we made an audit of your account and we noted an error made during the subscription more than five years ago now .. ???
I"&amp;" find it a lot of coffee and do not intend to stop there.
Could you give me advice on this specific case, is this legal already?
")</f>
        <v>Hello, I am in cold with my insurer .. I indeed signed a contract in January 2015 with Peugeot Insurance/AXA, no claim to be deplored and in June 2021 I change my vehicle and contact insurance to modify information on The vehicle. I receive and signs the contract that I return directly via the Peugeot Insurance site. Fifteen days later I receive an annex to my contract stipulating a modification of my bonus .. I was at 0.50 for thirty eight years and now five years after the subscription of my contract with Peugeot assurance .. this last decided to Pass my coefficient from 0.50 to 0.68 !!!!
I immediately reacted and the answer given: we made an audit of your account and we noted an error made during the subscription more than five years ago now .. ???
I find it a lot of coffee and do not intend to stop there.
Could you give me advice on this specific case, is this legal already?
</v>
      </c>
    </row>
    <row r="495" ht="15.75" customHeight="1">
      <c r="A495" s="2">
        <v>2.0</v>
      </c>
      <c r="B495" s="2" t="s">
        <v>1475</v>
      </c>
      <c r="C495" s="2" t="s">
        <v>1476</v>
      </c>
      <c r="D495" s="2" t="s">
        <v>20</v>
      </c>
      <c r="E495" s="2" t="s">
        <v>14</v>
      </c>
      <c r="F495" s="2" t="s">
        <v>15</v>
      </c>
      <c r="G495" s="2" t="s">
        <v>1477</v>
      </c>
      <c r="H495" s="2" t="s">
        <v>27</v>
      </c>
      <c r="I495" s="3" t="str">
        <f>IFERROR(__xludf.DUMMYFUNCTION("GOOGLETRANSLATE(C495,""fr"",""en"")"),"I am satisfied with the services that you offer, I have my vehicles at your home for a long time I am a Fidel customer! All my family and I have you")</f>
        <v>I am satisfied with the services that you offer, I have my vehicles at your home for a long time I am a Fidel customer! All my family and I have you</v>
      </c>
    </row>
    <row r="496" ht="15.75" customHeight="1">
      <c r="A496" s="2">
        <v>5.0</v>
      </c>
      <c r="B496" s="2" t="s">
        <v>1478</v>
      </c>
      <c r="C496" s="2" t="s">
        <v>1479</v>
      </c>
      <c r="D496" s="2" t="s">
        <v>20</v>
      </c>
      <c r="E496" s="2" t="s">
        <v>14</v>
      </c>
      <c r="F496" s="2" t="s">
        <v>15</v>
      </c>
      <c r="G496" s="2" t="s">
        <v>347</v>
      </c>
      <c r="H496" s="2" t="s">
        <v>133</v>
      </c>
      <c r="I496" s="3" t="str">
        <f>IFERROR(__xludf.DUMMYFUNCTION("GOOGLETRANSLATE(C496,""fr"",""en"")"),"I am satisfied with the proposal offered by this car insurance, especially with the offer of the You Drive case for young drivers. Thank you !")</f>
        <v>I am satisfied with the proposal offered by this car insurance, especially with the offer of the You Drive case for young drivers. Thank you !</v>
      </c>
    </row>
    <row r="497" ht="15.75" customHeight="1">
      <c r="A497" s="2">
        <v>5.0</v>
      </c>
      <c r="B497" s="2" t="s">
        <v>1480</v>
      </c>
      <c r="C497" s="2" t="s">
        <v>1481</v>
      </c>
      <c r="D497" s="2" t="s">
        <v>20</v>
      </c>
      <c r="E497" s="2" t="s">
        <v>14</v>
      </c>
      <c r="F497" s="2" t="s">
        <v>15</v>
      </c>
      <c r="G497" s="2" t="s">
        <v>724</v>
      </c>
      <c r="H497" s="2" t="s">
        <v>58</v>
      </c>
      <c r="I497" s="3" t="str">
        <f>IFERROR(__xludf.DUMMYFUNCTION("GOOGLETRANSLATE(C497,""fr"",""en"")"),"Much cheaper than other insurances with additional guarantees. Quick and simple subscription on the Internet. Now on date I will take out home insurance")</f>
        <v>Much cheaper than other insurances with additional guarantees. Quick and simple subscription on the Internet. Now on date I will take out home insurance</v>
      </c>
    </row>
    <row r="498" ht="15.75" customHeight="1">
      <c r="A498" s="2">
        <v>1.0</v>
      </c>
      <c r="B498" s="2" t="s">
        <v>1482</v>
      </c>
      <c r="C498" s="2" t="s">
        <v>1483</v>
      </c>
      <c r="D498" s="2" t="s">
        <v>117</v>
      </c>
      <c r="E498" s="2" t="s">
        <v>14</v>
      </c>
      <c r="F498" s="2" t="s">
        <v>15</v>
      </c>
      <c r="G498" s="2" t="s">
        <v>1484</v>
      </c>
      <c r="H498" s="2" t="s">
        <v>589</v>
      </c>
      <c r="I498" s="3" t="str">
        <f>IFERROR(__xludf.DUMMYFUNCTION("GOOGLETRANSLATE(C498,""fr"",""en"")"),"A charlatant of insurance, making a false declaration (on information statement) so that the member cannot go to competition.
In addition, this insurer adjusts these bonuses in the fans of competition, a real carpet merchant")</f>
        <v>A charlatant of insurance, making a false declaration (on information statement) so that the member cannot go to competition.
In addition, this insurer adjusts these bonuses in the fans of competition, a real carpet merchant</v>
      </c>
    </row>
    <row r="499" ht="15.75" customHeight="1">
      <c r="A499" s="2">
        <v>1.0</v>
      </c>
      <c r="B499" s="2" t="s">
        <v>1485</v>
      </c>
      <c r="C499" s="2" t="s">
        <v>1486</v>
      </c>
      <c r="D499" s="2" t="s">
        <v>117</v>
      </c>
      <c r="E499" s="2" t="s">
        <v>14</v>
      </c>
      <c r="F499" s="2" t="s">
        <v>15</v>
      </c>
      <c r="G499" s="2" t="s">
        <v>678</v>
      </c>
      <c r="H499" s="2" t="s">
        <v>255</v>
      </c>
      <c r="I499" s="3" t="str">
        <f>IFERROR(__xludf.DUMMYFUNCTION("GOOGLETRANSLATE(C499,""fr"",""en"")"),"The worst insurance or the employees do not know how to work! I'm just talking about a change of rib!
In addition he sorts their client
I do not recommend it strongly, however I did not have an accident, it's administrative
")</f>
        <v>The worst insurance or the employees do not know how to work! I'm just talking about a change of rib!
In addition he sorts their client
I do not recommend it strongly, however I did not have an accident, it's administrative
</v>
      </c>
    </row>
    <row r="500" ht="15.75" customHeight="1">
      <c r="A500" s="2">
        <v>4.0</v>
      </c>
      <c r="B500" s="2" t="s">
        <v>1487</v>
      </c>
      <c r="C500" s="2" t="s">
        <v>1488</v>
      </c>
      <c r="D500" s="2" t="s">
        <v>13</v>
      </c>
      <c r="E500" s="2" t="s">
        <v>14</v>
      </c>
      <c r="F500" s="2" t="s">
        <v>15</v>
      </c>
      <c r="G500" s="2" t="s">
        <v>98</v>
      </c>
      <c r="H500" s="2" t="s">
        <v>17</v>
      </c>
      <c r="I500" s="3" t="str">
        <f>IFERROR(__xludf.DUMMYFUNCTION("GOOGLETRANSLATE(C500,""fr"",""en"")"),"Satisfied with the services, the prices are correct
Good follow -up of advice with good advice
Sending documents via the site is a good time saving!")</f>
        <v>Satisfied with the services, the prices are correct
Good follow -up of advice with good advice
Sending documents via the site is a good time saving!</v>
      </c>
    </row>
    <row r="501" ht="15.75" customHeight="1">
      <c r="A501" s="2">
        <v>1.0</v>
      </c>
      <c r="B501" s="2" t="s">
        <v>1489</v>
      </c>
      <c r="C501" s="2" t="s">
        <v>1490</v>
      </c>
      <c r="D501" s="2" t="s">
        <v>1013</v>
      </c>
      <c r="E501" s="2" t="s">
        <v>25</v>
      </c>
      <c r="F501" s="2" t="s">
        <v>15</v>
      </c>
      <c r="G501" s="2" t="s">
        <v>1491</v>
      </c>
      <c r="H501" s="2" t="s">
        <v>218</v>
      </c>
      <c r="I501" s="3" t="str">
        <f>IFERROR(__xludf.DUMMYFUNCTION("GOOGLETRANSLATE(C501,""fr"",""en"")"),"Null Customer Service ..... At first Insurance Support Agreement, then refusals 48 hours after ..... a customer service that does not understand anything ...... to flee")</f>
        <v>Null Customer Service ..... At first Insurance Support Agreement, then refusals 48 hours after ..... a customer service that does not understand anything ...... to flee</v>
      </c>
    </row>
    <row r="502" ht="15.75" customHeight="1">
      <c r="A502" s="2">
        <v>1.0</v>
      </c>
      <c r="B502" s="2" t="s">
        <v>1492</v>
      </c>
      <c r="C502" s="2" t="s">
        <v>1493</v>
      </c>
      <c r="D502" s="2" t="s">
        <v>117</v>
      </c>
      <c r="E502" s="2" t="s">
        <v>285</v>
      </c>
      <c r="F502" s="2" t="s">
        <v>15</v>
      </c>
      <c r="G502" s="2" t="s">
        <v>510</v>
      </c>
      <c r="H502" s="2" t="s">
        <v>187</v>
      </c>
      <c r="I502" s="3" t="str">
        <f>IFERROR(__xludf.DUMMYFUNCTION("GOOGLETRANSLATE(C502,""fr"",""en"")"),"Where did my money go?
No AXA service answers me.
Since May 2014, I ask AXA France Vie the regulation of my savings: namely life insurance subscribed in 1993 and due in 19999.
Despite many letters, all with accused of receipt, therefore in 2014, 2015, "&amp;"the last being of November 2017, I received no response from Axa.
I do not understand why, insofar as my wife received the settlement of her savings in 2014 on the initiative of AXA.
It was the same life insurance with the same conditions, subscribed th"&amp;"e same day with the same insurer.
Do I have to involve a mediator?
Do I have to take legal action to obtain compensation?
")</f>
        <v>Where did my money go?
No AXA service answers me.
Since May 2014, I ask AXA France Vie the regulation of my savings: namely life insurance subscribed in 1993 and due in 19999.
Despite many letters, all with accused of receipt, therefore in 2014, 2015, the last being of November 2017, I received no response from Axa.
I do not understand why, insofar as my wife received the settlement of her savings in 2014 on the initiative of AXA.
It was the same life insurance with the same conditions, subscribed the same day with the same insurer.
Do I have to involve a mediator?
Do I have to take legal action to obtain compensation?
</v>
      </c>
    </row>
    <row r="503" ht="15.75" customHeight="1">
      <c r="A503" s="2">
        <v>2.0</v>
      </c>
      <c r="B503" s="2" t="s">
        <v>1494</v>
      </c>
      <c r="C503" s="2" t="s">
        <v>1495</v>
      </c>
      <c r="D503" s="2" t="s">
        <v>426</v>
      </c>
      <c r="E503" s="2" t="s">
        <v>31</v>
      </c>
      <c r="F503" s="2" t="s">
        <v>15</v>
      </c>
      <c r="G503" s="2" t="s">
        <v>1496</v>
      </c>
      <c r="H503" s="2" t="s">
        <v>535</v>
      </c>
      <c r="I503" s="3" t="str">
        <f>IFERROR(__xludf.DUMMYFUNCTION("GOOGLETRANSLATE(C503,""fr"",""en"")"),"The motto ""of everyone according to their means to each according to their needs"" Lightning motto of the MGEN in its early days has not been topical for a long time.
The contribution indexed to household income has become individual and my contribution"&amp;" suddenly doubled.
And now several prices of your choice. Bone densitometrics are no longer reimbursed.
There is nothing more than private mutuals but a dominant position because it is also CPAM box. Who obliges teachers to adhere to it.")</f>
        <v>The motto "of everyone according to their means to each according to their needs" Lightning motto of the MGEN in its early days has not been topical for a long time.
The contribution indexed to household income has become individual and my contribution suddenly doubled.
And now several prices of your choice. Bone densitometrics are no longer reimbursed.
There is nothing more than private mutuals but a dominant position because it is also CPAM box. Who obliges teachers to adhere to it.</v>
      </c>
    </row>
    <row r="504" ht="15.75" customHeight="1">
      <c r="A504" s="2">
        <v>5.0</v>
      </c>
      <c r="B504" s="2" t="s">
        <v>1497</v>
      </c>
      <c r="C504" s="2" t="s">
        <v>1498</v>
      </c>
      <c r="D504" s="2" t="s">
        <v>128</v>
      </c>
      <c r="E504" s="2" t="s">
        <v>97</v>
      </c>
      <c r="F504" s="2" t="s">
        <v>15</v>
      </c>
      <c r="G504" s="2" t="s">
        <v>16</v>
      </c>
      <c r="H504" s="2" t="s">
        <v>17</v>
      </c>
      <c r="I504" s="3" t="str">
        <f>IFERROR(__xludf.DUMMYFUNCTION("GOOGLETRANSLATE(C504,""fr"",""en"")"),"TOP products and services, very competent and efficient advisor
The most interesting offer for Insurance Insurance Delegation, after study, my advisor has aligned himself on competition, the prime fees via Zen Up are less expensive
I am totally satisfie"&amp;"d
Thank you Zen Up and Generali!")</f>
        <v>TOP products and services, very competent and efficient advisor
The most interesting offer for Insurance Insurance Delegation, after study, my advisor has aligned himself on competition, the prime fees via Zen Up are less expensive
I am totally satisfied
Thank you Zen Up and Generali!</v>
      </c>
    </row>
    <row r="505" ht="15.75" customHeight="1">
      <c r="A505" s="2">
        <v>1.0</v>
      </c>
      <c r="B505" s="2" t="s">
        <v>1499</v>
      </c>
      <c r="C505" s="2" t="s">
        <v>1500</v>
      </c>
      <c r="D505" s="2" t="s">
        <v>280</v>
      </c>
      <c r="E505" s="2" t="s">
        <v>14</v>
      </c>
      <c r="F505" s="2" t="s">
        <v>15</v>
      </c>
      <c r="G505" s="2" t="s">
        <v>1501</v>
      </c>
      <c r="H505" s="2" t="s">
        <v>1094</v>
      </c>
      <c r="I505" s="3" t="str">
        <f>IFERROR(__xludf.DUMMYFUNCTION("GOOGLETRANSLATE(C505,""fr"",""en"")"),"After several weeks of waiting and unanswered call an advisor answers me at the end to tell me that I am wrong without being checked by an expert. I dispute this decision and I ask that an expert moves and examines the car and the shock rieennnnnn at leas"&amp;"t he sends me walking. Thank you the Matmut Troop disappointed")</f>
        <v>After several weeks of waiting and unanswered call an advisor answers me at the end to tell me that I am wrong without being checked by an expert. I dispute this decision and I ask that an expert moves and examines the car and the shock rieennnnnn at least he sends me walking. Thank you the Matmut Troop disappointed</v>
      </c>
    </row>
    <row r="506" ht="15.75" customHeight="1">
      <c r="A506" s="2">
        <v>5.0</v>
      </c>
      <c r="B506" s="2" t="s">
        <v>1502</v>
      </c>
      <c r="C506" s="2" t="s">
        <v>1503</v>
      </c>
      <c r="D506" s="2" t="s">
        <v>20</v>
      </c>
      <c r="E506" s="2" t="s">
        <v>14</v>
      </c>
      <c r="F506" s="2" t="s">
        <v>15</v>
      </c>
      <c r="G506" s="2" t="s">
        <v>531</v>
      </c>
      <c r="H506" s="2" t="s">
        <v>58</v>
      </c>
      <c r="I506" s="3" t="str">
        <f>IFERROR(__xludf.DUMMYFUNCTION("GOOGLETRANSLATE(C506,""fr"",""en"")"),"The guarantees and the price suit me. I have to wait to also take out the home insurance contract, the current one having less than a year.
I will also see to subscribe my daughter for her home
")</f>
        <v>The guarantees and the price suit me. I have to wait to also take out the home insurance contract, the current one having less than a year.
I will also see to subscribe my daughter for her home
</v>
      </c>
    </row>
    <row r="507" ht="15.75" customHeight="1">
      <c r="A507" s="2">
        <v>1.0</v>
      </c>
      <c r="B507" s="2" t="s">
        <v>1504</v>
      </c>
      <c r="C507" s="2" t="s">
        <v>1505</v>
      </c>
      <c r="D507" s="2" t="s">
        <v>1506</v>
      </c>
      <c r="E507" s="2" t="s">
        <v>329</v>
      </c>
      <c r="F507" s="2" t="s">
        <v>15</v>
      </c>
      <c r="G507" s="2" t="s">
        <v>1507</v>
      </c>
      <c r="H507" s="2" t="s">
        <v>144</v>
      </c>
      <c r="I507" s="3" t="str">
        <f>IFERROR(__xludf.DUMMYFUNCTION("GOOGLETRANSLATE(C507,""fr"",""en"")"),"Client for many years for my French bulldog, I wanted to terminate because in recent years the increases are too large! And I no longer have the means to pay following a divorce. My anniversary date being 03/09, I sent my termination on 07/07 because I ha"&amp;"d not received the new schedule. I received a letter on 07/24 which told me that it was not possible because my request was not made within the imparted deadlines provided for the general provisions of the contract. I had a period of 30 days from the rece"&amp;"ipt of my maturity notice to inform them of the termination ... I received this opinion on 08/14 .... and I am told that the Price increase is not a valid reason ... I therefore returned a registered letter by talking to them about the Chatel law, I await"&amp;" the answer but by waiting, I still had my first levy of 318.36 euros today 'Hui. So I feel that it will be long to stop to stop and collect my sample. I will wait a few days before soliciting a consumer association or my legal service.")</f>
        <v>Client for many years for my French bulldog, I wanted to terminate because in recent years the increases are too large! And I no longer have the means to pay following a divorce. My anniversary date being 03/09, I sent my termination on 07/07 because I had not received the new schedule. I received a letter on 07/24 which told me that it was not possible because my request was not made within the imparted deadlines provided for the general provisions of the contract. I had a period of 30 days from the receipt of my maturity notice to inform them of the termination ... I received this opinion on 08/14 .... and I am told that the Price increase is not a valid reason ... I therefore returned a registered letter by talking to them about the Chatel law, I await the answer but by waiting, I still had my first levy of 318.36 euros today 'Hui. So I feel that it will be long to stop to stop and collect my sample. I will wait a few days before soliciting a consumer association or my legal service.</v>
      </c>
    </row>
    <row r="508" ht="15.75" customHeight="1">
      <c r="A508" s="2">
        <v>1.0</v>
      </c>
      <c r="B508" s="2" t="s">
        <v>1508</v>
      </c>
      <c r="C508" s="2" t="s">
        <v>1509</v>
      </c>
      <c r="D508" s="2" t="s">
        <v>13</v>
      </c>
      <c r="E508" s="2" t="s">
        <v>14</v>
      </c>
      <c r="F508" s="2" t="s">
        <v>15</v>
      </c>
      <c r="G508" s="2" t="s">
        <v>1510</v>
      </c>
      <c r="H508" s="2" t="s">
        <v>156</v>
      </c>
      <c r="I508" s="3" t="str">
        <f>IFERROR(__xludf.DUMMYFUNCTION("GOOGLETRANSLATE(C508,""fr"",""en"")"),"TO BAN!! They are incompetent! They just want money!
insured with them since 12/2018 any risk. I had a traffic accident in June 2019 with my vehicle recognized 100% reason or I was injured. The insurer directed me not knowing anything towards an approved"&amp;" garage which did me in the wrong way and not a billed way I request a contradictory expertise granted and made in August 2019. I am confirmed that the resumption of repairs of my vehicle are taken care of in December 2019 until the no news and conflicts."&amp;" I make the repair in a garage that I choose in January 2020 or I advance the sum of 4,300 euros ...
We are in June 2020 and no reimbursements. The contradictory expertise is deciduous because of the insurance. The Garage supposed to take care of me refu"&amp;"ses and tells me that it is therefore my insurance. No news of them since, many letters with accused and the intervention of my legal protection.
I am stuck without news and I have to stay with them ... In addition, I have still not had a visit to an exp"&amp;"ert doctor well my reminders and my health concerns.")</f>
        <v>TO BAN!! They are incompetent! They just want money!
insured with them since 12/2018 any risk. I had a traffic accident in June 2019 with my vehicle recognized 100% reason or I was injured. The insurer directed me not knowing anything towards an approved garage which did me in the wrong way and not a billed way I request a contradictory expertise granted and made in August 2019. I am confirmed that the resumption of repairs of my vehicle are taken care of in December 2019 until the no news and conflicts. I make the repair in a garage that I choose in January 2020 or I advance the sum of 4,300 euros ...
We are in June 2020 and no reimbursements. The contradictory expertise is deciduous because of the insurance. The Garage supposed to take care of me refuses and tells me that it is therefore my insurance. No news of them since, many letters with accused and the intervention of my legal protection.
I am stuck without news and I have to stay with them ... In addition, I have still not had a visit to an expert doctor well my reminders and my health concerns.</v>
      </c>
    </row>
    <row r="509" ht="15.75" customHeight="1">
      <c r="A509" s="2">
        <v>4.0</v>
      </c>
      <c r="B509" s="2" t="s">
        <v>1511</v>
      </c>
      <c r="C509" s="2" t="s">
        <v>1512</v>
      </c>
      <c r="D509" s="2" t="s">
        <v>13</v>
      </c>
      <c r="E509" s="2" t="s">
        <v>14</v>
      </c>
      <c r="F509" s="2" t="s">
        <v>15</v>
      </c>
      <c r="G509" s="2" t="s">
        <v>1171</v>
      </c>
      <c r="H509" s="2" t="s">
        <v>17</v>
      </c>
      <c r="I509" s="3" t="str">
        <f>IFERROR(__xludf.DUMMYFUNCTION("GOOGLETRANSLATE(C509,""fr"",""en"")"),"Very well
I am satisfied, I would recommend oliveira to my colleagues and friends
Thank you.
The advisor who received me very well very professional, he enters me an increase")</f>
        <v>Very well
I am satisfied, I would recommend oliveira to my colleagues and friends
Thank you.
The advisor who received me very well very professional, he enters me an increase</v>
      </c>
    </row>
    <row r="510" ht="15.75" customHeight="1">
      <c r="A510" s="2">
        <v>5.0</v>
      </c>
      <c r="B510" s="2" t="s">
        <v>1513</v>
      </c>
      <c r="C510" s="2" t="s">
        <v>1514</v>
      </c>
      <c r="D510" s="2" t="s">
        <v>24</v>
      </c>
      <c r="E510" s="2" t="s">
        <v>25</v>
      </c>
      <c r="F510" s="2" t="s">
        <v>15</v>
      </c>
      <c r="G510" s="2" t="s">
        <v>1515</v>
      </c>
      <c r="H510" s="2" t="s">
        <v>354</v>
      </c>
      <c r="I510" s="3" t="str">
        <f>IFERROR(__xludf.DUMMYFUNCTION("GOOGLETRANSLATE(C510,""fr"",""en"")"),"Simple and effective, membership took me very little time and allowed me to earn 40% of the price of my previous insurance")</f>
        <v>Simple and effective, membership took me very little time and allowed me to earn 40% of the price of my previous insurance</v>
      </c>
    </row>
    <row r="511" ht="15.75" customHeight="1">
      <c r="A511" s="2">
        <v>3.0</v>
      </c>
      <c r="B511" s="2" t="s">
        <v>1516</v>
      </c>
      <c r="C511" s="2" t="s">
        <v>1517</v>
      </c>
      <c r="D511" s="2" t="s">
        <v>284</v>
      </c>
      <c r="E511" s="2" t="s">
        <v>97</v>
      </c>
      <c r="F511" s="2" t="s">
        <v>15</v>
      </c>
      <c r="G511" s="2" t="s">
        <v>1518</v>
      </c>
      <c r="H511" s="2" t="s">
        <v>1450</v>
      </c>
      <c r="I511" s="3" t="str">
        <f>IFERROR(__xludf.DUMMYFUNCTION("GOOGLETRANSLATE(C511,""fr"",""en"")"),"I was dismissed for economic reasons. I have declared and sent all the documents for the care of my credit. Unlikely reason; To protect myself I had to set up a Banque de France over -indebtedness file. I have just contacted a lawyer.")</f>
        <v>I was dismissed for economic reasons. I have declared and sent all the documents for the care of my credit. Unlikely reason; To protect myself I had to set up a Banque de France over -indebtedness file. I have just contacted a lawyer.</v>
      </c>
    </row>
    <row r="512" ht="15.75" customHeight="1">
      <c r="A512" s="2">
        <v>4.0</v>
      </c>
      <c r="B512" s="2" t="s">
        <v>1519</v>
      </c>
      <c r="C512" s="2" t="s">
        <v>1520</v>
      </c>
      <c r="D512" s="2" t="s">
        <v>20</v>
      </c>
      <c r="E512" s="2" t="s">
        <v>14</v>
      </c>
      <c r="F512" s="2" t="s">
        <v>15</v>
      </c>
      <c r="G512" s="2" t="s">
        <v>16</v>
      </c>
      <c r="H512" s="2" t="s">
        <v>17</v>
      </c>
      <c r="I512" s="3" t="str">
        <f>IFERROR(__xludf.DUMMYFUNCTION("GOOGLETRANSLATE(C512,""fr"",""en"")"),"Well informed by the hostess who processed my file this one was taken care of immediately, very clear information, I am very satisfied with my call")</f>
        <v>Well informed by the hostess who processed my file this one was taken care of immediately, very clear information, I am very satisfied with my call</v>
      </c>
    </row>
    <row r="513" ht="15.75" customHeight="1">
      <c r="A513" s="2">
        <v>2.0</v>
      </c>
      <c r="B513" s="2" t="s">
        <v>1521</v>
      </c>
      <c r="C513" s="2" t="s">
        <v>1522</v>
      </c>
      <c r="D513" s="2" t="s">
        <v>185</v>
      </c>
      <c r="E513" s="2" t="s">
        <v>31</v>
      </c>
      <c r="F513" s="2" t="s">
        <v>15</v>
      </c>
      <c r="G513" s="2" t="s">
        <v>633</v>
      </c>
      <c r="H513" s="2" t="s">
        <v>535</v>
      </c>
      <c r="I513" s="3" t="str">
        <f>IFERROR(__xludf.DUMMYFUNCTION("GOOGLETRANSLATE(C513,""fr"",""en"")"),"I wish as the law leaves April after a year and one day. A real obstacle course. He refuses my termination arguing on the terms used. I take advice from a lawyer, to get out of this grotesque situation. Wouldn't group action be necessary?")</f>
        <v>I wish as the law leaves April after a year and one day. A real obstacle course. He refuses my termination arguing on the terms used. I take advice from a lawyer, to get out of this grotesque situation. Wouldn't group action be necessary?</v>
      </c>
    </row>
    <row r="514" ht="15.75" customHeight="1">
      <c r="A514" s="2">
        <v>3.0</v>
      </c>
      <c r="B514" s="2" t="s">
        <v>1523</v>
      </c>
      <c r="C514" s="2" t="s">
        <v>1524</v>
      </c>
      <c r="D514" s="2" t="s">
        <v>13</v>
      </c>
      <c r="E514" s="2" t="s">
        <v>14</v>
      </c>
      <c r="F514" s="2" t="s">
        <v>15</v>
      </c>
      <c r="G514" s="2" t="s">
        <v>330</v>
      </c>
      <c r="H514" s="2" t="s">
        <v>309</v>
      </c>
      <c r="I514" s="3" t="str">
        <f>IFERROR(__xludf.DUMMYFUNCTION("GOOGLETRANSLATE(C514,""fr"",""en"")"),"Cheap auto insurance but I had a non -responsible disaster and now I understood why they are not expensive I strongly advise against this insurance very bad experience with their expert when the advisers are really great I will pay my pocket for expertise")</f>
        <v>Cheap auto insurance but I had a non -responsible disaster and now I understood why they are not expensive I strongly advise against this insurance very bad experience with their expert when the advisers are really great I will pay my pocket for expertise</v>
      </c>
    </row>
    <row r="515" ht="15.75" customHeight="1">
      <c r="A515" s="2">
        <v>2.0</v>
      </c>
      <c r="B515" s="2" t="s">
        <v>1525</v>
      </c>
      <c r="C515" s="2" t="s">
        <v>1526</v>
      </c>
      <c r="D515" s="2" t="s">
        <v>233</v>
      </c>
      <c r="E515" s="2" t="s">
        <v>14</v>
      </c>
      <c r="F515" s="2" t="s">
        <v>15</v>
      </c>
      <c r="G515" s="2" t="s">
        <v>1527</v>
      </c>
      <c r="H515" s="2" t="s">
        <v>140</v>
      </c>
      <c r="I515" s="3" t="str">
        <f>IFERROR(__xludf.DUMMYFUNCTION("GOOGLETRANSLATE(C515,""fr"",""en"")"),"Insured GMF for years, following a request for the reopening of an accident file for prejudice assessment, we have suffered an end to not receive that my wife was in disability because of this accident. Shameful to be so badly treated after years of insur"&amp;"ance, small parenthesis legal service used once and fired as a clean evil although having won in court.")</f>
        <v>Insured GMF for years, following a request for the reopening of an accident file for prejudice assessment, we have suffered an end to not receive that my wife was in disability because of this accident. Shameful to be so badly treated after years of insurance, small parenthesis legal service used once and fired as a clean evil although having won in court.</v>
      </c>
    </row>
    <row r="516" ht="15.75" customHeight="1">
      <c r="A516" s="2">
        <v>1.0</v>
      </c>
      <c r="B516" s="2" t="s">
        <v>1528</v>
      </c>
      <c r="C516" s="2" t="s">
        <v>1529</v>
      </c>
      <c r="D516" s="2" t="s">
        <v>284</v>
      </c>
      <c r="E516" s="2" t="s">
        <v>285</v>
      </c>
      <c r="F516" s="2" t="s">
        <v>15</v>
      </c>
      <c r="G516" s="2" t="s">
        <v>1530</v>
      </c>
      <c r="H516" s="2" t="s">
        <v>589</v>
      </c>
      <c r="I516" s="3" t="str">
        <f>IFERROR(__xludf.DUMMYFUNCTION("GOOGLETRANSLATE(C516,""fr"",""en"")"),"Hello, my mother died at the end of 2015. We have, with my brothers and sister, started steps with Cardif in January. In April 2016, still no news despite emails and calls. The succession service is not very responsive ... The declaration of notoriety was"&amp;" sent on 19.04.16. In May, I was supported on the phone that we did not send this document necessary for their management. By insisting, we ended up finding the content of our registered mail of 19.04.16. On 01.06.16, I send an email of information reques"&amp;"t and explanations concerning taxation which remains unanswered. On 03.06, finally a letter from them to hope for a release of funds. We take steps with the taxman. Between the end of June and the end of September, we finally receive two regulations, divi"&amp;"ded between us five, from 56814.60e and 31459.95e which do not correspond to the sums indicated on the certificate of succession (59950th and 39945e). Or a difference of 11620th. One of my mother's 2 contracts had been subscribed on 01.02.90 with favorabl"&amp;"e taxation which seems to be applied. On 24.07.16, I send a new complaint letter by registered letter with AR. No answer: of course ...
")</f>
        <v>Hello, my mother died at the end of 2015. We have, with my brothers and sister, started steps with Cardif in January. In April 2016, still no news despite emails and calls. The succession service is not very responsive ... The declaration of notoriety was sent on 19.04.16. In May, I was supported on the phone that we did not send this document necessary for their management. By insisting, we ended up finding the content of our registered mail of 19.04.16. On 01.06.16, I send an email of information request and explanations concerning taxation which remains unanswered. On 03.06, finally a letter from them to hope for a release of funds. We take steps with the taxman. Between the end of June and the end of September, we finally receive two regulations, divided between us five, from 56814.60e and 31459.95e which do not correspond to the sums indicated on the certificate of succession (59950th and 39945e). Or a difference of 11620th. One of my mother's 2 contracts had been subscribed on 01.02.90 with favorable taxation which seems to be applied. On 24.07.16, I send a new complaint letter by registered letter with AR. No answer: of course ...
</v>
      </c>
    </row>
    <row r="517" ht="15.75" customHeight="1">
      <c r="A517" s="2">
        <v>1.0</v>
      </c>
      <c r="B517" s="2" t="s">
        <v>622</v>
      </c>
      <c r="C517" s="2" t="s">
        <v>1531</v>
      </c>
      <c r="D517" s="2" t="s">
        <v>101</v>
      </c>
      <c r="E517" s="2" t="s">
        <v>31</v>
      </c>
      <c r="F517" s="2" t="s">
        <v>15</v>
      </c>
      <c r="G517" s="2" t="s">
        <v>624</v>
      </c>
      <c r="H517" s="2" t="s">
        <v>477</v>
      </c>
      <c r="I517" s="3" t="str">
        <f>IFERROR(__xludf.DUMMYFUNCTION("GOOGLETRANSLATE(C517,""fr"",""en"")"),"A price that increases unacceptable, lies and impossible to terminate every year. To flee ! I went from 90 to 170 euros per month in 9 years. I wanted to terminate and each time there is a problem (not on time, a doc who is lost ...). Today they lie to me"&amp;" without hesitation: I send a letter for change of address and request for termination on December 31 (1 line 1/2 to be clear). I receive an email to confirm my change of address but a letter later reporting to me that my contract did not exist. At the te"&amp;"l I am told that on my mail there is only the change of address ... everything is false, I have proofs, but do not want to hear anything. Liars, documents that get lost, important reimbursements that they must claim over and over, hours on the phone and i"&amp;"ndecent prices!")</f>
        <v>A price that increases unacceptable, lies and impossible to terminate every year. To flee ! I went from 90 to 170 euros per month in 9 years. I wanted to terminate and each time there is a problem (not on time, a doc who is lost ...). Today they lie to me without hesitation: I send a letter for change of address and request for termination on December 31 (1 line 1/2 to be clear). I receive an email to confirm my change of address but a letter later reporting to me that my contract did not exist. At the tel I am told that on my mail there is only the change of address ... everything is false, I have proofs, but do not want to hear anything. Liars, documents that get lost, important reimbursements that they must claim over and over, hours on the phone and indecent prices!</v>
      </c>
    </row>
    <row r="518" ht="15.75" customHeight="1">
      <c r="A518" s="2">
        <v>1.0</v>
      </c>
      <c r="B518" s="2" t="s">
        <v>1532</v>
      </c>
      <c r="C518" s="2" t="s">
        <v>1533</v>
      </c>
      <c r="D518" s="2" t="s">
        <v>117</v>
      </c>
      <c r="E518" s="2" t="s">
        <v>91</v>
      </c>
      <c r="F518" s="2" t="s">
        <v>15</v>
      </c>
      <c r="G518" s="2" t="s">
        <v>1534</v>
      </c>
      <c r="H518" s="2" t="s">
        <v>54</v>
      </c>
      <c r="I518" s="3" t="str">
        <f>IFERROR(__xludf.DUMMYFUNCTION("GOOGLETRANSLATE(C518,""fr"",""en"")"),"More than 2 months ago I realized that I was still paying the insurance of my old apartment (it's been 2 years since I moved). I sent the missing paper and to this day they have nothing do.")</f>
        <v>More than 2 months ago I realized that I was still paying the insurance of my old apartment (it's been 2 years since I moved). I sent the missing paper and to this day they have nothing do.</v>
      </c>
    </row>
    <row r="519" ht="15.75" customHeight="1">
      <c r="A519" s="2">
        <v>1.0</v>
      </c>
      <c r="B519" s="2" t="s">
        <v>1535</v>
      </c>
      <c r="C519" s="2" t="s">
        <v>1536</v>
      </c>
      <c r="D519" s="2" t="s">
        <v>20</v>
      </c>
      <c r="E519" s="2" t="s">
        <v>14</v>
      </c>
      <c r="F519" s="2" t="s">
        <v>15</v>
      </c>
      <c r="G519" s="2" t="s">
        <v>561</v>
      </c>
      <c r="H519" s="2" t="s">
        <v>72</v>
      </c>
      <c r="I519" s="3" t="str">
        <f>IFERROR(__xludf.DUMMYFUNCTION("GOOGLETRANSLATE(C519,""fr"",""en"")"),"Not really
I find it exaggerating to have to pay 300 € more to just monthly my car insurance.
The competition offers much cheaper.
")</f>
        <v>Not really
I find it exaggerating to have to pay 300 € more to just monthly my car insurance.
The competition offers much cheaper.
</v>
      </c>
    </row>
    <row r="520" ht="15.75" customHeight="1">
      <c r="A520" s="2">
        <v>5.0</v>
      </c>
      <c r="B520" s="2" t="s">
        <v>1537</v>
      </c>
      <c r="C520" s="2" t="s">
        <v>1538</v>
      </c>
      <c r="D520" s="2" t="s">
        <v>20</v>
      </c>
      <c r="E520" s="2" t="s">
        <v>14</v>
      </c>
      <c r="F520" s="2" t="s">
        <v>15</v>
      </c>
      <c r="G520" s="2" t="s">
        <v>633</v>
      </c>
      <c r="H520" s="2" t="s">
        <v>535</v>
      </c>
      <c r="I520" s="3" t="str">
        <f>IFERROR(__xludf.DUMMYFUNCTION("GOOGLETRANSLATE(C520,""fr"",""en"")"),"Very nice welcome. Clear and clear explanations. Competitive rates. Possibility to review your contract before signing. One without fault for the moment because I have just subscribed.")</f>
        <v>Very nice welcome. Clear and clear explanations. Competitive rates. Possibility to review your contract before signing. One without fault for the moment because I have just subscribed.</v>
      </c>
    </row>
    <row r="521" ht="15.75" customHeight="1">
      <c r="A521" s="2">
        <v>2.0</v>
      </c>
      <c r="B521" s="2" t="s">
        <v>1539</v>
      </c>
      <c r="C521" s="2" t="s">
        <v>1540</v>
      </c>
      <c r="D521" s="2" t="s">
        <v>13</v>
      </c>
      <c r="E521" s="2" t="s">
        <v>14</v>
      </c>
      <c r="F521" s="2" t="s">
        <v>15</v>
      </c>
      <c r="G521" s="2" t="s">
        <v>17</v>
      </c>
      <c r="H521" s="2" t="s">
        <v>17</v>
      </c>
      <c r="I521" s="3" t="str">
        <f>IFERROR(__xludf.DUMMYFUNCTION("GOOGLETRANSLATE(C521,""fr"",""en"")"),"Too many errors on current files!
Errors in names, roles attributions, RIB, signatures ...
We use a customer account for two because we have joint vehicles and a lot of confusion on the part of your site is made when registering a new vehicle.")</f>
        <v>Too many errors on current files!
Errors in names, roles attributions, RIB, signatures ...
We use a customer account for two because we have joint vehicles and a lot of confusion on the part of your site is made when registering a new vehicle.</v>
      </c>
    </row>
    <row r="522" ht="15.75" customHeight="1">
      <c r="A522" s="2">
        <v>4.0</v>
      </c>
      <c r="B522" s="2" t="s">
        <v>1541</v>
      </c>
      <c r="C522" s="2" t="s">
        <v>1542</v>
      </c>
      <c r="D522" s="2" t="s">
        <v>13</v>
      </c>
      <c r="E522" s="2" t="s">
        <v>14</v>
      </c>
      <c r="F522" s="2" t="s">
        <v>15</v>
      </c>
      <c r="G522" s="2" t="s">
        <v>1139</v>
      </c>
      <c r="H522" s="2" t="s">
        <v>17</v>
      </c>
      <c r="I522" s="3" t="str">
        <f>IFERROR(__xludf.DUMMYFUNCTION("GOOGLETRANSLATE(C522,""fr"",""en"")"),"A friendly advisor and explains the terms of the contract very well.
Quick responses on the phone.
After consulting the prices, they seem to have good value for money.")</f>
        <v>A friendly advisor and explains the terms of the contract very well.
Quick responses on the phone.
After consulting the prices, they seem to have good value for money.</v>
      </c>
    </row>
    <row r="523" ht="15.75" customHeight="1">
      <c r="A523" s="2">
        <v>1.0</v>
      </c>
      <c r="B523" s="2" t="s">
        <v>1543</v>
      </c>
      <c r="C523" s="2" t="s">
        <v>1544</v>
      </c>
      <c r="D523" s="2" t="s">
        <v>112</v>
      </c>
      <c r="E523" s="2" t="s">
        <v>14</v>
      </c>
      <c r="F523" s="2" t="s">
        <v>15</v>
      </c>
      <c r="G523" s="2" t="s">
        <v>1545</v>
      </c>
      <c r="H523" s="2" t="s">
        <v>358</v>
      </c>
      <c r="I523" s="3" t="str">
        <f>IFERROR(__xludf.DUMMYFUNCTION("GOOGLETRANSLATE(C523,""fr"",""en"")"),"Flee as quickly as possible this company which this crazy about your face and threatens you to terminate when they are in wrong and they do not want to admit it, I expect your news with great pleasure")</f>
        <v>Flee as quickly as possible this company which this crazy about your face and threatens you to terminate when they are in wrong and they do not want to admit it, I expect your news with great pleasure</v>
      </c>
    </row>
    <row r="524" ht="15.75" customHeight="1">
      <c r="A524" s="2">
        <v>1.0</v>
      </c>
      <c r="B524" s="2" t="s">
        <v>1546</v>
      </c>
      <c r="C524" s="2" t="s">
        <v>1547</v>
      </c>
      <c r="D524" s="2" t="s">
        <v>1052</v>
      </c>
      <c r="E524" s="2" t="s">
        <v>285</v>
      </c>
      <c r="F524" s="2" t="s">
        <v>15</v>
      </c>
      <c r="G524" s="2" t="s">
        <v>1548</v>
      </c>
      <c r="H524" s="2" t="s">
        <v>358</v>
      </c>
      <c r="I524" s="3" t="str">
        <f>IFERROR(__xludf.DUMMYFUNCTION("GOOGLETRANSLATE(C524,""fr"",""en"")"),"After the deceased of a parent and life insurance, the Sogecap Insurer makes dragged each time new documents and when you send the new the old ones are too old birth certificates valid for 3 months and never the same interlocutor on the incompetent phone "&amp;"in addition And all that to recover 30 euros I imagine if it had been 200,000 to avoid boycotting")</f>
        <v>After the deceased of a parent and life insurance, the Sogecap Insurer makes dragged each time new documents and when you send the new the old ones are too old birth certificates valid for 3 months and never the same interlocutor on the incompetent phone in addition And all that to recover 30 euros I imagine if it had been 200,000 to avoid boycotting</v>
      </c>
    </row>
    <row r="525" ht="15.75" customHeight="1">
      <c r="A525" s="2">
        <v>1.0</v>
      </c>
      <c r="B525" s="2" t="s">
        <v>1549</v>
      </c>
      <c r="C525" s="2" t="s">
        <v>1550</v>
      </c>
      <c r="D525" s="2" t="s">
        <v>75</v>
      </c>
      <c r="E525" s="2" t="s">
        <v>31</v>
      </c>
      <c r="F525" s="2" t="s">
        <v>15</v>
      </c>
      <c r="G525" s="2" t="s">
        <v>1398</v>
      </c>
      <c r="H525" s="2" t="s">
        <v>410</v>
      </c>
      <c r="I525" s="3" t="str">
        <f>IFERROR(__xludf.DUMMYFUNCTION("GOOGLETRANSLATE(C525,""fr"",""en"")"),"Customer service becomes deplorable. Bad listening, incomplete information, advisers half the time that is not very suitable and unprofessional")</f>
        <v>Customer service becomes deplorable. Bad listening, incomplete information, advisers half the time that is not very suitable and unprofessional</v>
      </c>
    </row>
    <row r="526" ht="15.75" customHeight="1">
      <c r="A526" s="2">
        <v>1.0</v>
      </c>
      <c r="B526" s="2" t="s">
        <v>1551</v>
      </c>
      <c r="C526" s="2" t="s">
        <v>1552</v>
      </c>
      <c r="D526" s="2" t="s">
        <v>20</v>
      </c>
      <c r="E526" s="2" t="s">
        <v>14</v>
      </c>
      <c r="F526" s="2" t="s">
        <v>15</v>
      </c>
      <c r="G526" s="2" t="s">
        <v>387</v>
      </c>
      <c r="H526" s="2" t="s">
        <v>17</v>
      </c>
      <c r="I526" s="3" t="str">
        <f>IFERROR(__xludf.DUMMYFUNCTION("GOOGLETRANSLATE(C526,""fr"",""en"")"),"Hello, I am waiting to reimburse a quantity of 116 euro and 32 cent for the contract of 3 rue Jacques Cartier which I do not validated, that I ask for the reimbursement and up to date I had not .")</f>
        <v>Hello, I am waiting to reimburse a quantity of 116 euro and 32 cent for the contract of 3 rue Jacques Cartier which I do not validated, that I ask for the reimbursement and up to date I had not .</v>
      </c>
    </row>
    <row r="527" ht="15.75" customHeight="1">
      <c r="A527" s="2">
        <v>1.0</v>
      </c>
      <c r="B527" s="2" t="s">
        <v>1553</v>
      </c>
      <c r="C527" s="2" t="s">
        <v>1554</v>
      </c>
      <c r="D527" s="2" t="s">
        <v>307</v>
      </c>
      <c r="E527" s="2" t="s">
        <v>31</v>
      </c>
      <c r="F527" s="2" t="s">
        <v>15</v>
      </c>
      <c r="G527" s="2" t="s">
        <v>1555</v>
      </c>
      <c r="H527" s="2" t="s">
        <v>149</v>
      </c>
      <c r="I527" s="3" t="str">
        <f>IFERROR(__xludf.DUMMYFUNCTION("GOOGLETRANSLATE(C527,""fr"",""en"")"),"The mutual contract company tilted with mutual harmony in Mercer, what a terrible error! There is no more humans in the management of files, the care is of very poor quality and above all bad financially.
1- Telephone communication is almost impossible, "&amp;"and people in the telephone platform have no autonomy or competence to advance questions that require a dialogue.
2- The supports are bad compared to our old mutual mutual mutual.
3- To obtain the slightest refund, you must scan the invoices and enter t"&amp;"he data instead of Mercer employees.
4- Mercer does not send a mutual card, it's up to us to print it! While it is used everywhere, in pharmacies, analysis laboratories, physiotherapists ...
5- No homeopathy management, while chiropractors are considere"&amp;"d to be alternative medicine ...
6- The deadlines for processing files are lengthened and do not take into account emergency situations.
")</f>
        <v>The mutual contract company tilted with mutual harmony in Mercer, what a terrible error! There is no more humans in the management of files, the care is of very poor quality and above all bad financially.
1- Telephone communication is almost impossible, and people in the telephone platform have no autonomy or competence to advance questions that require a dialogue.
2- The supports are bad compared to our old mutual mutual mutual.
3- To obtain the slightest refund, you must scan the invoices and enter the data instead of Mercer employees.
4- Mercer does not send a mutual card, it's up to us to print it! While it is used everywhere, in pharmacies, analysis laboratories, physiotherapists ...
5- No homeopathy management, while chiropractors are considered to be alternative medicine ...
6- The deadlines for processing files are lengthened and do not take into account emergency situations.
</v>
      </c>
    </row>
    <row r="528" ht="15.75" customHeight="1">
      <c r="A528" s="2">
        <v>5.0</v>
      </c>
      <c r="B528" s="2" t="s">
        <v>1556</v>
      </c>
      <c r="C528" s="2" t="s">
        <v>1557</v>
      </c>
      <c r="D528" s="2" t="s">
        <v>20</v>
      </c>
      <c r="E528" s="2" t="s">
        <v>14</v>
      </c>
      <c r="F528" s="2" t="s">
        <v>15</v>
      </c>
      <c r="G528" s="2" t="s">
        <v>1558</v>
      </c>
      <c r="H528" s="2" t="s">
        <v>149</v>
      </c>
      <c r="I528" s="3" t="str">
        <f>IFERROR(__xludf.DUMMYFUNCTION("GOOGLETRANSLATE(C528,""fr"",""en"")"),"Very good price and easy for car insurance I highly recommend because all do this with ease and without constraint I will surely transfer my home insurance and 2Res")</f>
        <v>Very good price and easy for car insurance I highly recommend because all do this with ease and without constraint I will surely transfer my home insurance and 2Res</v>
      </c>
    </row>
    <row r="529" ht="15.75" customHeight="1">
      <c r="A529" s="2">
        <v>3.0</v>
      </c>
      <c r="B529" s="2" t="s">
        <v>1559</v>
      </c>
      <c r="C529" s="2" t="s">
        <v>1560</v>
      </c>
      <c r="D529" s="2" t="s">
        <v>13</v>
      </c>
      <c r="E529" s="2" t="s">
        <v>14</v>
      </c>
      <c r="F529" s="2" t="s">
        <v>15</v>
      </c>
      <c r="G529" s="2" t="s">
        <v>519</v>
      </c>
      <c r="H529" s="2" t="s">
        <v>149</v>
      </c>
      <c r="I529" s="3" t="str">
        <f>IFERROR(__xludf.DUMMYFUNCTION("GOOGLETRANSLATE(C529,""fr"",""en"")"),"Very satisfied with the tempting template. The advisor was listening.
On the other hand, being ironed as a young license, the prices have doubled contribution level.
Too bad the bonus accumulated in recent years cannot count in this case.")</f>
        <v>Very satisfied with the tempting template. The advisor was listening.
On the other hand, being ironed as a young license, the prices have doubled contribution level.
Too bad the bonus accumulated in recent years cannot count in this case.</v>
      </c>
    </row>
    <row r="530" ht="15.75" customHeight="1">
      <c r="A530" s="2">
        <v>1.0</v>
      </c>
      <c r="B530" s="2" t="s">
        <v>1561</v>
      </c>
      <c r="C530" s="2" t="s">
        <v>1562</v>
      </c>
      <c r="D530" s="2" t="s">
        <v>112</v>
      </c>
      <c r="E530" s="2" t="s">
        <v>14</v>
      </c>
      <c r="F530" s="2" t="s">
        <v>15</v>
      </c>
      <c r="G530" s="2" t="s">
        <v>98</v>
      </c>
      <c r="H530" s="2" t="s">
        <v>17</v>
      </c>
      <c r="I530" s="3" t="str">
        <f>IFERROR(__xludf.DUMMYFUNCTION("GOOGLETRANSLATE(C530,""fr"",""en"")"),"Worse insurance that I have never had, a standard never available, if we are lucky we are with people who do not understand anything of what we say, even at all risk I have no right to Some options !!
To flee at all costs !!")</f>
        <v>Worse insurance that I have never had, a standard never available, if we are lucky we are with people who do not understand anything of what we say, even at all risk I have no right to Some options !!
To flee at all costs !!</v>
      </c>
    </row>
    <row r="531" ht="15.75" customHeight="1">
      <c r="A531" s="2">
        <v>2.0</v>
      </c>
      <c r="B531" s="2" t="s">
        <v>1563</v>
      </c>
      <c r="C531" s="2" t="s">
        <v>1564</v>
      </c>
      <c r="D531" s="2" t="s">
        <v>373</v>
      </c>
      <c r="E531" s="2" t="s">
        <v>31</v>
      </c>
      <c r="F531" s="2" t="s">
        <v>15</v>
      </c>
      <c r="G531" s="2" t="s">
        <v>1106</v>
      </c>
      <c r="H531" s="2" t="s">
        <v>72</v>
      </c>
      <c r="I531" s="3" t="str">
        <f>IFERROR(__xludf.DUMMYFUNCTION("GOOGLETRANSLATE(C531,""fr"",""en"")"),"Hello, like all here I am awaiting reimbursement on my optical and dental costs since mid March. No response to my registered letter. Could we consider collective action? Contact RTL Julien Courbet's program? In short, let's act together to have more weig"&amp;"ht and feel less alone in the face of this inertia.")</f>
        <v>Hello, like all here I am awaiting reimbursement on my optical and dental costs since mid March. No response to my registered letter. Could we consider collective action? Contact RTL Julien Courbet's program? In short, let's act together to have more weight and feel less alone in the face of this inertia.</v>
      </c>
    </row>
    <row r="532" ht="15.75" customHeight="1">
      <c r="A532" s="2">
        <v>4.0</v>
      </c>
      <c r="B532" s="2" t="s">
        <v>1565</v>
      </c>
      <c r="C532" s="2" t="s">
        <v>1566</v>
      </c>
      <c r="D532" s="2" t="s">
        <v>20</v>
      </c>
      <c r="E532" s="2" t="s">
        <v>14</v>
      </c>
      <c r="F532" s="2" t="s">
        <v>15</v>
      </c>
      <c r="G532" s="2" t="s">
        <v>710</v>
      </c>
      <c r="H532" s="2" t="s">
        <v>58</v>
      </c>
      <c r="I532" s="3" t="str">
        <f>IFERROR(__xludf.DUMMYFUNCTION("GOOGLETRANSLATE(C532,""fr"",""en"")"),"Fast and efficient, good prices. I recommend this insurance to my friends and family.
Explicit and practical site.
Good listening and good advice; Thank you
")</f>
        <v>Fast and efficient, good prices. I recommend this insurance to my friends and family.
Explicit and practical site.
Good listening and good advice; Thank you
</v>
      </c>
    </row>
    <row r="533" ht="15.75" customHeight="1">
      <c r="A533" s="2">
        <v>2.0</v>
      </c>
      <c r="B533" s="2" t="s">
        <v>1567</v>
      </c>
      <c r="C533" s="2" t="s">
        <v>1568</v>
      </c>
      <c r="D533" s="2" t="s">
        <v>43</v>
      </c>
      <c r="E533" s="2" t="s">
        <v>14</v>
      </c>
      <c r="F533" s="2" t="s">
        <v>15</v>
      </c>
      <c r="G533" s="2" t="s">
        <v>751</v>
      </c>
      <c r="H533" s="2" t="s">
        <v>125</v>
      </c>
      <c r="I533" s="3" t="str">
        <f>IFERROR(__xludf.DUMMYFUNCTION("GOOGLETRANSLATE(C533,""fr"",""en"")"),"4 vehicles insured and not Renault 5 a house ensured significant placements in life insurance,
A tow today without even asking me my opinion The assistance gives green light for expertise and repairs to a garage that I do not know !!!!!!!! And worse not "&amp;"to accept Macif.
I had to take care of the re -transport of my vehicle, the so -called assisting assistance only compensates for a distance of 15 km…. I hallucinate !!!!!!!!
Ba result no drawing we go by running to make sure elsewhere.
Conclusion: loya"&amp;"lty is not rewarded
To flee ... without further delay
")</f>
        <v>4 vehicles insured and not Renault 5 a house ensured significant placements in life insurance,
A tow today without even asking me my opinion The assistance gives green light for expertise and repairs to a garage that I do not know !!!!!!!! And worse not to accept Macif.
I had to take care of the re -transport of my vehicle, the so -called assisting assistance only compensates for a distance of 15 km…. I hallucinate !!!!!!!!
Ba result no drawing we go by running to make sure elsewhere.
Conclusion: loyalty is not rewarded
To flee ... without further delay
</v>
      </c>
    </row>
    <row r="534" ht="15.75" customHeight="1">
      <c r="A534" s="2">
        <v>1.0</v>
      </c>
      <c r="B534" s="2" t="s">
        <v>1569</v>
      </c>
      <c r="C534" s="2" t="s">
        <v>1570</v>
      </c>
      <c r="D534" s="2" t="s">
        <v>61</v>
      </c>
      <c r="E534" s="2" t="s">
        <v>91</v>
      </c>
      <c r="F534" s="2" t="s">
        <v>15</v>
      </c>
      <c r="G534" s="2" t="s">
        <v>1571</v>
      </c>
      <c r="H534" s="2" t="s">
        <v>535</v>
      </c>
      <c r="I534" s="3" t="str">
        <f>IFERROR(__xludf.DUMMYFUNCTION("GOOGLETRANSLATE(C534,""fr"",""en"")"),"In 20 years at Maaf, no claim.
Our first disaster was an unnamed hassle. The MAAF shone with its incompetence and its complete uselessness.
Perfect ... as long as you need nothing.")</f>
        <v>In 20 years at Maaf, no claim.
Our first disaster was an unnamed hassle. The MAAF shone with its incompetence and its complete uselessness.
Perfect ... as long as you need nothing.</v>
      </c>
    </row>
    <row r="535" ht="15.75" customHeight="1">
      <c r="A535" s="2">
        <v>5.0</v>
      </c>
      <c r="B535" s="2" t="s">
        <v>1572</v>
      </c>
      <c r="C535" s="2" t="s">
        <v>1573</v>
      </c>
      <c r="D535" s="2" t="s">
        <v>20</v>
      </c>
      <c r="E535" s="2" t="s">
        <v>14</v>
      </c>
      <c r="F535" s="2" t="s">
        <v>15</v>
      </c>
      <c r="G535" s="2" t="s">
        <v>915</v>
      </c>
      <c r="H535" s="2" t="s">
        <v>27</v>
      </c>
      <c r="I535" s="3" t="str">
        <f>IFERROR(__xludf.DUMMYFUNCTION("GOOGLETRANSLATE(C535,""fr"",""en"")"),"Ok very good value for money thank you internet I will be able to drive with my car, very fast and much cheaper than some insurer …… ..")</f>
        <v>Ok very good value for money thank you internet I will be able to drive with my car, very fast and much cheaper than some insurer …… ..</v>
      </c>
    </row>
    <row r="536" ht="15.75" customHeight="1">
      <c r="A536" s="2">
        <v>2.0</v>
      </c>
      <c r="B536" s="2" t="s">
        <v>1574</v>
      </c>
      <c r="C536" s="2" t="s">
        <v>1575</v>
      </c>
      <c r="D536" s="2" t="s">
        <v>20</v>
      </c>
      <c r="E536" s="2" t="s">
        <v>14</v>
      </c>
      <c r="F536" s="2" t="s">
        <v>15</v>
      </c>
      <c r="G536" s="2" t="s">
        <v>40</v>
      </c>
      <c r="H536" s="2" t="s">
        <v>40</v>
      </c>
      <c r="I536" s="3" t="str">
        <f>IFERROR(__xludf.DUMMYFUNCTION("GOOGLETRANSLATE(C536,""fr"",""en"")"),"an unjustified increase
Refusal to support the replacement of my windshield
Refusal to support the replacement of another window
While I am assured in third parties")</f>
        <v>an unjustified increase
Refusal to support the replacement of my windshield
Refusal to support the replacement of another window
While I am assured in third parties</v>
      </c>
    </row>
    <row r="537" ht="15.75" customHeight="1">
      <c r="A537" s="2">
        <v>1.0</v>
      </c>
      <c r="B537" s="2" t="s">
        <v>1576</v>
      </c>
      <c r="C537" s="2" t="s">
        <v>1577</v>
      </c>
      <c r="D537" s="2" t="s">
        <v>159</v>
      </c>
      <c r="E537" s="2" t="s">
        <v>285</v>
      </c>
      <c r="F537" s="2" t="s">
        <v>15</v>
      </c>
      <c r="G537" s="2" t="s">
        <v>1578</v>
      </c>
      <c r="H537" s="2" t="s">
        <v>911</v>
      </c>
      <c r="I537" s="3" t="str">
        <f>IFERROR(__xludf.DUMMYFUNCTION("GOOGLETRANSLATE(C537,""fr"",""en"")"),"to flee; The + bad market with Groupama; starry yields; A company that makes you subscribe and then abandons you ...")</f>
        <v>to flee; The + bad market with Groupama; starry yields; A company that makes you subscribe and then abandons you ...</v>
      </c>
    </row>
    <row r="538" ht="15.75" customHeight="1">
      <c r="A538" s="2">
        <v>2.0</v>
      </c>
      <c r="B538" s="2" t="s">
        <v>1579</v>
      </c>
      <c r="C538" s="2" t="s">
        <v>1580</v>
      </c>
      <c r="D538" s="2" t="s">
        <v>80</v>
      </c>
      <c r="E538" s="2" t="s">
        <v>25</v>
      </c>
      <c r="F538" s="2" t="s">
        <v>15</v>
      </c>
      <c r="G538" s="2" t="s">
        <v>1581</v>
      </c>
      <c r="H538" s="2" t="s">
        <v>17</v>
      </c>
      <c r="I538" s="3" t="str">
        <f>IFERROR(__xludf.DUMMYFUNCTION("GOOGLETRANSLATE(C538,""fr"",""en"")"),"I don't really know what to say at this stage of the contract, renew this question to the finalization of the insurance contract
Cordially
")</f>
        <v>I don't really know what to say at this stage of the contract, renew this question to the finalization of the insurance contract
Cordially
</v>
      </c>
    </row>
    <row r="539" ht="15.75" customHeight="1">
      <c r="A539" s="2">
        <v>5.0</v>
      </c>
      <c r="B539" s="2" t="s">
        <v>1582</v>
      </c>
      <c r="C539" s="2" t="s">
        <v>1583</v>
      </c>
      <c r="D539" s="2" t="s">
        <v>128</v>
      </c>
      <c r="E539" s="2" t="s">
        <v>97</v>
      </c>
      <c r="F539" s="2" t="s">
        <v>15</v>
      </c>
      <c r="G539" s="2" t="s">
        <v>1584</v>
      </c>
      <c r="H539" s="2" t="s">
        <v>27</v>
      </c>
      <c r="I539" s="3" t="str">
        <f>IFERROR(__xludf.DUMMYFUNCTION("GOOGLETRANSLATE(C539,""fr"",""en"")"),"Telephone contact with Séraphin, very effective and very pleasant, a good knowledge of the file, laws and very good explanations.
I recommend")</f>
        <v>Telephone contact with Séraphin, very effective and very pleasant, a good knowledge of the file, laws and very good explanations.
I recommend</v>
      </c>
    </row>
    <row r="540" ht="15.75" customHeight="1">
      <c r="A540" s="2">
        <v>1.0</v>
      </c>
      <c r="B540" s="2" t="s">
        <v>1585</v>
      </c>
      <c r="C540" s="2" t="s">
        <v>1586</v>
      </c>
      <c r="D540" s="2" t="s">
        <v>61</v>
      </c>
      <c r="E540" s="2" t="s">
        <v>14</v>
      </c>
      <c r="F540" s="2" t="s">
        <v>15</v>
      </c>
      <c r="G540" s="2" t="s">
        <v>1587</v>
      </c>
      <c r="H540" s="2" t="s">
        <v>309</v>
      </c>
      <c r="I540" s="3" t="str">
        <f>IFERROR(__xludf.DUMMYFUNCTION("GOOGLETRANSLATE(C540,""fr"",""en"")"),"At the MAAF for 25 years. Following a non -responsible disaster on a new vehicle 15 months ago, a noise remains since the repairs.
15 months that I fight to find my vehicle as before hanging.
I am ballad from person to person and nothing is advancing.
"&amp;"The maaf is like friends is when we are in the m .... that we see if they are competent and by your side.
I decided to change my vehicle and leave the MAAF.
Avoid at all costs for after -sales service.")</f>
        <v>At the MAAF for 25 years. Following a non -responsible disaster on a new vehicle 15 months ago, a noise remains since the repairs.
15 months that I fight to find my vehicle as before hanging.
I am ballad from person to person and nothing is advancing.
The maaf is like friends is when we are in the m .... that we see if they are competent and by your side.
I decided to change my vehicle and leave the MAAF.
Avoid at all costs for after -sales service.</v>
      </c>
    </row>
    <row r="541" ht="15.75" customHeight="1">
      <c r="A541" s="2">
        <v>4.0</v>
      </c>
      <c r="B541" s="2" t="s">
        <v>1588</v>
      </c>
      <c r="C541" s="2" t="s">
        <v>1589</v>
      </c>
      <c r="D541" s="2" t="s">
        <v>13</v>
      </c>
      <c r="E541" s="2" t="s">
        <v>14</v>
      </c>
      <c r="F541" s="2" t="s">
        <v>15</v>
      </c>
      <c r="G541" s="2" t="s">
        <v>724</v>
      </c>
      <c r="H541" s="2" t="s">
        <v>58</v>
      </c>
      <c r="I541" s="3" t="str">
        <f>IFERROR(__xludf.DUMMYFUNCTION("GOOGLETRANSLATE(C541,""fr"",""en"")"),"Glad the attention and speed of the reception by phone. The price also seems to me to be correct and I must recommend insuring it for those around me.")</f>
        <v>Glad the attention and speed of the reception by phone. The price also seems to me to be correct and I must recommend insuring it for those around me.</v>
      </c>
    </row>
    <row r="542" ht="15.75" customHeight="1">
      <c r="A542" s="2">
        <v>5.0</v>
      </c>
      <c r="B542" s="2" t="s">
        <v>1590</v>
      </c>
      <c r="C542" s="2" t="s">
        <v>1591</v>
      </c>
      <c r="D542" s="2" t="s">
        <v>80</v>
      </c>
      <c r="E542" s="2" t="s">
        <v>25</v>
      </c>
      <c r="F542" s="2" t="s">
        <v>15</v>
      </c>
      <c r="G542" s="2" t="s">
        <v>1592</v>
      </c>
      <c r="H542" s="2" t="s">
        <v>172</v>
      </c>
      <c r="I542" s="3" t="str">
        <f>IFERROR(__xludf.DUMMYFUNCTION("GOOGLETRANSLATE(C542,""fr"",""en"")"),"The person I had on the phone made me very welcome. The prices are really very good and I do not doubt the after -sales service. Thank you to your team")</f>
        <v>The person I had on the phone made me very welcome. The prices are really very good and I do not doubt the after -sales service. Thank you to your team</v>
      </c>
    </row>
    <row r="543" ht="15.75" customHeight="1">
      <c r="A543" s="2">
        <v>3.0</v>
      </c>
      <c r="B543" s="2" t="s">
        <v>1593</v>
      </c>
      <c r="C543" s="2" t="s">
        <v>1594</v>
      </c>
      <c r="D543" s="2" t="s">
        <v>190</v>
      </c>
      <c r="E543" s="2" t="s">
        <v>31</v>
      </c>
      <c r="F543" s="2" t="s">
        <v>15</v>
      </c>
      <c r="G543" s="2" t="s">
        <v>558</v>
      </c>
      <c r="H543" s="2" t="s">
        <v>133</v>
      </c>
      <c r="I543" s="3" t="str">
        <f>IFERROR(__xludf.DUMMYFUNCTION("GOOGLETRANSLATE(C543,""fr"",""en"")"),"Good contact with Daro who was clalr and concise. We obtained the information we wanted to renew our pairs of glasses. Thank you")</f>
        <v>Good contact with Daro who was clalr and concise. We obtained the information we wanted to renew our pairs of glasses. Thank you</v>
      </c>
    </row>
    <row r="544" ht="15.75" customHeight="1">
      <c r="A544" s="2">
        <v>5.0</v>
      </c>
      <c r="B544" s="2" t="s">
        <v>1595</v>
      </c>
      <c r="C544" s="2" t="s">
        <v>1596</v>
      </c>
      <c r="D544" s="2" t="s">
        <v>13</v>
      </c>
      <c r="E544" s="2" t="s">
        <v>14</v>
      </c>
      <c r="F544" s="2" t="s">
        <v>15</v>
      </c>
      <c r="G544" s="2" t="s">
        <v>1597</v>
      </c>
      <c r="H544" s="2" t="s">
        <v>72</v>
      </c>
      <c r="I544" s="3" t="str">
        <f>IFERROR(__xludf.DUMMYFUNCTION("GOOGLETRANSLATE(C544,""fr"",""en"")"),"I am satisfied with the price and the guarantees prayed in account in my insurance contracts subscribed to the near of your insurance company. THANK YOU")</f>
        <v>I am satisfied with the price and the guarantees prayed in account in my insurance contracts subscribed to the near of your insurance company. THANK YOU</v>
      </c>
    </row>
    <row r="545" ht="15.75" customHeight="1">
      <c r="A545" s="2">
        <v>2.0</v>
      </c>
      <c r="B545" s="2" t="s">
        <v>1598</v>
      </c>
      <c r="C545" s="2" t="s">
        <v>1599</v>
      </c>
      <c r="D545" s="2" t="s">
        <v>66</v>
      </c>
      <c r="E545" s="2" t="s">
        <v>14</v>
      </c>
      <c r="F545" s="2" t="s">
        <v>15</v>
      </c>
      <c r="G545" s="2" t="s">
        <v>1600</v>
      </c>
      <c r="H545" s="2" t="s">
        <v>423</v>
      </c>
      <c r="I545" s="3" t="str">
        <f>IFERROR(__xludf.DUMMYFUNCTION("GOOGLETRANSLATE(C545,""fr"",""en"")"),"Following an accident so -called shared wrong, my vehicle parked with an open port, another vehicle reverse and tears off my door, wreckage and royal reimbursement of € 400 for a mega in good condition. Insured to pay yes, to be compensated correctly no !"&amp;"!!")</f>
        <v>Following an accident so -called shared wrong, my vehicle parked with an open port, another vehicle reverse and tears off my door, wreckage and royal reimbursement of € 400 for a mega in good condition. Insured to pay yes, to be compensated correctly no !!!</v>
      </c>
    </row>
    <row r="546" ht="15.75" customHeight="1">
      <c r="A546" s="2">
        <v>1.0</v>
      </c>
      <c r="B546" s="2" t="s">
        <v>1601</v>
      </c>
      <c r="C546" s="2" t="s">
        <v>1602</v>
      </c>
      <c r="D546" s="2" t="s">
        <v>698</v>
      </c>
      <c r="E546" s="2" t="s">
        <v>107</v>
      </c>
      <c r="F546" s="2" t="s">
        <v>15</v>
      </c>
      <c r="G546" s="2" t="s">
        <v>1603</v>
      </c>
      <c r="H546" s="2" t="s">
        <v>125</v>
      </c>
      <c r="I546" s="3" t="str">
        <f>IFERROR(__xludf.DUMMYFUNCTION("GOOGLETRANSLATE(C546,""fr"",""en"")"),"From the start, many problems with this double deduction insurance with a five -month wait to be reimbursed. Do not take into account termination requests to renew one more year to € 60 per month. And even after termination continues to take you. I have n"&amp;"ever had so much worries and saw such a big lack of professionalism. Very bad experience with this insurer with a huge problem each year, to flee! Hoping that you will collect the fruits of your damages.
An old health provident client.
")</f>
        <v>From the start, many problems with this double deduction insurance with a five -month wait to be reimbursed. Do not take into account termination requests to renew one more year to € 60 per month. And even after termination continues to take you. I have never had so much worries and saw such a big lack of professionalism. Very bad experience with this insurer with a huge problem each year, to flee! Hoping that you will collect the fruits of your damages.
An old health provident client.
</v>
      </c>
    </row>
    <row r="547" ht="15.75" customHeight="1">
      <c r="A547" s="2">
        <v>4.0</v>
      </c>
      <c r="B547" s="2" t="s">
        <v>1604</v>
      </c>
      <c r="C547" s="2" t="s">
        <v>1605</v>
      </c>
      <c r="D547" s="2" t="s">
        <v>101</v>
      </c>
      <c r="E547" s="2" t="s">
        <v>31</v>
      </c>
      <c r="F547" s="2" t="s">
        <v>15</v>
      </c>
      <c r="G547" s="2" t="s">
        <v>1606</v>
      </c>
      <c r="H547" s="2" t="s">
        <v>309</v>
      </c>
      <c r="I547" s="3" t="str">
        <f>IFERROR(__xludf.DUMMYFUNCTION("GOOGLETRANSLATE(C547,""fr"",""en"")"),"I have seen the comments and since then I have been with them all those pass the refund in time response with my quick advisor I am happy.
I am passing via a broker the ADP cabinet
   ")</f>
        <v>I have seen the comments and since then I have been with them all those pass the refund in time response with my quick advisor I am happy.
I am passing via a broker the ADP cabinet
   </v>
      </c>
    </row>
    <row r="548" ht="15.75" customHeight="1">
      <c r="A548" s="2">
        <v>1.0</v>
      </c>
      <c r="B548" s="2" t="s">
        <v>1607</v>
      </c>
      <c r="C548" s="2" t="s">
        <v>1608</v>
      </c>
      <c r="D548" s="2" t="s">
        <v>117</v>
      </c>
      <c r="E548" s="2" t="s">
        <v>14</v>
      </c>
      <c r="F548" s="2" t="s">
        <v>15</v>
      </c>
      <c r="G548" s="2" t="s">
        <v>1609</v>
      </c>
      <c r="H548" s="2" t="s">
        <v>195</v>
      </c>
      <c r="I548" s="3" t="str">
        <f>IFERROR(__xludf.DUMMYFUNCTION("GOOGLETRANSLATE(C548,""fr"",""en"")"),"I filled the amicable sheet alone following a disaster whose cause I supposed (hanging by a machine bucket given the shape of the scratch), it is a company vehicle and I am refused to take care Because I am told it's not a bucket. I clearly reported in sh"&amp;"eet 2 that I had no evidence to support my statements, I am assured of all risks with bonus 50% frozen for life and I am treated as a liar when I have no interest, whatever The claim I have the same franchise and no impact. I turn to the trial.")</f>
        <v>I filled the amicable sheet alone following a disaster whose cause I supposed (hanging by a machine bucket given the shape of the scratch), it is a company vehicle and I am refused to take care Because I am told it's not a bucket. I clearly reported in sheet 2 that I had no evidence to support my statements, I am assured of all risks with bonus 50% frozen for life and I am treated as a liar when I have no interest, whatever The claim I have the same franchise and no impact. I turn to the trial.</v>
      </c>
    </row>
    <row r="549" ht="15.75" customHeight="1">
      <c r="A549" s="2">
        <v>1.0</v>
      </c>
      <c r="B549" s="2" t="s">
        <v>1610</v>
      </c>
      <c r="C549" s="2" t="s">
        <v>1611</v>
      </c>
      <c r="D549" s="2" t="s">
        <v>307</v>
      </c>
      <c r="E549" s="2" t="s">
        <v>31</v>
      </c>
      <c r="F549" s="2" t="s">
        <v>15</v>
      </c>
      <c r="G549" s="2" t="s">
        <v>16</v>
      </c>
      <c r="H549" s="2" t="s">
        <v>17</v>
      </c>
      <c r="I549" s="3" t="str">
        <f>IFERROR(__xludf.DUMMYFUNCTION("GOOGLETRANSLATE(C549,""fr"",""en"")"),"The quality of the Mercer services has deteriorated, it is catastrophic. Interminable response time, single member call number without any other contact, the seat replies that he can do nothing, that the situation is known but that there is no desire for "&amp;"the management to straighten it. The interlocutor changes you on a satisfaction questionnaire without responding to your request to the slightest difficulty (2 times today). Unable to obtain a clear care quote related to your individual contract (professi"&amp;"onal group contract) for significant dental care. Good advice, run away from this mutual!")</f>
        <v>The quality of the Mercer services has deteriorated, it is catastrophic. Interminable response time, single member call number without any other contact, the seat replies that he can do nothing, that the situation is known but that there is no desire for the management to straighten it. The interlocutor changes you on a satisfaction questionnaire without responding to your request to the slightest difficulty (2 times today). Unable to obtain a clear care quote related to your individual contract (professional group contract) for significant dental care. Good advice, run away from this mutual!</v>
      </c>
    </row>
    <row r="550" ht="15.75" customHeight="1">
      <c r="A550" s="2">
        <v>3.0</v>
      </c>
      <c r="B550" s="2" t="s">
        <v>1612</v>
      </c>
      <c r="C550" s="2" t="s">
        <v>1613</v>
      </c>
      <c r="D550" s="2" t="s">
        <v>233</v>
      </c>
      <c r="E550" s="2" t="s">
        <v>14</v>
      </c>
      <c r="F550" s="2" t="s">
        <v>15</v>
      </c>
      <c r="G550" s="2" t="s">
        <v>1199</v>
      </c>
      <c r="H550" s="2" t="s">
        <v>133</v>
      </c>
      <c r="I550" s="3" t="str">
        <f>IFERROR(__xludf.DUMMYFUNCTION("GOOGLETRANSLATE(C550,""fr"",""en"")"),"I am satisfied with the service rendered by the GMF and I recommend this insurance to those around me
I am satisfied with the service rendered by the GMF and I recommend this insurance to those around me")</f>
        <v>I am satisfied with the service rendered by the GMF and I recommend this insurance to those around me
I am satisfied with the service rendered by the GMF and I recommend this insurance to those around me</v>
      </c>
    </row>
    <row r="551" ht="15.75" customHeight="1">
      <c r="A551" s="2">
        <v>3.0</v>
      </c>
      <c r="B551" s="2" t="s">
        <v>1614</v>
      </c>
      <c r="C551" s="2" t="s">
        <v>1615</v>
      </c>
      <c r="D551" s="2" t="s">
        <v>20</v>
      </c>
      <c r="E551" s="2" t="s">
        <v>14</v>
      </c>
      <c r="F551" s="2" t="s">
        <v>15</v>
      </c>
      <c r="G551" s="2" t="s">
        <v>435</v>
      </c>
      <c r="H551" s="2" t="s">
        <v>133</v>
      </c>
      <c r="I551" s="3" t="str">
        <f>IFERROR(__xludf.DUMMYFUNCTION("GOOGLETRANSLATE(C551,""fr"",""en"")"),"Very good very good price very good advice
Satisfied I recommend direct insurance
Quote quickly
Ensuring immediately it is very well bravo
")</f>
        <v>Very good very good price very good advice
Satisfied I recommend direct insurance
Quote quickly
Ensuring immediately it is very well bravo
</v>
      </c>
    </row>
    <row r="552" ht="15.75" customHeight="1">
      <c r="A552" s="2">
        <v>3.0</v>
      </c>
      <c r="B552" s="2" t="s">
        <v>1616</v>
      </c>
      <c r="C552" s="2" t="s">
        <v>1617</v>
      </c>
      <c r="D552" s="2" t="s">
        <v>20</v>
      </c>
      <c r="E552" s="2" t="s">
        <v>14</v>
      </c>
      <c r="F552" s="2" t="s">
        <v>15</v>
      </c>
      <c r="G552" s="2" t="s">
        <v>268</v>
      </c>
      <c r="H552" s="2" t="s">
        <v>27</v>
      </c>
      <c r="I552" s="3" t="str">
        <f>IFERROR(__xludf.DUMMYFUNCTION("GOOGLETRANSLATE(C552,""fr"",""en"")"),"I am satisfied with the service offered, the prices suit me, I think it's not bad for a young driver, I recommend it, it's simple and practical")</f>
        <v>I am satisfied with the service offered, the prices suit me, I think it's not bad for a young driver, I recommend it, it's simple and practical</v>
      </c>
    </row>
    <row r="553" ht="15.75" customHeight="1">
      <c r="A553" s="2">
        <v>4.0</v>
      </c>
      <c r="B553" s="2" t="s">
        <v>1618</v>
      </c>
      <c r="C553" s="2" t="s">
        <v>1619</v>
      </c>
      <c r="D553" s="2" t="s">
        <v>13</v>
      </c>
      <c r="E553" s="2" t="s">
        <v>14</v>
      </c>
      <c r="F553" s="2" t="s">
        <v>15</v>
      </c>
      <c r="G553" s="2" t="s">
        <v>1584</v>
      </c>
      <c r="H553" s="2" t="s">
        <v>27</v>
      </c>
      <c r="I553" s="3" t="str">
        <f>IFERROR(__xludf.DUMMYFUNCTION("GOOGLETRANSLATE(C553,""fr"",""en"")"),"I am satisfied with this insurance. Simple and quick subscription.
Very good telephone contact with the operator who answered all my questions.")</f>
        <v>I am satisfied with this insurance. Simple and quick subscription.
Very good telephone contact with the operator who answered all my questions.</v>
      </c>
    </row>
    <row r="554" ht="15.75" customHeight="1">
      <c r="A554" s="2">
        <v>4.0</v>
      </c>
      <c r="B554" s="2" t="s">
        <v>1620</v>
      </c>
      <c r="C554" s="2" t="s">
        <v>1621</v>
      </c>
      <c r="D554" s="2" t="s">
        <v>20</v>
      </c>
      <c r="E554" s="2" t="s">
        <v>14</v>
      </c>
      <c r="F554" s="2" t="s">
        <v>15</v>
      </c>
      <c r="G554" s="2" t="s">
        <v>833</v>
      </c>
      <c r="H554" s="2" t="s">
        <v>72</v>
      </c>
      <c r="I554" s="3" t="str">
        <f>IFERROR(__xludf.DUMMYFUNCTION("GOOGLETRANSLATE(C554,""fr"",""en"")"),"I am satisfied with the services
I can always get a service center and get all the information
I am also satisfied with the prices ...
I hope good cooperation in the future")</f>
        <v>I am satisfied with the services
I can always get a service center and get all the information
I am also satisfied with the prices ...
I hope good cooperation in the future</v>
      </c>
    </row>
    <row r="555" ht="15.75" customHeight="1">
      <c r="A555" s="2">
        <v>5.0</v>
      </c>
      <c r="B555" s="2" t="s">
        <v>1622</v>
      </c>
      <c r="C555" s="2" t="s">
        <v>1623</v>
      </c>
      <c r="D555" s="2" t="s">
        <v>13</v>
      </c>
      <c r="E555" s="2" t="s">
        <v>14</v>
      </c>
      <c r="F555" s="2" t="s">
        <v>15</v>
      </c>
      <c r="G555" s="2" t="s">
        <v>204</v>
      </c>
      <c r="H555" s="2" t="s">
        <v>149</v>
      </c>
      <c r="I555" s="3" t="str">
        <f>IFERROR(__xludf.DUMMYFUNCTION("GOOGLETRANSLATE(C555,""fr"",""en"")")," Qualitative telephone reception and very satisfied with the service and your answers I would recommend the olive tree to other people and I must ensure another vehicle it will also be with you")</f>
        <v> Qualitative telephone reception and very satisfied with the service and your answers I would recommend the olive tree to other people and I must ensure another vehicle it will also be with you</v>
      </c>
    </row>
    <row r="556" ht="15.75" customHeight="1">
      <c r="A556" s="2">
        <v>5.0</v>
      </c>
      <c r="B556" s="2" t="s">
        <v>1624</v>
      </c>
      <c r="C556" s="2" t="s">
        <v>1625</v>
      </c>
      <c r="D556" s="2" t="s">
        <v>128</v>
      </c>
      <c r="E556" s="2" t="s">
        <v>97</v>
      </c>
      <c r="F556" s="2" t="s">
        <v>15</v>
      </c>
      <c r="G556" s="2" t="s">
        <v>258</v>
      </c>
      <c r="H556" s="2" t="s">
        <v>172</v>
      </c>
      <c r="I556" s="3" t="str">
        <f>IFERROR(__xludf.DUMMYFUNCTION("GOOGLETRANSLATE(C556,""fr"",""en"")"),"I am satisfied with the service, the prices charged, the guarantees offered, the tranquility option. Competent and available advisor. I would recommend Zen Up")</f>
        <v>I am satisfied with the service, the prices charged, the guarantees offered, the tranquility option. Competent and available advisor. I would recommend Zen Up</v>
      </c>
    </row>
    <row r="557" ht="15.75" customHeight="1">
      <c r="A557" s="2">
        <v>1.0</v>
      </c>
      <c r="B557" s="2" t="s">
        <v>1626</v>
      </c>
      <c r="C557" s="2" t="s">
        <v>1627</v>
      </c>
      <c r="D557" s="2" t="s">
        <v>43</v>
      </c>
      <c r="E557" s="2" t="s">
        <v>91</v>
      </c>
      <c r="F557" s="2" t="s">
        <v>15</v>
      </c>
      <c r="G557" s="2" t="s">
        <v>1628</v>
      </c>
      <c r="H557" s="2" t="s">
        <v>309</v>
      </c>
      <c r="I557" s="3" t="str">
        <f>IFERROR(__xludf.DUMMYFUNCTION("GOOGLETRANSLATE(C557,""fr"",""en"")"),"RUN AWAY !!!! Friday, November 20, I appeal to the Macif to come and have the humidity rate of my home because the development of molds. 2 reminders later, the cabinet mandated BL Expertise, on December 3, is not even aware of my situation .. it is true t"&amp;"hat in winter this kind of problem is not urgent .. to be fleeing because apparently They do not have enough ink in their pens to note the problems of their customers !!!")</f>
        <v>RUN AWAY !!!! Friday, November 20, I appeal to the Macif to come and have the humidity rate of my home because the development of molds. 2 reminders later, the cabinet mandated BL Expertise, on December 3, is not even aware of my situation .. it is true that in winter this kind of problem is not urgent .. to be fleeing because apparently They do not have enough ink in their pens to note the problems of their customers !!!</v>
      </c>
    </row>
    <row r="558" ht="15.75" customHeight="1">
      <c r="A558" s="2">
        <v>4.0</v>
      </c>
      <c r="B558" s="2" t="s">
        <v>1629</v>
      </c>
      <c r="C558" s="2" t="s">
        <v>1630</v>
      </c>
      <c r="D558" s="2" t="s">
        <v>20</v>
      </c>
      <c r="E558" s="2" t="s">
        <v>14</v>
      </c>
      <c r="F558" s="2" t="s">
        <v>15</v>
      </c>
      <c r="G558" s="2" t="s">
        <v>1020</v>
      </c>
      <c r="H558" s="2" t="s">
        <v>133</v>
      </c>
      <c r="I558" s="3" t="str">
        <f>IFERROR(__xludf.DUMMYFUNCTION("GOOGLETRANSLATE(C558,""fr"",""en"")"),"I am satisfied with the service offered, it is fast and it spares me with the steps with my current insurer to terminate my current contract .... Here")</f>
        <v>I am satisfied with the service offered, it is fast and it spares me with the steps with my current insurer to terminate my current contract .... Here</v>
      </c>
    </row>
    <row r="559" ht="15.75" customHeight="1">
      <c r="A559" s="2">
        <v>4.0</v>
      </c>
      <c r="B559" s="2" t="s">
        <v>1631</v>
      </c>
      <c r="C559" s="2" t="s">
        <v>1632</v>
      </c>
      <c r="D559" s="2" t="s">
        <v>20</v>
      </c>
      <c r="E559" s="2" t="s">
        <v>14</v>
      </c>
      <c r="F559" s="2" t="s">
        <v>15</v>
      </c>
      <c r="G559" s="2" t="s">
        <v>299</v>
      </c>
      <c r="H559" s="2" t="s">
        <v>149</v>
      </c>
      <c r="I559" s="3" t="str">
        <f>IFERROR(__xludf.DUMMYFUNCTION("GOOGLETRANSLATE(C559,""fr"",""en"")")," satisfactory, reception very well from Linda ... Acceptable price, validated the day there is a claim in terms of responsiveness, and reimbursement.")</f>
        <v> satisfactory, reception very well from Linda ... Acceptable price, validated the day there is a claim in terms of responsiveness, and reimbursement.</v>
      </c>
    </row>
    <row r="560" ht="15.75" customHeight="1">
      <c r="A560" s="2">
        <v>1.0</v>
      </c>
      <c r="B560" s="2" t="s">
        <v>1633</v>
      </c>
      <c r="C560" s="2" t="s">
        <v>1634</v>
      </c>
      <c r="D560" s="2" t="s">
        <v>373</v>
      </c>
      <c r="E560" s="2" t="s">
        <v>31</v>
      </c>
      <c r="F560" s="2" t="s">
        <v>15</v>
      </c>
      <c r="G560" s="2" t="s">
        <v>1635</v>
      </c>
      <c r="H560" s="2" t="s">
        <v>109</v>
      </c>
      <c r="I560" s="3" t="str">
        <f>IFERROR(__xludf.DUMMYFUNCTION("GOOGLETRANSLATE(C560,""fr"",""en"")"),"Cegema is a mutual ghost.
They never answer on the phone, even see emails.
Insurance subscribed to April 1, 2017 and up to date, more than a month later, no refund, or record fees, or care
They are unreachable.
To run away absolutely
I preferred to p"&amp;"ut an opposition on any sample until I see clear.
I decide it to you")</f>
        <v>Cegema is a mutual ghost.
They never answer on the phone, even see emails.
Insurance subscribed to April 1, 2017 and up to date, more than a month later, no refund, or record fees, or care
They are unreachable.
To run away absolutely
I preferred to put an opposition on any sample until I see clear.
I decide it to you</v>
      </c>
    </row>
    <row r="561" ht="15.75" customHeight="1">
      <c r="A561" s="2">
        <v>1.0</v>
      </c>
      <c r="B561" s="2" t="s">
        <v>1636</v>
      </c>
      <c r="C561" s="2" t="s">
        <v>1637</v>
      </c>
      <c r="D561" s="2" t="s">
        <v>513</v>
      </c>
      <c r="E561" s="2" t="s">
        <v>91</v>
      </c>
      <c r="F561" s="2" t="s">
        <v>15</v>
      </c>
      <c r="G561" s="2" t="s">
        <v>1638</v>
      </c>
      <c r="H561" s="2" t="s">
        <v>144</v>
      </c>
      <c r="I561" s="3" t="str">
        <f>IFERROR(__xludf.DUMMYFUNCTION("GOOGLETRANSLATE(C561,""fr"",""en"")"),"Very very disappointed by Pacifica. I have been at home for many years. No liable loss. All my family was also there and I was struck off by this insurance without even having had the decency to warn me beforehand because I had had too much damage of the "&amp;"non -responsible waters from to my neighbor. And instead of turning against his insurance, I was just struck off without having committed any fault ....")</f>
        <v>Very very disappointed by Pacifica. I have been at home for many years. No liable loss. All my family was also there and I was struck off by this insurance without even having had the decency to warn me beforehand because I had had too much damage of the non -responsible waters from to my neighbor. And instead of turning against his insurance, I was just struck off without having committed any fault ....</v>
      </c>
    </row>
    <row r="562" ht="15.75" customHeight="1">
      <c r="A562" s="2">
        <v>5.0</v>
      </c>
      <c r="B562" s="2" t="s">
        <v>1639</v>
      </c>
      <c r="C562" s="2" t="s">
        <v>1640</v>
      </c>
      <c r="D562" s="2" t="s">
        <v>24</v>
      </c>
      <c r="E562" s="2" t="s">
        <v>25</v>
      </c>
      <c r="F562" s="2" t="s">
        <v>15</v>
      </c>
      <c r="G562" s="2" t="s">
        <v>824</v>
      </c>
      <c r="H562" s="2" t="s">
        <v>27</v>
      </c>
      <c r="I562" s="3" t="str">
        <f>IFERROR(__xludf.DUMMYFUNCTION("GOOGLETRANSLATE(C562,""fr"",""en"")"),"very satisfied
Very friendly staff on the phone
Insurance within the reach of amateurs
relatively easy management method
Well done site
")</f>
        <v>very satisfied
Very friendly staff on the phone
Insurance within the reach of amateurs
relatively easy management method
Well done site
</v>
      </c>
    </row>
    <row r="563" ht="15.75" customHeight="1">
      <c r="A563" s="2">
        <v>2.0</v>
      </c>
      <c r="B563" s="2" t="s">
        <v>1641</v>
      </c>
      <c r="C563" s="2" t="s">
        <v>1642</v>
      </c>
      <c r="D563" s="2" t="s">
        <v>233</v>
      </c>
      <c r="E563" s="2" t="s">
        <v>14</v>
      </c>
      <c r="F563" s="2" t="s">
        <v>15</v>
      </c>
      <c r="G563" s="2" t="s">
        <v>1643</v>
      </c>
      <c r="H563" s="2" t="s">
        <v>358</v>
      </c>
      <c r="I563" s="3" t="str">
        <f>IFERROR(__xludf.DUMMYFUNCTION("GOOGLETRANSLATE(C563,""fr"",""en"")"),"
After 55 years of contribution to the GMF, the Valenciennes agency has just canceled the car insurance contract of my parents -in -law, for having been on the 55 years 3 accidents, not 3 big accidents, 3 small clashes !! and in addition All this without"&amp;" any discussions, sends a letter asking to go to the agency to take stock, two days later registered letter meaning the termination and during the appointment, to the categorical refusal agency to discuss !! over 55 years to the ladle my beautiful Parent "&amp;"paid around 35,000 euros to the GMF just for their car !! Being we too to the GMF for several contracts; We are about to remove everything, house, car, dog and boats as well as the home and dog insurance of my parents -in -law !! I think the manager of th"&amp;"e Valenciennes agency really did not do the right calculation !!
")</f>
        <v>
After 55 years of contribution to the GMF, the Valenciennes agency has just canceled the car insurance contract of my parents -in -law, for having been on the 55 years 3 accidents, not 3 big accidents, 3 small clashes !! and in addition All this without any discussions, sends a letter asking to go to the agency to take stock, two days later registered letter meaning the termination and during the appointment, to the categorical refusal agency to discuss !! over 55 years to the ladle my beautiful Parent paid around 35,000 euros to the GMF just for their car !! Being we too to the GMF for several contracts; We are about to remove everything, house, car, dog and boats as well as the home and dog insurance of my parents -in -law !! I think the manager of the Valenciennes agency really did not do the right calculation !!
</v>
      </c>
    </row>
    <row r="564" ht="15.75" customHeight="1">
      <c r="A564" s="2">
        <v>2.0</v>
      </c>
      <c r="B564" s="2" t="s">
        <v>1644</v>
      </c>
      <c r="C564" s="2" t="s">
        <v>1645</v>
      </c>
      <c r="D564" s="2" t="s">
        <v>20</v>
      </c>
      <c r="E564" s="2" t="s">
        <v>14</v>
      </c>
      <c r="F564" s="2" t="s">
        <v>15</v>
      </c>
      <c r="G564" s="2" t="s">
        <v>416</v>
      </c>
      <c r="H564" s="2" t="s">
        <v>140</v>
      </c>
      <c r="I564" s="3" t="str">
        <f>IFERROR(__xludf.DUMMYFUNCTION("GOOGLETRANSLATE(C564,""fr"",""en"")"),"Not possible to recover your money when you assert your right of withdrawal. Bad faith. Make it wait by saying that there are no other choices.
")</f>
        <v>Not possible to recover your money when you assert your right of withdrawal. Bad faith. Make it wait by saying that there are no other choices.
</v>
      </c>
    </row>
    <row r="565" ht="15.75" customHeight="1">
      <c r="A565" s="2">
        <v>1.0</v>
      </c>
      <c r="B565" s="2" t="s">
        <v>1646</v>
      </c>
      <c r="C565" s="2" t="s">
        <v>1647</v>
      </c>
      <c r="D565" s="2" t="s">
        <v>328</v>
      </c>
      <c r="E565" s="2" t="s">
        <v>329</v>
      </c>
      <c r="F565" s="2" t="s">
        <v>15</v>
      </c>
      <c r="G565" s="2" t="s">
        <v>1648</v>
      </c>
      <c r="H565" s="2" t="s">
        <v>40</v>
      </c>
      <c r="I565" s="3" t="str">
        <f>IFERROR(__xludf.DUMMYFUNCTION("GOOGLETRANSLATE(C565,""fr"",""en"")"),"In 2020 I pay € 66.48 for 2 guaranteed dogs. I have just received a new notice of subscription, at 01.01.2021 My subscription goes to € 99.41 on the pretext that 1 of my dogs undergoes several consultations and 1 radio during 2019. After complaint, the an"&amp;"swer It was ""we must amortize our reimbursements"". So I deduce that we reimburse this insurance the reimbursements that we received the previous year and even more because the continuous increase in the following years.")</f>
        <v>In 2020 I pay € 66.48 for 2 guaranteed dogs. I have just received a new notice of subscription, at 01.01.2021 My subscription goes to € 99.41 on the pretext that 1 of my dogs undergoes several consultations and 1 radio during 2019. After complaint, the answer It was "we must amortize our reimbursements". So I deduce that we reimburse this insurance the reimbursements that we received the previous year and even more because the continuous increase in the following years.</v>
      </c>
    </row>
    <row r="566" ht="15.75" customHeight="1">
      <c r="A566" s="2">
        <v>3.0</v>
      </c>
      <c r="B566" s="2" t="s">
        <v>1649</v>
      </c>
      <c r="C566" s="2" t="s">
        <v>1650</v>
      </c>
      <c r="D566" s="2" t="s">
        <v>80</v>
      </c>
      <c r="E566" s="2" t="s">
        <v>25</v>
      </c>
      <c r="F566" s="2" t="s">
        <v>15</v>
      </c>
      <c r="G566" s="2" t="s">
        <v>1470</v>
      </c>
      <c r="H566" s="2" t="s">
        <v>149</v>
      </c>
      <c r="I566" s="3" t="str">
        <f>IFERROR(__xludf.DUMMYFUNCTION("GOOGLETRANSLATE(C566,""fr"",""en"")"),"I am satisfied with the service and the speed of management of my requests.")</f>
        <v>I am satisfied with the service and the speed of management of my requests.</v>
      </c>
    </row>
    <row r="567" ht="15.75" customHeight="1">
      <c r="A567" s="2">
        <v>1.0</v>
      </c>
      <c r="B567" s="2" t="s">
        <v>1651</v>
      </c>
      <c r="C567" s="2" t="s">
        <v>1652</v>
      </c>
      <c r="D567" s="2" t="s">
        <v>30</v>
      </c>
      <c r="E567" s="2" t="s">
        <v>31</v>
      </c>
      <c r="F567" s="2" t="s">
        <v>15</v>
      </c>
      <c r="G567" s="2" t="s">
        <v>1653</v>
      </c>
      <c r="H567" s="2" t="s">
        <v>77</v>
      </c>
      <c r="I567" s="3" t="str">
        <f>IFERROR(__xludf.DUMMYFUNCTION("GOOGLETRANSLATE(C567,""fr"",""en"")"),"I took a pension option which had to give me 50 € per day of hospitalization it's been a year that I am low to have these 50 € but since I have several days of hospitalization he asks me for documents which not at all at all The right to ask as medical co"&amp;"nfidence indicates I intend to do to them with them in addition I have the support of surgeons")</f>
        <v>I took a pension option which had to give me 50 € per day of hospitalization it's been a year that I am low to have these 50 € but since I have several days of hospitalization he asks me for documents which not at all at all The right to ask as medical confidence indicates I intend to do to them with them in addition I have the support of surgeons</v>
      </c>
    </row>
    <row r="568" ht="15.75" customHeight="1">
      <c r="A568" s="2">
        <v>1.0</v>
      </c>
      <c r="B568" s="2" t="s">
        <v>1654</v>
      </c>
      <c r="C568" s="2" t="s">
        <v>1655</v>
      </c>
      <c r="D568" s="2" t="s">
        <v>75</v>
      </c>
      <c r="E568" s="2" t="s">
        <v>31</v>
      </c>
      <c r="F568" s="2" t="s">
        <v>15</v>
      </c>
      <c r="G568" s="2" t="s">
        <v>1656</v>
      </c>
      <c r="H568" s="2" t="s">
        <v>114</v>
      </c>
      <c r="I568" s="3" t="str">
        <f>IFERROR(__xludf.DUMMYFUNCTION("GOOGLETRANSLATE(C568,""fr"",""en"")"),"I called an advisor to ask him why I had received a more expensive contract than I had accepted by tel.
She took me high, telling me you don't understand French? I answered him if Madame stop shouting. She tuned me all the conversation. All my questions "&amp;"remained unanswered then according to these words I must make a letter !!! This person a lack of mastery of is and incompetent. My contract ends I would not renew ......")</f>
        <v>I called an advisor to ask him why I had received a more expensive contract than I had accepted by tel.
She took me high, telling me you don't understand French? I answered him if Madame stop shouting. She tuned me all the conversation. All my questions remained unanswered then according to these words I must make a letter !!! This person a lack of mastery of is and incompetent. My contract ends I would not renew ......</v>
      </c>
    </row>
    <row r="569" ht="15.75" customHeight="1">
      <c r="A569" s="2">
        <v>4.0</v>
      </c>
      <c r="B569" s="2" t="s">
        <v>1657</v>
      </c>
      <c r="C569" s="2" t="s">
        <v>1658</v>
      </c>
      <c r="D569" s="2" t="s">
        <v>20</v>
      </c>
      <c r="E569" s="2" t="s">
        <v>14</v>
      </c>
      <c r="F569" s="2" t="s">
        <v>15</v>
      </c>
      <c r="G569" s="2" t="s">
        <v>377</v>
      </c>
      <c r="H569" s="2" t="s">
        <v>149</v>
      </c>
      <c r="I569" s="3" t="str">
        <f>IFERROR(__xludf.DUMMYFUNCTION("GOOGLETRANSLATE(C569,""fr"",""en"")"),"Good value for money and prices .. I am satisfied with this company. Sometimes difficulties in joining the service. Take into account the seniority of the adhere to grant him discounts.")</f>
        <v>Good value for money and prices .. I am satisfied with this company. Sometimes difficulties in joining the service. Take into account the seniority of the adhere to grant him discounts.</v>
      </c>
    </row>
    <row r="570" ht="15.75" customHeight="1">
      <c r="A570" s="2">
        <v>2.0</v>
      </c>
      <c r="B570" s="2" t="s">
        <v>1659</v>
      </c>
      <c r="C570" s="2" t="s">
        <v>1660</v>
      </c>
      <c r="D570" s="2" t="s">
        <v>43</v>
      </c>
      <c r="E570" s="2" t="s">
        <v>25</v>
      </c>
      <c r="F570" s="2" t="s">
        <v>15</v>
      </c>
      <c r="G570" s="2" t="s">
        <v>534</v>
      </c>
      <c r="H570" s="2" t="s">
        <v>535</v>
      </c>
      <c r="I570" s="3" t="str">
        <f>IFERROR(__xludf.DUMMYFUNCTION("GOOGLETRANSLATE(C570,""fr"",""en"")"),"Not long ago I would have said that I was satisfied with the Macif but for a few months I have been more than disappointed. Having my motorcycle license since 2013 and that car since July 2020 I wanted to make quote simulations for car insurance and impos"&amp;"sible to obtain one online after having informed all my information, therefore compulsory call for a saying supplement info. When I have customer service I am confirmed to me that we take my motorcycle bonus into account but they want to add a ""novice dr"&amp;"iver"" penalty for 2 years which doubles the insurance rate of the coup 100% I ask them for a statement of 'Information to be able to see to ensure a car that I bought but even for that they must give them explanations. In addition I had a small motorcycl"&amp;"e fall on a plaque of ice I call on assistance to tow the motorcycle they had mandated an office expert that I could cancel since I did not want to play the 'Insurance and that I paid the repairs myself. I really no longer have confidence in them.")</f>
        <v>Not long ago I would have said that I was satisfied with the Macif but for a few months I have been more than disappointed. Having my motorcycle license since 2013 and that car since July 2020 I wanted to make quote simulations for car insurance and impossible to obtain one online after having informed all my information, therefore compulsory call for a saying supplement info. When I have customer service I am confirmed to me that we take my motorcycle bonus into account but they want to add a "novice driver" penalty for 2 years which doubles the insurance rate of the coup 100% I ask them for a statement of 'Information to be able to see to ensure a car that I bought but even for that they must give them explanations. In addition I had a small motorcycle fall on a plaque of ice I call on assistance to tow the motorcycle they had mandated an office expert that I could cancel since I did not want to play the 'Insurance and that I paid the repairs myself. I really no longer have confidence in them.</v>
      </c>
    </row>
    <row r="571" ht="15.75" customHeight="1">
      <c r="A571" s="2">
        <v>3.0</v>
      </c>
      <c r="B571" s="2" t="s">
        <v>1661</v>
      </c>
      <c r="C571" s="2" t="s">
        <v>1662</v>
      </c>
      <c r="D571" s="2" t="s">
        <v>20</v>
      </c>
      <c r="E571" s="2" t="s">
        <v>14</v>
      </c>
      <c r="F571" s="2" t="s">
        <v>15</v>
      </c>
      <c r="G571" s="2" t="s">
        <v>149</v>
      </c>
      <c r="H571" s="2" t="s">
        <v>149</v>
      </c>
      <c r="I571" s="3" t="str">
        <f>IFERROR(__xludf.DUMMYFUNCTION("GOOGLETRANSLATE(C571,""fr"",""en"")"),"Fluid and effective service but excessive price.
Comparisons made with other insurances, since I do less than 1000 km per year, I could save annual from more than 100 euros.
So I'm going to think about it for next year.")</f>
        <v>Fluid and effective service but excessive price.
Comparisons made with other insurances, since I do less than 1000 km per year, I could save annual from more than 100 euros.
So I'm going to think about it for next year.</v>
      </c>
    </row>
    <row r="572" ht="15.75" customHeight="1">
      <c r="A572" s="2">
        <v>4.0</v>
      </c>
      <c r="B572" s="2" t="s">
        <v>1663</v>
      </c>
      <c r="C572" s="2" t="s">
        <v>1664</v>
      </c>
      <c r="D572" s="2" t="s">
        <v>24</v>
      </c>
      <c r="E572" s="2" t="s">
        <v>25</v>
      </c>
      <c r="F572" s="2" t="s">
        <v>15</v>
      </c>
      <c r="G572" s="2" t="s">
        <v>1422</v>
      </c>
      <c r="H572" s="2" t="s">
        <v>27</v>
      </c>
      <c r="I572" s="3" t="str">
        <f>IFERROR(__xludf.DUMMYFUNCTION("GOOGLETRANSLATE(C572,""fr"",""en"")"),"I am satisfied with the service, fast to modify the information, Claire in the course of the questionnaires, however, the rates remain competitive but high in particular for young drivers.")</f>
        <v>I am satisfied with the service, fast to modify the information, Claire in the course of the questionnaires, however, the rates remain competitive but high in particular for young drivers.</v>
      </c>
    </row>
    <row r="573" ht="15.75" customHeight="1">
      <c r="A573" s="2">
        <v>4.0</v>
      </c>
      <c r="B573" s="2" t="s">
        <v>1665</v>
      </c>
      <c r="C573" s="2" t="s">
        <v>1666</v>
      </c>
      <c r="D573" s="2" t="s">
        <v>453</v>
      </c>
      <c r="E573" s="2" t="s">
        <v>329</v>
      </c>
      <c r="F573" s="2" t="s">
        <v>15</v>
      </c>
      <c r="G573" s="2" t="s">
        <v>615</v>
      </c>
      <c r="H573" s="2" t="s">
        <v>72</v>
      </c>
      <c r="I573" s="3" t="str">
        <f>IFERROR(__xludf.DUMMYFUNCTION("GOOGLETRANSLATE(C573,""fr"",""en"")"),"I am really surprised to read all these negative comments! My dog ​​is almost 13 years old and he has been insured since 2011 at Santévet with the comfort formula and he has a lot of health problems with expensive treatment! Frankly, we never had any refu"&amp;"sal of reimbursements; Perhaps they have changed their contracts but we are really satisfied to date; Of course the prices increase with the age of the dog but we have never regretted our choice; As long as it lasts because it has a new disease and now th"&amp;"e treatment will increase to 171 euros per month so we will see if it is taken care of!")</f>
        <v>I am really surprised to read all these negative comments! My dog ​​is almost 13 years old and he has been insured since 2011 at Santévet with the comfort formula and he has a lot of health problems with expensive treatment! Frankly, we never had any refusal of reimbursements; Perhaps they have changed their contracts but we are really satisfied to date; Of course the prices increase with the age of the dog but we have never regretted our choice; As long as it lasts because it has a new disease and now the treatment will increase to 171 euros per month so we will see if it is taken care of!</v>
      </c>
    </row>
    <row r="574" ht="15.75" customHeight="1">
      <c r="A574" s="2">
        <v>5.0</v>
      </c>
      <c r="B574" s="2" t="s">
        <v>1667</v>
      </c>
      <c r="C574" s="2" t="s">
        <v>1668</v>
      </c>
      <c r="D574" s="2" t="s">
        <v>30</v>
      </c>
      <c r="E574" s="2" t="s">
        <v>31</v>
      </c>
      <c r="F574" s="2" t="s">
        <v>15</v>
      </c>
      <c r="G574" s="2" t="s">
        <v>148</v>
      </c>
      <c r="H574" s="2" t="s">
        <v>149</v>
      </c>
      <c r="I574" s="3" t="str">
        <f>IFERROR(__xludf.DUMMYFUNCTION("GOOGLETRANSLATE(C574,""fr"",""en"")"),"Particularly friendly and attentive advisor! She managed to answer all my questions and advise me on my future reimbursements. Thanks for your help.")</f>
        <v>Particularly friendly and attentive advisor! She managed to answer all my questions and advise me on my future reimbursements. Thanks for your help.</v>
      </c>
    </row>
    <row r="575" ht="15.75" customHeight="1">
      <c r="A575" s="2">
        <v>5.0</v>
      </c>
      <c r="B575" s="2" t="s">
        <v>1669</v>
      </c>
      <c r="C575" s="2" t="s">
        <v>1670</v>
      </c>
      <c r="D575" s="2" t="s">
        <v>13</v>
      </c>
      <c r="E575" s="2" t="s">
        <v>14</v>
      </c>
      <c r="F575" s="2" t="s">
        <v>15</v>
      </c>
      <c r="G575" s="2" t="s">
        <v>1254</v>
      </c>
      <c r="H575" s="2" t="s">
        <v>172</v>
      </c>
      <c r="I575" s="3" t="str">
        <f>IFERROR(__xludf.DUMMYFUNCTION("GOOGLETRANSLATE(C575,""fr"",""en"")"),"Clean and understandable welcome, competent person
5 -star price
I just won € 500 in the year compared to my former insurance
File fees can be a bit expensive")</f>
        <v>Clean and understandable welcome, competent person
5 -star price
I just won € 500 in the year compared to my former insurance
File fees can be a bit expensive</v>
      </c>
    </row>
    <row r="576" ht="15.75" customHeight="1">
      <c r="A576" s="2">
        <v>2.0</v>
      </c>
      <c r="B576" s="2" t="s">
        <v>1671</v>
      </c>
      <c r="C576" s="2" t="s">
        <v>1672</v>
      </c>
      <c r="D576" s="2" t="s">
        <v>513</v>
      </c>
      <c r="E576" s="2" t="s">
        <v>14</v>
      </c>
      <c r="F576" s="2" t="s">
        <v>15</v>
      </c>
      <c r="G576" s="2" t="s">
        <v>1027</v>
      </c>
      <c r="H576" s="2" t="s">
        <v>40</v>
      </c>
      <c r="I576" s="3" t="str">
        <f>IFERROR(__xludf.DUMMYFUNCTION("GOOGLETRANSLATE(C576,""fr"",""en"")"),"My mother at all risks had a non -responsible accident in August, today on October 10 still not reimbursed for € 4,500 ...
Easier to receive contributions than to reimburse!
Take you by service boat in service… reachable only by phone :(")</f>
        <v>My mother at all risks had a non -responsible accident in August, today on October 10 still not reimbursed for € 4,500 ...
Easier to receive contributions than to reimburse!
Take you by service boat in service… reachable only by phone :(</v>
      </c>
    </row>
    <row r="577" ht="15.75" customHeight="1">
      <c r="A577" s="2">
        <v>2.0</v>
      </c>
      <c r="B577" s="2" t="s">
        <v>1673</v>
      </c>
      <c r="C577" s="2" t="s">
        <v>1674</v>
      </c>
      <c r="D577" s="2" t="s">
        <v>280</v>
      </c>
      <c r="E577" s="2" t="s">
        <v>14</v>
      </c>
      <c r="F577" s="2" t="s">
        <v>15</v>
      </c>
      <c r="G577" s="2" t="s">
        <v>1675</v>
      </c>
      <c r="H577" s="2" t="s">
        <v>528</v>
      </c>
      <c r="I577" s="3" t="str">
        <f>IFERROR(__xludf.DUMMYFUNCTION("GOOGLETRANSLATE(C577,""fr"",""en"")"),"CATASTROPHIC")</f>
        <v>CATASTROPHIC</v>
      </c>
    </row>
    <row r="578" ht="15.75" customHeight="1">
      <c r="A578" s="2">
        <v>2.0</v>
      </c>
      <c r="B578" s="2" t="s">
        <v>1676</v>
      </c>
      <c r="C578" s="2" t="s">
        <v>1677</v>
      </c>
      <c r="D578" s="2" t="s">
        <v>20</v>
      </c>
      <c r="E578" s="2" t="s">
        <v>14</v>
      </c>
      <c r="F578" s="2" t="s">
        <v>15</v>
      </c>
      <c r="G578" s="2" t="s">
        <v>1384</v>
      </c>
      <c r="H578" s="2" t="s">
        <v>149</v>
      </c>
      <c r="I578" s="3" t="str">
        <f>IFERROR(__xludf.DUMMYFUNCTION("GOOGLETRANSLATE(C578,""fr"",""en"")"),"I have subscribed to the Youdrive option by Internet but my this option does not appear on my contract. I did not receive the Youdrive box. However, I pay for this option. I contacted the hotline twice. I was promised an answer but no one has ever contact"&amp;"ed me. What a disappointment knowing that your is haloed by ""customer service 2021""")</f>
        <v>I have subscribed to the Youdrive option by Internet but my this option does not appear on my contract. I did not receive the Youdrive box. However, I pay for this option. I contacted the hotline twice. I was promised an answer but no one has ever contacted me. What a disappointment knowing that your is haloed by "customer service 2021"</v>
      </c>
    </row>
    <row r="579" ht="15.75" customHeight="1">
      <c r="A579" s="2">
        <v>4.0</v>
      </c>
      <c r="B579" s="2" t="s">
        <v>1678</v>
      </c>
      <c r="C579" s="2" t="s">
        <v>1679</v>
      </c>
      <c r="D579" s="2" t="s">
        <v>43</v>
      </c>
      <c r="E579" s="2" t="s">
        <v>14</v>
      </c>
      <c r="F579" s="2" t="s">
        <v>15</v>
      </c>
      <c r="G579" s="2" t="s">
        <v>1680</v>
      </c>
      <c r="H579" s="2" t="s">
        <v>535</v>
      </c>
      <c r="I579" s="3" t="str">
        <f>IFERROR(__xludf.DUMMYFUNCTION("GOOGLETRANSLATE(C579,""fr"",""en"")"),"I am a societary surroundings 35 years old the correct price but I did not admit the response of the last telephonic interview with a secretary that tells you our decision is that
 No I don't get dacord so I'm going to go by my two vehicles don't interes"&amp;"t you")</f>
        <v>I am a societary surroundings 35 years old the correct price but I did not admit the response of the last telephonic interview with a secretary that tells you our decision is that
 No I don't get dacord so I'm going to go by my two vehicles don't interest you</v>
      </c>
    </row>
    <row r="580" ht="15.75" customHeight="1">
      <c r="A580" s="2">
        <v>3.0</v>
      </c>
      <c r="B580" s="2" t="s">
        <v>1681</v>
      </c>
      <c r="C580" s="2" t="s">
        <v>1682</v>
      </c>
      <c r="D580" s="2" t="s">
        <v>373</v>
      </c>
      <c r="E580" s="2" t="s">
        <v>31</v>
      </c>
      <c r="F580" s="2" t="s">
        <v>15</v>
      </c>
      <c r="G580" s="2" t="s">
        <v>1683</v>
      </c>
      <c r="H580" s="2" t="s">
        <v>445</v>
      </c>
      <c r="I580" s="3" t="str">
        <f>IFERROR(__xludf.DUMMYFUNCTION("GOOGLETRANSLATE(C580,""fr"",""en"")"),"Solid guarantees, serious services and listening customer service, for a correct price that is always too expensive. I have a hard time, for the moment to find an equivalent quality/price ratio.")</f>
        <v>Solid guarantees, serious services and listening customer service, for a correct price that is always too expensive. I have a hard time, for the moment to find an equivalent quality/price ratio.</v>
      </c>
    </row>
    <row r="581" ht="15.75" customHeight="1">
      <c r="A581" s="2">
        <v>3.0</v>
      </c>
      <c r="B581" s="2" t="s">
        <v>1684</v>
      </c>
      <c r="C581" s="2" t="s">
        <v>1685</v>
      </c>
      <c r="D581" s="2" t="s">
        <v>20</v>
      </c>
      <c r="E581" s="2" t="s">
        <v>14</v>
      </c>
      <c r="F581" s="2" t="s">
        <v>15</v>
      </c>
      <c r="G581" s="2" t="s">
        <v>974</v>
      </c>
      <c r="H581" s="2" t="s">
        <v>17</v>
      </c>
      <c r="I581" s="3" t="str">
        <f>IFERROR(__xludf.DUMMYFUNCTION("GOOGLETRANSLATE(C581,""fr"",""en"")"),"I am satisfied with the service insofar as I have never needed my insurance, on the other hand I have been in bonus 50 for years but my insurance has increased every year.")</f>
        <v>I am satisfied with the service insofar as I have never needed my insurance, on the other hand I have been in bonus 50 for years but my insurance has increased every year.</v>
      </c>
    </row>
    <row r="582" ht="15.75" customHeight="1">
      <c r="A582" s="2">
        <v>5.0</v>
      </c>
      <c r="B582" s="2" t="s">
        <v>1686</v>
      </c>
      <c r="C582" s="2" t="s">
        <v>1687</v>
      </c>
      <c r="D582" s="2" t="s">
        <v>20</v>
      </c>
      <c r="E582" s="2" t="s">
        <v>14</v>
      </c>
      <c r="F582" s="2" t="s">
        <v>15</v>
      </c>
      <c r="G582" s="2" t="s">
        <v>230</v>
      </c>
      <c r="H582" s="2" t="s">
        <v>133</v>
      </c>
      <c r="I582" s="3" t="str">
        <f>IFERROR(__xludf.DUMMYFUNCTION("GOOGLETRANSLATE(C582,""fr"",""en"")"),"Good price and practice to take steps
Already assured at Direct my quote was very simple to fill out
I intend to continue, assure Direct Insurance for long time
Unbeatable price")</f>
        <v>Good price and practice to take steps
Already assured at Direct my quote was very simple to fill out
I intend to continue, assure Direct Insurance for long time
Unbeatable price</v>
      </c>
    </row>
    <row r="583" ht="15.75" customHeight="1">
      <c r="A583" s="2">
        <v>1.0</v>
      </c>
      <c r="B583" s="2" t="s">
        <v>1688</v>
      </c>
      <c r="C583" s="2" t="s">
        <v>1689</v>
      </c>
      <c r="D583" s="2" t="s">
        <v>13</v>
      </c>
      <c r="E583" s="2" t="s">
        <v>14</v>
      </c>
      <c r="F583" s="2" t="s">
        <v>15</v>
      </c>
      <c r="G583" s="2" t="s">
        <v>1690</v>
      </c>
      <c r="H583" s="2" t="s">
        <v>1214</v>
      </c>
      <c r="I583" s="3" t="str">
        <f>IFERROR(__xludf.DUMMYFUNCTION("GOOGLETRANSLATE(C583,""fr"",""en"")"),"It is a shame assured at home since early December 2016, it is impossible to receive the final certificate of my assurance'3 ar sent, no responses from them, unanswered telephonic calls, last recommended sent before formal notice to send me The certificat"&amp;"e, and after court.c is a shame! To avoid strongly.")</f>
        <v>It is a shame assured at home since early December 2016, it is impossible to receive the final certificate of my assurance'3 ar sent, no responses from them, unanswered telephonic calls, last recommended sent before formal notice to send me The certificate, and after court.c is a shame! To avoid strongly.</v>
      </c>
    </row>
    <row r="584" ht="15.75" customHeight="1">
      <c r="A584" s="2">
        <v>4.0</v>
      </c>
      <c r="B584" s="2" t="s">
        <v>1691</v>
      </c>
      <c r="C584" s="2" t="s">
        <v>1692</v>
      </c>
      <c r="D584" s="2" t="s">
        <v>373</v>
      </c>
      <c r="E584" s="2" t="s">
        <v>31</v>
      </c>
      <c r="F584" s="2" t="s">
        <v>15</v>
      </c>
      <c r="G584" s="2" t="s">
        <v>98</v>
      </c>
      <c r="H584" s="2" t="s">
        <v>17</v>
      </c>
      <c r="I584" s="3" t="str">
        <f>IFERROR(__xludf.DUMMYFUNCTION("GOOGLETRANSLATE(C584,""fr"",""en"")"),"Hello, In view of the comments I am surprised by the negative opinions, I have been insured since 2018 without any reimbursement problems. The CEGEMA advisers or the ECG Assurances broker, always reachable and courteous of good advice. I am not remunerate"&amp;"d by an insurance company for giving an opinion, I am an individual lambda. The problems between insurance and customers have always existed whatever the companies and will always exist. The regulations allow you to change, if you are not happy then you c"&amp;"hange without further delay. Good luck")</f>
        <v>Hello, In view of the comments I am surprised by the negative opinions, I have been insured since 2018 without any reimbursement problems. The CEGEMA advisers or the ECG Assurances broker, always reachable and courteous of good advice. I am not remunerated by an insurance company for giving an opinion, I am an individual lambda. The problems between insurance and customers have always existed whatever the companies and will always exist. The regulations allow you to change, if you are not happy then you change without further delay. Good luck</v>
      </c>
    </row>
    <row r="585" ht="15.75" customHeight="1">
      <c r="A585" s="2">
        <v>1.0</v>
      </c>
      <c r="B585" s="2" t="s">
        <v>1693</v>
      </c>
      <c r="C585" s="2" t="s">
        <v>1694</v>
      </c>
      <c r="D585" s="2" t="s">
        <v>502</v>
      </c>
      <c r="E585" s="2" t="s">
        <v>25</v>
      </c>
      <c r="F585" s="2" t="s">
        <v>15</v>
      </c>
      <c r="G585" s="2" t="s">
        <v>1695</v>
      </c>
      <c r="H585" s="2" t="s">
        <v>172</v>
      </c>
      <c r="I585" s="3" t="str">
        <f>IFERROR(__xludf.DUMMYFUNCTION("GOOGLETRANSLATE(C585,""fr"",""en"")"),"Professional journey insurance invoiced € 70 per month.
Response from the Mutuelle des Motards: invoicing depends on use.
I have changed my insurance since April 1, it is impossible for me to reach the mutual of bikers to have an updated information"&amp;" statement which was not sent to me.
At least ten calls in the week at various times, always on an answering machine.
Impossible to obtain an information statement on the website, response from the personal space: ""Contact customer service at 04 ......"&amp;""".
I pay 80 € per month for equivalent services ...
Insurance to flee for me.
")</f>
        <v>Professional journey insurance invoiced € 70 per month.
Response from the Mutuelle des Motards: invoicing depends on use.
I have changed my insurance since April 1, it is impossible for me to reach the mutual of bikers to have an updated information statement which was not sent to me.
At least ten calls in the week at various times, always on an answering machine.
Impossible to obtain an information statement on the website, response from the personal space: "Contact customer service at 04 ......".
I pay 80 € per month for equivalent services ...
Insurance to flee for me.
</v>
      </c>
    </row>
    <row r="586" ht="15.75" customHeight="1">
      <c r="A586" s="2">
        <v>1.0</v>
      </c>
      <c r="B586" s="2" t="s">
        <v>1696</v>
      </c>
      <c r="C586" s="2" t="s">
        <v>1697</v>
      </c>
      <c r="D586" s="2" t="s">
        <v>307</v>
      </c>
      <c r="E586" s="2" t="s">
        <v>31</v>
      </c>
      <c r="F586" s="2" t="s">
        <v>15</v>
      </c>
      <c r="G586" s="2" t="s">
        <v>1234</v>
      </c>
      <c r="H586" s="2" t="s">
        <v>40</v>
      </c>
      <c r="I586" s="3" t="str">
        <f>IFERROR(__xludf.DUMMYFUNCTION("GOOGLETRANSLATE(C586,""fr"",""en"")"),"Mutual that only exists on paper because it is impossible to reach them by all the NUMs available and mail or by mail never had an answer and by calling some numbers a person picks up and is stressed to swing you on the platform that you already know by H"&amp;"eart SAV worse than bad damage that there was not a 0 star box because I would have put it on I specify that I am at home because mutual company.")</f>
        <v>Mutual that only exists on paper because it is impossible to reach them by all the NUMs available and mail or by mail never had an answer and by calling some numbers a person picks up and is stressed to swing you on the platform that you already know by Heart SAV worse than bad damage that there was not a 0 star box because I would have put it on I specify that I am at home because mutual company.</v>
      </c>
    </row>
    <row r="587" ht="15.75" customHeight="1">
      <c r="A587" s="2">
        <v>4.0</v>
      </c>
      <c r="B587" s="2" t="s">
        <v>1698</v>
      </c>
      <c r="C587" s="2" t="s">
        <v>1699</v>
      </c>
      <c r="D587" s="2" t="s">
        <v>13</v>
      </c>
      <c r="E587" s="2" t="s">
        <v>14</v>
      </c>
      <c r="F587" s="2" t="s">
        <v>15</v>
      </c>
      <c r="G587" s="2" t="s">
        <v>234</v>
      </c>
      <c r="H587" s="2" t="s">
        <v>72</v>
      </c>
      <c r="I587" s="3" t="str">
        <f>IFERROR(__xludf.DUMMYFUNCTION("GOOGLETRANSLATE(C587,""fr"",""en"")"),"The prices suit me nevertheless I find that the first payment including the case costs is high and encourages a little too much to the subscription of the contract for my taste.")</f>
        <v>The prices suit me nevertheless I find that the first payment including the case costs is high and encourages a little too much to the subscription of the contract for my taste.</v>
      </c>
    </row>
    <row r="588" ht="15.75" customHeight="1">
      <c r="A588" s="2">
        <v>5.0</v>
      </c>
      <c r="B588" s="2" t="s">
        <v>1700</v>
      </c>
      <c r="C588" s="2" t="s">
        <v>1701</v>
      </c>
      <c r="D588" s="2" t="s">
        <v>20</v>
      </c>
      <c r="E588" s="2" t="s">
        <v>14</v>
      </c>
      <c r="F588" s="2" t="s">
        <v>15</v>
      </c>
      <c r="G588" s="2" t="s">
        <v>1384</v>
      </c>
      <c r="H588" s="2" t="s">
        <v>149</v>
      </c>
      <c r="I588" s="3" t="str">
        <f>IFERROR(__xludf.DUMMYFUNCTION("GOOGLETRANSLATE(C588,""fr"",""en"")"),"I am satisfied with the Direct Insurance services. Fast, available and very understanding.
Always listening and available for all advice")</f>
        <v>I am satisfied with the Direct Insurance services. Fast, available and very understanding.
Always listening and available for all advice</v>
      </c>
    </row>
    <row r="589" ht="15.75" customHeight="1">
      <c r="A589" s="2">
        <v>5.0</v>
      </c>
      <c r="B589" s="2" t="s">
        <v>1702</v>
      </c>
      <c r="C589" s="2" t="s">
        <v>1703</v>
      </c>
      <c r="D589" s="2" t="s">
        <v>20</v>
      </c>
      <c r="E589" s="2" t="s">
        <v>14</v>
      </c>
      <c r="F589" s="2" t="s">
        <v>15</v>
      </c>
      <c r="G589" s="2" t="s">
        <v>735</v>
      </c>
      <c r="H589" s="2" t="s">
        <v>27</v>
      </c>
      <c r="I589" s="3" t="str">
        <f>IFERROR(__xludf.DUMMYFUNCTION("GOOGLETRANSLATE(C589,""fr"",""en"")"),"Very satisfied with your online services simple and fast with coherent prices and options that adapts to Chaqun. I advise direct insurance. Thank you
")</f>
        <v>Very satisfied with your online services simple and fast with coherent prices and options that adapts to Chaqun. I advise direct insurance. Thank you
</v>
      </c>
    </row>
    <row r="590" ht="15.75" customHeight="1">
      <c r="A590" s="2">
        <v>3.0</v>
      </c>
      <c r="B590" s="2" t="s">
        <v>1704</v>
      </c>
      <c r="C590" s="2" t="s">
        <v>1705</v>
      </c>
      <c r="D590" s="2" t="s">
        <v>66</v>
      </c>
      <c r="E590" s="2" t="s">
        <v>14</v>
      </c>
      <c r="F590" s="2" t="s">
        <v>15</v>
      </c>
      <c r="G590" s="2" t="s">
        <v>1312</v>
      </c>
      <c r="H590" s="2" t="s">
        <v>156</v>
      </c>
      <c r="I590" s="3" t="str">
        <f>IFERROR(__xludf.DUMMYFUNCTION("GOOGLETRANSLATE(C590,""fr"",""en"")"),"I have been a customer at Eurofil for twenty years I have the maximum bonus for more than 20 years I am assured for 3 contracts I have just made a simulation on the internet by passing me for a new customer with the same criteria as me And surprise 70 € l"&amp;"ess. I think I'm going to see elsewhere")</f>
        <v>I have been a customer at Eurofil for twenty years I have the maximum bonus for more than 20 years I am assured for 3 contracts I have just made a simulation on the internet by passing me for a new customer with the same criteria as me And surprise 70 € less. I think I'm going to see elsewhere</v>
      </c>
    </row>
    <row r="591" ht="15.75" customHeight="1">
      <c r="A591" s="2">
        <v>1.0</v>
      </c>
      <c r="B591" s="2" t="s">
        <v>1706</v>
      </c>
      <c r="C591" s="2" t="s">
        <v>1707</v>
      </c>
      <c r="D591" s="2" t="s">
        <v>61</v>
      </c>
      <c r="E591" s="2" t="s">
        <v>14</v>
      </c>
      <c r="F591" s="2" t="s">
        <v>15</v>
      </c>
      <c r="G591" s="2" t="s">
        <v>681</v>
      </c>
      <c r="H591" s="2" t="s">
        <v>535</v>
      </c>
      <c r="I591" s="3" t="str">
        <f>IFERROR(__xludf.DUMMYFUNCTION("GOOGLETRANSLATE(C591,""fr"",""en"")"),"Despite an aging vehicle which loses its value. Despite the fact that I have no accident. Despite the fact that I have been a good driver for several years. Despite the fact that I run less and less and especially in this year 2020 of health and economic "&amp;"crisis. Maaf and its local agency do not lower its subscription. Maaf and its local agency is not attentive to the customer.")</f>
        <v>Despite an aging vehicle which loses its value. Despite the fact that I have no accident. Despite the fact that I have been a good driver for several years. Despite the fact that I run less and less and especially in this year 2020 of health and economic crisis. Maaf and its local agency do not lower its subscription. Maaf and its local agency is not attentive to the customer.</v>
      </c>
    </row>
    <row r="592" ht="15.75" customHeight="1">
      <c r="A592" s="2">
        <v>2.0</v>
      </c>
      <c r="B592" s="2" t="s">
        <v>1708</v>
      </c>
      <c r="C592" s="2" t="s">
        <v>1709</v>
      </c>
      <c r="D592" s="2" t="s">
        <v>20</v>
      </c>
      <c r="E592" s="2" t="s">
        <v>14</v>
      </c>
      <c r="F592" s="2" t="s">
        <v>15</v>
      </c>
      <c r="G592" s="2" t="s">
        <v>1710</v>
      </c>
      <c r="H592" s="2" t="s">
        <v>27</v>
      </c>
      <c r="I592" s="3" t="str">
        <f>IFERROR(__xludf.DUMMYFUNCTION("GOOGLETRANSLATE(C592,""fr"",""en"")"),"Very good quality price it's not too bad thank you is at your value for money in view of being all long that I am insured thank you")</f>
        <v>Very good quality price it's not too bad thank you is at your value for money in view of being all long that I am insured thank you</v>
      </c>
    </row>
    <row r="593" ht="15.75" customHeight="1">
      <c r="A593" s="2">
        <v>1.0</v>
      </c>
      <c r="B593" s="2" t="s">
        <v>1711</v>
      </c>
      <c r="C593" s="2" t="s">
        <v>1712</v>
      </c>
      <c r="D593" s="2" t="s">
        <v>117</v>
      </c>
      <c r="E593" s="2" t="s">
        <v>107</v>
      </c>
      <c r="F593" s="2" t="s">
        <v>15</v>
      </c>
      <c r="G593" s="2" t="s">
        <v>1713</v>
      </c>
      <c r="H593" s="2" t="s">
        <v>528</v>
      </c>
      <c r="I593" s="3" t="str">
        <f>IFERROR(__xludf.DUMMYFUNCTION("GOOGLETRANSLATE(C593,""fr"",""en"")"),"Insurance incomplete, impossible to terminate with them because they send you the notice of renewal anniversary 1 month before when you have to terminate 2 months before. In addition they do not even know how to follow an address. To increase the price of"&amp;" insurance or a formal notice they find the right address but for an information statement they are wrong. RUN AWAY!!!")</f>
        <v>Insurance incomplete, impossible to terminate with them because they send you the notice of renewal anniversary 1 month before when you have to terminate 2 months before. In addition they do not even know how to follow an address. To increase the price of insurance or a formal notice they find the right address but for an information statement they are wrong. RUN AWAY!!!</v>
      </c>
    </row>
    <row r="594" ht="15.75" customHeight="1">
      <c r="A594" s="2">
        <v>5.0</v>
      </c>
      <c r="B594" s="2" t="s">
        <v>1714</v>
      </c>
      <c r="C594" s="2" t="s">
        <v>1715</v>
      </c>
      <c r="D594" s="2" t="s">
        <v>101</v>
      </c>
      <c r="E594" s="2" t="s">
        <v>31</v>
      </c>
      <c r="F594" s="2" t="s">
        <v>15</v>
      </c>
      <c r="G594" s="2" t="s">
        <v>1716</v>
      </c>
      <c r="H594" s="2" t="s">
        <v>313</v>
      </c>
      <c r="I594" s="3" t="str">
        <f>IFERROR(__xludf.DUMMYFUNCTION("GOOGLETRANSLATE(C594,""fr"",""en"")"),"Pleasant picker and good listening professional. Serious attractive price and answering machine quickly")</f>
        <v>Pleasant picker and good listening professional. Serious attractive price and answering machine quickly</v>
      </c>
    </row>
    <row r="595" ht="15.75" customHeight="1">
      <c r="A595" s="2">
        <v>5.0</v>
      </c>
      <c r="B595" s="2" t="s">
        <v>1717</v>
      </c>
      <c r="C595" s="2" t="s">
        <v>1718</v>
      </c>
      <c r="D595" s="2" t="s">
        <v>80</v>
      </c>
      <c r="E595" s="2" t="s">
        <v>25</v>
      </c>
      <c r="F595" s="2" t="s">
        <v>15</v>
      </c>
      <c r="G595" s="2" t="s">
        <v>545</v>
      </c>
      <c r="H595" s="2" t="s">
        <v>72</v>
      </c>
      <c r="I595" s="3" t="str">
        <f>IFERROR(__xludf.DUMMYFUNCTION("GOOGLETRANSLATE(C595,""fr"",""en"")"),"From the quote to the subscription The procedures are fast and simple
I find the subscription online fast and simple.
The prices charged are very uninteresting")</f>
        <v>From the quote to the subscription The procedures are fast and simple
I find the subscription online fast and simple.
The prices charged are very uninteresting</v>
      </c>
    </row>
    <row r="596" ht="15.75" customHeight="1">
      <c r="A596" s="2">
        <v>4.0</v>
      </c>
      <c r="B596" s="2" t="s">
        <v>1719</v>
      </c>
      <c r="C596" s="2" t="s">
        <v>1720</v>
      </c>
      <c r="D596" s="2" t="s">
        <v>469</v>
      </c>
      <c r="E596" s="2" t="s">
        <v>285</v>
      </c>
      <c r="F596" s="2" t="s">
        <v>15</v>
      </c>
      <c r="G596" s="2" t="s">
        <v>1721</v>
      </c>
      <c r="H596" s="2" t="s">
        <v>125</v>
      </c>
      <c r="I596" s="3" t="str">
        <f>IFERROR(__xludf.DUMMYFUNCTION("GOOGLETRANSLATE(C596,""fr"",""en"")"),"Like any investments it is not trading, you have to be patient and make the necessary arbitrations at the right time.
(34% out of 10 years) it's better than booklet A,
In addition we can request advances in difficult cases (refundable of course)")</f>
        <v>Like any investments it is not trading, you have to be patient and make the necessary arbitrations at the right time.
(34% out of 10 years) it's better than booklet A,
In addition we can request advances in difficult cases (refundable of course)</v>
      </c>
    </row>
    <row r="597" ht="15.75" customHeight="1">
      <c r="A597" s="2">
        <v>1.0</v>
      </c>
      <c r="B597" s="2" t="s">
        <v>1722</v>
      </c>
      <c r="C597" s="2" t="s">
        <v>1723</v>
      </c>
      <c r="D597" s="2" t="s">
        <v>61</v>
      </c>
      <c r="E597" s="2" t="s">
        <v>14</v>
      </c>
      <c r="F597" s="2" t="s">
        <v>15</v>
      </c>
      <c r="G597" s="2" t="s">
        <v>1724</v>
      </c>
      <c r="H597" s="2" t="s">
        <v>93</v>
      </c>
      <c r="I597" s="3" t="str">
        <f>IFERROR(__xludf.DUMMYFUNCTION("GOOGLETRANSLATE(C597,""fr"",""en"")"),"Maaf client with bonus 50 +3, I had an accident, arrested to give way. The opposing vehicle made a gap and struck me. MAAF said to me 100% responsible despite my explanations, and photos that show my car respected the passage. My car is old therefore I im"&amp;"agine that it is not worth the blow for them to defend their client ... In addition, they are impossible to reach: advisor in agency only make sale, and on the phone we cannot Not pass the person in charge of the file. Impossible to have a frank and direc"&amp;"t explanation, the customer is just good to pay his contributions, for the rest, Maaf has had us!")</f>
        <v>Maaf client with bonus 50 +3, I had an accident, arrested to give way. The opposing vehicle made a gap and struck me. MAAF said to me 100% responsible despite my explanations, and photos that show my car respected the passage. My car is old therefore I imagine that it is not worth the blow for them to defend their client ... In addition, they are impossible to reach: advisor in agency only make sale, and on the phone we cannot Not pass the person in charge of the file. Impossible to have a frank and direct explanation, the customer is just good to pay his contributions, for the rest, Maaf has had us!</v>
      </c>
    </row>
    <row r="598" ht="15.75" customHeight="1">
      <c r="A598" s="2">
        <v>1.0</v>
      </c>
      <c r="B598" s="2" t="s">
        <v>1725</v>
      </c>
      <c r="C598" s="2" t="s">
        <v>1726</v>
      </c>
      <c r="D598" s="2" t="s">
        <v>106</v>
      </c>
      <c r="E598" s="2" t="s">
        <v>107</v>
      </c>
      <c r="F598" s="2" t="s">
        <v>15</v>
      </c>
      <c r="G598" s="2" t="s">
        <v>1727</v>
      </c>
      <c r="H598" s="2" t="s">
        <v>33</v>
      </c>
      <c r="I598" s="3" t="str">
        <f>IFERROR(__xludf.DUMMYFUNCTION("GOOGLETRANSLATE(C598,""fr"",""en"")"),"Hello,
Insurer to flee! I was on sick leave outside the mission from 15/03 to 23/07/2020. I was paid from 15/03 to 15/05 at the beginning of June after having fought being sick and from 15/05 to 28/05 only last week! He still owes me practically 2 mont"&amp;"hs when I never call the same answer and arrogant people when they are asked questions never the same period 15 days, 3 months, and I am spilled by telling me that they no longer find my Certifications of payments when I sent them as soon as I had them fr"&amp;"om the SS, some people tell me to have received them and I remind two days after I was told that they did not receive them. I am in need! I hope you will understand my distress ...
Cdt,
")</f>
        <v>Hello,
Insurer to flee! I was on sick leave outside the mission from 15/03 to 23/07/2020. I was paid from 15/03 to 15/05 at the beginning of June after having fought being sick and from 15/05 to 28/05 only last week! He still owes me practically 2 months when I never call the same answer and arrogant people when they are asked questions never the same period 15 days, 3 months, and I am spilled by telling me that they no longer find my Certifications of payments when I sent them as soon as I had them from the SS, some people tell me to have received them and I remind two days after I was told that they did not receive them. I am in need! I hope you will understand my distress ...
Cdt,
</v>
      </c>
    </row>
    <row r="599" ht="15.75" customHeight="1">
      <c r="A599" s="2">
        <v>4.0</v>
      </c>
      <c r="B599" s="2" t="s">
        <v>1728</v>
      </c>
      <c r="C599" s="2" t="s">
        <v>1729</v>
      </c>
      <c r="D599" s="2" t="s">
        <v>13</v>
      </c>
      <c r="E599" s="2" t="s">
        <v>14</v>
      </c>
      <c r="F599" s="2" t="s">
        <v>15</v>
      </c>
      <c r="G599" s="2" t="s">
        <v>477</v>
      </c>
      <c r="H599" s="2" t="s">
        <v>477</v>
      </c>
      <c r="I599" s="3" t="str">
        <f>IFERROR(__xludf.DUMMYFUNCTION("GOOGLETRANSLATE(C599,""fr"",""en"")"),"By making price comparisons, I came across the olive tree. Not only are prices competitive, but customer service is at the top. I had a problem of understanding with my old insurance on the date of the deadline for my contract, and if they did not find a "&amp;"solution, the olive tree immediately solved the problem to avoid paying me Several monthly payments at the same time. I have not yet had a claim so I cannot judge this point there (and I hope I don't have to judge him) but in view of what I noticed, it se"&amp;"ems very serious insurance")</f>
        <v>By making price comparisons, I came across the olive tree. Not only are prices competitive, but customer service is at the top. I had a problem of understanding with my old insurance on the date of the deadline for my contract, and if they did not find a solution, the olive tree immediately solved the problem to avoid paying me Several monthly payments at the same time. I have not yet had a claim so I cannot judge this point there (and I hope I don't have to judge him) but in view of what I noticed, it seems very serious insurance</v>
      </c>
    </row>
    <row r="600" ht="15.75" customHeight="1">
      <c r="A600" s="2">
        <v>5.0</v>
      </c>
      <c r="B600" s="2" t="s">
        <v>1730</v>
      </c>
      <c r="C600" s="2" t="s">
        <v>1731</v>
      </c>
      <c r="D600" s="2" t="s">
        <v>80</v>
      </c>
      <c r="E600" s="2" t="s">
        <v>25</v>
      </c>
      <c r="F600" s="2" t="s">
        <v>15</v>
      </c>
      <c r="G600" s="2" t="s">
        <v>1732</v>
      </c>
      <c r="H600" s="2" t="s">
        <v>125</v>
      </c>
      <c r="I600" s="3" t="str">
        <f>IFERROR(__xludf.DUMMYFUNCTION("GOOGLETRANSLATE(C600,""fr"",""en"")"),"I am satisfied for the assistance of the assistance of Vourtre Share thank you for the antacion of the voutre part this nikel this motorcycle insurance I advise this insurance")</f>
        <v>I am satisfied for the assistance of the assistance of Vourtre Share thank you for the antacion of the voutre part this nikel this motorcycle insurance I advise this insurance</v>
      </c>
    </row>
    <row r="601" ht="15.75" customHeight="1">
      <c r="A601" s="2">
        <v>5.0</v>
      </c>
      <c r="B601" s="2" t="s">
        <v>1733</v>
      </c>
      <c r="C601" s="2" t="s">
        <v>1734</v>
      </c>
      <c r="D601" s="2" t="s">
        <v>13</v>
      </c>
      <c r="E601" s="2" t="s">
        <v>14</v>
      </c>
      <c r="F601" s="2" t="s">
        <v>15</v>
      </c>
      <c r="G601" s="2" t="s">
        <v>545</v>
      </c>
      <c r="H601" s="2" t="s">
        <v>72</v>
      </c>
      <c r="I601" s="3" t="str">
        <f>IFERROR(__xludf.DUMMYFUNCTION("GOOGLETRANSLATE(C601,""fr"",""en"")"),"At the top thank you very much very attractive price and the way of proceeding is very intuitive. I will recommend my daughter this insurance compared to others there is no photo")</f>
        <v>At the top thank you very much very attractive price and the way of proceeding is very intuitive. I will recommend my daughter this insurance compared to others there is no photo</v>
      </c>
    </row>
    <row r="602" ht="15.75" customHeight="1">
      <c r="A602" s="2">
        <v>1.0</v>
      </c>
      <c r="B602" s="2" t="s">
        <v>1735</v>
      </c>
      <c r="C602" s="2" t="s">
        <v>1736</v>
      </c>
      <c r="D602" s="2" t="s">
        <v>43</v>
      </c>
      <c r="E602" s="2" t="s">
        <v>14</v>
      </c>
      <c r="F602" s="2" t="s">
        <v>15</v>
      </c>
      <c r="G602" s="2" t="s">
        <v>308</v>
      </c>
      <c r="H602" s="2" t="s">
        <v>309</v>
      </c>
      <c r="I602" s="3" t="str">
        <f>IFERROR(__xludf.DUMMYFUNCTION("GOOGLETRANSLATE(C602,""fr"",""en"")"),"The worst insurance !! After having a disaster (a panel from a petrol station falls on my car), I contact my insurance. She tells me that the disaster cannot be taken care of. I am almost suffocating (I am assured of any risk - excellence). After 2 letter"&amp;"s, I finally get the acceptance of the Macif to have my vehicle assembled. I go to the appointment at the garage, impossible to park, no room, I go around in circles for 20 minutes. It is 8:45 am. The garage refuses to take the car to me because the exper"&amp;"t has passed and tells me that it is too bad for me because I should have park my vehicle in warning (and the plum, was it ready to pay me?) . I contact the Macif. My interlocutor said to me ""Yes and what do you want me to do?"" I am taken aback! ""What "&amp;"is the point of being insured at home if you can't do anything."" Hang on, here is my interlocutor's response: ""But customers like you don't want the Macif"". I am really frustrated and angry with such an answer when I pay € 114/€ 148 every month. I am a"&amp;"ll the more angry as customer service is not at the appointment. Anger also fueled by the waste of time and energy that it generates, to obtain a frustrating response providing a solution and lacking in benevolence")</f>
        <v>The worst insurance !! After having a disaster (a panel from a petrol station falls on my car), I contact my insurance. She tells me that the disaster cannot be taken care of. I am almost suffocating (I am assured of any risk - excellence). After 2 letters, I finally get the acceptance of the Macif to have my vehicle assembled. I go to the appointment at the garage, impossible to park, no room, I go around in circles for 20 minutes. It is 8:45 am. The garage refuses to take the car to me because the expert has passed and tells me that it is too bad for me because I should have park my vehicle in warning (and the plum, was it ready to pay me?) . I contact the Macif. My interlocutor said to me "Yes and what do you want me to do?" I am taken aback! "What is the point of being insured at home if you can't do anything." Hang on, here is my interlocutor's response: "But customers like you don't want the Macif". I am really frustrated and angry with such an answer when I pay € 114/€ 148 every month. I am all the more angry as customer service is not at the appointment. Anger also fueled by the waste of time and energy that it generates, to obtain a frustrating response providing a solution and lacking in benevolence</v>
      </c>
    </row>
    <row r="603" ht="15.75" customHeight="1">
      <c r="A603" s="2">
        <v>4.0</v>
      </c>
      <c r="B603" s="2" t="s">
        <v>1737</v>
      </c>
      <c r="C603" s="2" t="s">
        <v>1738</v>
      </c>
      <c r="D603" s="2" t="s">
        <v>20</v>
      </c>
      <c r="E603" s="2" t="s">
        <v>14</v>
      </c>
      <c r="F603" s="2" t="s">
        <v>15</v>
      </c>
      <c r="G603" s="2" t="s">
        <v>179</v>
      </c>
      <c r="H603" s="2" t="s">
        <v>149</v>
      </c>
      <c r="I603" s="3" t="str">
        <f>IFERROR(__xludf.DUMMYFUNCTION("GOOGLETRANSLATE(C603,""fr"",""en"")"),"Satisfied, price offered slightly high when we take into account the fidelity + the upcoming opening of a 2nd contract. Competing quotes have been requested.")</f>
        <v>Satisfied, price offered slightly high when we take into account the fidelity + the upcoming opening of a 2nd contract. Competing quotes have been requested.</v>
      </c>
    </row>
    <row r="604" ht="15.75" customHeight="1">
      <c r="A604" s="2">
        <v>1.0</v>
      </c>
      <c r="B604" s="2" t="s">
        <v>1739</v>
      </c>
      <c r="C604" s="2" t="s">
        <v>1740</v>
      </c>
      <c r="D604" s="2" t="s">
        <v>1105</v>
      </c>
      <c r="E604" s="2" t="s">
        <v>107</v>
      </c>
      <c r="F604" s="2" t="s">
        <v>15</v>
      </c>
      <c r="G604" s="2" t="s">
        <v>940</v>
      </c>
      <c r="H604" s="2" t="s">
        <v>72</v>
      </c>
      <c r="I604" s="3" t="str">
        <f>IFERROR(__xludf.DUMMYFUNCTION("GOOGLETRANSLATE(C604,""fr"",""en"")"),"Hello,
My wife unfortunately died several months ago now, the procedures for the provident file are unacceptable. Treatment length, impossibility of having an online person ...
I find myself alone with my children, and financially it becomes really comp"&amp;"licated, knowing that we had everything planned with my wife so that, in the event of the death of one or the other, the family was protected.
I find their attitude inhuman !!!!!
")</f>
        <v>Hello,
My wife unfortunately died several months ago now, the procedures for the provident file are unacceptable. Treatment length, impossibility of having an online person ...
I find myself alone with my children, and financially it becomes really complicated, knowing that we had everything planned with my wife so that, in the event of the death of one or the other, the family was protected.
I find their attitude inhuman !!!!!
</v>
      </c>
    </row>
    <row r="605" ht="15.75" customHeight="1">
      <c r="A605" s="2">
        <v>3.0</v>
      </c>
      <c r="B605" s="2" t="s">
        <v>1741</v>
      </c>
      <c r="C605" s="2" t="s">
        <v>1742</v>
      </c>
      <c r="D605" s="2" t="s">
        <v>13</v>
      </c>
      <c r="E605" s="2" t="s">
        <v>14</v>
      </c>
      <c r="F605" s="2" t="s">
        <v>15</v>
      </c>
      <c r="G605" s="2" t="s">
        <v>1581</v>
      </c>
      <c r="H605" s="2" t="s">
        <v>17</v>
      </c>
      <c r="I605" s="3" t="str">
        <f>IFERROR(__xludf.DUMMYFUNCTION("GOOGLETRANSLATE(C605,""fr"",""en"")"),"The price is affordable, the Internet recording is very very simple now you have to see when you have a problem if you are responding. Thank you")</f>
        <v>The price is affordable, the Internet recording is very very simple now you have to see when you have a problem if you are responding. Thank you</v>
      </c>
    </row>
    <row r="606" ht="15.75" customHeight="1">
      <c r="A606" s="2">
        <v>2.0</v>
      </c>
      <c r="B606" s="2" t="s">
        <v>1743</v>
      </c>
      <c r="C606" s="2" t="s">
        <v>1744</v>
      </c>
      <c r="D606" s="2" t="s">
        <v>20</v>
      </c>
      <c r="E606" s="2" t="s">
        <v>14</v>
      </c>
      <c r="F606" s="2" t="s">
        <v>15</v>
      </c>
      <c r="G606" s="2" t="s">
        <v>40</v>
      </c>
      <c r="H606" s="2" t="s">
        <v>40</v>
      </c>
      <c r="I606" s="3" t="str">
        <f>IFERROR(__xludf.DUMMYFUNCTION("GOOGLETRANSLATE(C606,""fr"",""en"")"),"Direct Insurance is not very good insurance .. what interests them is the money taken from your account ... Ales advisers are only machines to answer what is written on their computer. When you Pose a problem, this is an automatic response .. nothing conc"&amp;"rete and serious in this insurance ... I do not recommend any direct insurance")</f>
        <v>Direct Insurance is not very good insurance .. what interests them is the money taken from your account ... Ales advisers are only machines to answer what is written on their computer. When you Pose a problem, this is an automatic response .. nothing concrete and serious in this insurance ... I do not recommend any direct insurance</v>
      </c>
    </row>
    <row r="607" ht="15.75" customHeight="1">
      <c r="A607" s="2">
        <v>3.0</v>
      </c>
      <c r="B607" s="2" t="s">
        <v>1745</v>
      </c>
      <c r="C607" s="2" t="s">
        <v>1746</v>
      </c>
      <c r="D607" s="2" t="s">
        <v>13</v>
      </c>
      <c r="E607" s="2" t="s">
        <v>14</v>
      </c>
      <c r="F607" s="2" t="s">
        <v>15</v>
      </c>
      <c r="G607" s="2" t="s">
        <v>558</v>
      </c>
      <c r="H607" s="2" t="s">
        <v>133</v>
      </c>
      <c r="I607" s="3" t="str">
        <f>IFERROR(__xludf.DUMMYFUNCTION("GOOGLETRANSLATE(C607,""fr"",""en"")"),"Good responsiveness of advisers.
Price of reasonable contributions compared to competing companies for the same services.
Facilities and simplicity for new members.")</f>
        <v>Good responsiveness of advisers.
Price of reasonable contributions compared to competing companies for the same services.
Facilities and simplicity for new members.</v>
      </c>
    </row>
    <row r="608" ht="15.75" customHeight="1">
      <c r="A608" s="2">
        <v>1.0</v>
      </c>
      <c r="B608" s="2" t="s">
        <v>1747</v>
      </c>
      <c r="C608" s="2" t="s">
        <v>1748</v>
      </c>
      <c r="D608" s="2" t="s">
        <v>20</v>
      </c>
      <c r="E608" s="2" t="s">
        <v>14</v>
      </c>
      <c r="F608" s="2" t="s">
        <v>15</v>
      </c>
      <c r="G608" s="2" t="s">
        <v>809</v>
      </c>
      <c r="H608" s="2" t="s">
        <v>58</v>
      </c>
      <c r="I608" s="3" t="str">
        <f>IFERROR(__xludf.DUMMYFUNCTION("GOOGLETRANSLATE(C608,""fr"",""en"")"),"Be careful in the event of a claim, do not expect to be taken care of quickly !!!!!!
I got caught in a parking lot on 06/20. Extension out of use (pierced radiator) and taken to a ""direct insurance"" garage on 06/21.
Passage of the expert on 06/28 and "&amp;"delivery of his report to the garage on 06/30, unlike the promises of Direct Insurance of an expert report within 48 hours !!!
Today without news, I contact this ""approved"" garage which tells me that he will order the parts on 08/07 and that he will re"&amp;"turn the repaired vehicle around 22 or 23/07 !!!!!!!! !!!!
Or a month of waiting without a vehicle and a deductible to pay for 431 euros for a non -responsible disaster !!!!!!!!
")</f>
        <v>Be careful in the event of a claim, do not expect to be taken care of quickly !!!!!!
I got caught in a parking lot on 06/20. Extension out of use (pierced radiator) and taken to a "direct insurance" garage on 06/21.
Passage of the expert on 06/28 and delivery of his report to the garage on 06/30, unlike the promises of Direct Insurance of an expert report within 48 hours !!!
Today without news, I contact this "approved" garage which tells me that he will order the parts on 08/07 and that he will return the repaired vehicle around 22 or 23/07 !!!!!!!! !!!!
Or a month of waiting without a vehicle and a deductible to pay for 431 euros for a non -responsible disaster !!!!!!!!
</v>
      </c>
    </row>
    <row r="609" ht="15.75" customHeight="1">
      <c r="A609" s="2">
        <v>5.0</v>
      </c>
      <c r="B609" s="2" t="s">
        <v>1749</v>
      </c>
      <c r="C609" s="2" t="s">
        <v>1750</v>
      </c>
      <c r="D609" s="2" t="s">
        <v>24</v>
      </c>
      <c r="E609" s="2" t="s">
        <v>25</v>
      </c>
      <c r="F609" s="2" t="s">
        <v>15</v>
      </c>
      <c r="G609" s="2" t="s">
        <v>36</v>
      </c>
      <c r="H609" s="2" t="s">
        <v>27</v>
      </c>
      <c r="I609" s="3" t="str">
        <f>IFERROR(__xludf.DUMMYFUNCTION("GOOGLETRANSLATE(C609,""fr"",""en"")"),"I am satisfied with this subscription and especially in relation to the price which is very competitive. I recommend AMV to all my knowledge to ensure their 2 wheels")</f>
        <v>I am satisfied with this subscription and especially in relation to the price which is very competitive. I recommend AMV to all my knowledge to ensure their 2 wheels</v>
      </c>
    </row>
    <row r="610" ht="15.75" customHeight="1">
      <c r="A610" s="2">
        <v>4.0</v>
      </c>
      <c r="B610" s="2" t="s">
        <v>1751</v>
      </c>
      <c r="C610" s="2" t="s">
        <v>1752</v>
      </c>
      <c r="D610" s="2" t="s">
        <v>128</v>
      </c>
      <c r="E610" s="2" t="s">
        <v>97</v>
      </c>
      <c r="F610" s="2" t="s">
        <v>15</v>
      </c>
      <c r="G610" s="2" t="s">
        <v>974</v>
      </c>
      <c r="H610" s="2" t="s">
        <v>17</v>
      </c>
      <c r="I610" s="3" t="str">
        <f>IFERROR(__xludf.DUMMYFUNCTION("GOOGLETRANSLATE(C610,""fr"",""en"")"),"The prices suit me, the advisor is attentive and very professional.
The guarantees offered are online with my expectations.
To be confirmed in the coming months")</f>
        <v>The prices suit me, the advisor is attentive and very professional.
The guarantees offered are online with my expectations.
To be confirmed in the coming months</v>
      </c>
    </row>
    <row r="611" ht="15.75" customHeight="1">
      <c r="A611" s="2">
        <v>2.0</v>
      </c>
      <c r="B611" s="2" t="s">
        <v>1753</v>
      </c>
      <c r="C611" s="2" t="s">
        <v>1754</v>
      </c>
      <c r="D611" s="2" t="s">
        <v>20</v>
      </c>
      <c r="E611" s="2" t="s">
        <v>14</v>
      </c>
      <c r="F611" s="2" t="s">
        <v>15</v>
      </c>
      <c r="G611" s="2" t="s">
        <v>384</v>
      </c>
      <c r="H611" s="2" t="s">
        <v>133</v>
      </c>
      <c r="I611" s="3" t="str">
        <f>IFERROR(__xludf.DUMMYFUNCTION("GOOGLETRANSLATE(C611,""fr"",""en"")"),"Vignettes DenVoir Problem
problem on the names of civilities
problem of understanding
delay
You have to be faster
more attentive
and especially")</f>
        <v>Vignettes DenVoir Problem
problem on the names of civilities
problem of understanding
delay
You have to be faster
more attentive
and especially</v>
      </c>
    </row>
    <row r="612" ht="15.75" customHeight="1">
      <c r="A612" s="2">
        <v>1.0</v>
      </c>
      <c r="B612" s="2" t="s">
        <v>1755</v>
      </c>
      <c r="C612" s="2" t="s">
        <v>1756</v>
      </c>
      <c r="D612" s="2" t="s">
        <v>20</v>
      </c>
      <c r="E612" s="2" t="s">
        <v>14</v>
      </c>
      <c r="F612" s="2" t="s">
        <v>15</v>
      </c>
      <c r="G612" s="2" t="s">
        <v>299</v>
      </c>
      <c r="H612" s="2" t="s">
        <v>149</v>
      </c>
      <c r="I612" s="3" t="str">
        <f>IFERROR(__xludf.DUMMYFUNCTION("GOOGLETRANSLATE(C612,""fr"",""en"")"),"Not at all satisfied, the price exceeds the understanding: it's been 5 years I am with you with bonuses each year and each year my price increases, sorry and comparatively other insurance is regrettable ....... can do better")</f>
        <v>Not at all satisfied, the price exceeds the understanding: it's been 5 years I am with you with bonuses each year and each year my price increases, sorry and comparatively other insurance is regrettable ....... can do better</v>
      </c>
    </row>
    <row r="613" ht="15.75" customHeight="1">
      <c r="A613" s="2">
        <v>1.0</v>
      </c>
      <c r="B613" s="2" t="s">
        <v>1757</v>
      </c>
      <c r="C613" s="2" t="s">
        <v>1758</v>
      </c>
      <c r="D613" s="2" t="s">
        <v>513</v>
      </c>
      <c r="E613" s="2" t="s">
        <v>91</v>
      </c>
      <c r="F613" s="2" t="s">
        <v>15</v>
      </c>
      <c r="G613" s="2" t="s">
        <v>1759</v>
      </c>
      <c r="H613" s="2" t="s">
        <v>63</v>
      </c>
      <c r="I613" s="3" t="str">
        <f>IFERROR(__xludf.DUMMYFUNCTION("GOOGLETRANSLATE(C613,""fr"",""en"")"),"Having left this company since 12/2018 and despite many complaints they continue to take me home and vehicle I think I have to file a complaint for malhunétite from this company that I do not recommend to anyone especially do not try to reach them on the "&amp;"phone C is mission impossible.")</f>
        <v>Having left this company since 12/2018 and despite many complaints they continue to take me home and vehicle I think I have to file a complaint for malhunétite from this company that I do not recommend to anyone especially do not try to reach them on the phone C is mission impossible.</v>
      </c>
    </row>
    <row r="614" ht="15.75" customHeight="1">
      <c r="A614" s="2">
        <v>5.0</v>
      </c>
      <c r="B614" s="2" t="s">
        <v>1760</v>
      </c>
      <c r="C614" s="2" t="s">
        <v>1761</v>
      </c>
      <c r="D614" s="2" t="s">
        <v>80</v>
      </c>
      <c r="E614" s="2" t="s">
        <v>25</v>
      </c>
      <c r="F614" s="2" t="s">
        <v>15</v>
      </c>
      <c r="G614" s="2" t="s">
        <v>1414</v>
      </c>
      <c r="H614" s="2" t="s">
        <v>17</v>
      </c>
      <c r="I614" s="3" t="str">
        <f>IFERROR(__xludf.DUMMYFUNCTION("GOOGLETRANSLATE(C614,""fr"",""en"")"),"Very satisfied with the speed of information on the Internet
I hope that the very correct sound prices are owed to ensure a motorcycle")</f>
        <v>Very satisfied with the speed of information on the Internet
I hope that the very correct sound prices are owed to ensure a motorcycle</v>
      </c>
    </row>
    <row r="615" ht="15.75" customHeight="1">
      <c r="A615" s="2">
        <v>2.0</v>
      </c>
      <c r="B615" s="2" t="s">
        <v>1762</v>
      </c>
      <c r="C615" s="2" t="s">
        <v>1763</v>
      </c>
      <c r="D615" s="2" t="s">
        <v>112</v>
      </c>
      <c r="E615" s="2" t="s">
        <v>14</v>
      </c>
      <c r="F615" s="2" t="s">
        <v>15</v>
      </c>
      <c r="G615" s="2" t="s">
        <v>1764</v>
      </c>
      <c r="H615" s="2" t="s">
        <v>119</v>
      </c>
      <c r="I615" s="3" t="str">
        <f>IFERROR(__xludf.DUMMYFUNCTION("GOOGLETRANSLATE(C615,""fr"",""en"")"),"Is played out on their customers to take their money. Let me explain. I pay insurance for one year. I send all the paper requested and month after my insurance, he terminates me and reimburses me that part of my subscription. So a month with them cost me "&amp;"more than 150 euros. Why and well because my paper declaring on the honor that my vehicle was not insured with a competitor. Paper that it was the only insurer I saw asking myself. This paper was so -called poorly filled. Result termination with 150 euros"&amp;" in costs. And when I ask them if they can't reassure me the price as if by chance more than doubled. Why did not warn me that my paper was not in accordance with their requirement. Mystery. In short, a real waste of time and money and unreachable custome"&amp;"r service. To flee because even if everything is regaling their attitude on my case shows that they will do everything so as not to pay.")</f>
        <v>Is played out on their customers to take their money. Let me explain. I pay insurance for one year. I send all the paper requested and month after my insurance, he terminates me and reimburses me that part of my subscription. So a month with them cost me more than 150 euros. Why and well because my paper declaring on the honor that my vehicle was not insured with a competitor. Paper that it was the only insurer I saw asking myself. This paper was so -called poorly filled. Result termination with 150 euros in costs. And when I ask them if they can't reassure me the price as if by chance more than doubled. Why did not warn me that my paper was not in accordance with their requirement. Mystery. In short, a real waste of time and money and unreachable customer service. To flee because even if everything is regaling their attitude on my case shows that they will do everything so as not to pay.</v>
      </c>
    </row>
    <row r="616" ht="15.75" customHeight="1">
      <c r="A616" s="2">
        <v>5.0</v>
      </c>
      <c r="B616" s="2" t="s">
        <v>1765</v>
      </c>
      <c r="C616" s="2" t="s">
        <v>1766</v>
      </c>
      <c r="D616" s="2" t="s">
        <v>43</v>
      </c>
      <c r="E616" s="2" t="s">
        <v>14</v>
      </c>
      <c r="F616" s="2" t="s">
        <v>15</v>
      </c>
      <c r="G616" s="2" t="s">
        <v>1767</v>
      </c>
      <c r="H616" s="2" t="s">
        <v>54</v>
      </c>
      <c r="I616" s="3" t="str">
        <f>IFERROR(__xludf.DUMMYFUNCTION("GOOGLETRANSLATE(C616,""fr"",""en"")"),"I have been at the Macif since I was 17 and I am very satisfied Io really seek to help us in our listening")</f>
        <v>I have been at the Macif since I was 17 and I am very satisfied Io really seek to help us in our listening</v>
      </c>
    </row>
    <row r="617" ht="15.75" customHeight="1">
      <c r="A617" s="2">
        <v>1.0</v>
      </c>
      <c r="B617" s="2" t="s">
        <v>1768</v>
      </c>
      <c r="C617" s="2" t="s">
        <v>1769</v>
      </c>
      <c r="D617" s="2" t="s">
        <v>61</v>
      </c>
      <c r="E617" s="2" t="s">
        <v>14</v>
      </c>
      <c r="F617" s="2" t="s">
        <v>15</v>
      </c>
      <c r="G617" s="2" t="s">
        <v>299</v>
      </c>
      <c r="H617" s="2" t="s">
        <v>149</v>
      </c>
      <c r="I617" s="3" t="str">
        <f>IFERROR(__xludf.DUMMYFUNCTION("GOOGLETRANSLATE(C617,""fr"",""en"")"),"Hello
To pay the monthly payments, there is no worries and in the event of a claim !! Do you prepare to fight to be compensated !!! Today it is better to be well assured! The maaf to avoid absolutely !!!")</f>
        <v>Hello
To pay the monthly payments, there is no worries and in the event of a claim !! Do you prepare to fight to be compensated !!! Today it is better to be well assured! The maaf to avoid absolutely !!!</v>
      </c>
    </row>
    <row r="618" ht="15.75" customHeight="1">
      <c r="A618" s="2">
        <v>1.0</v>
      </c>
      <c r="B618" s="2" t="s">
        <v>1770</v>
      </c>
      <c r="C618" s="2" t="s">
        <v>1771</v>
      </c>
      <c r="D618" s="2" t="s">
        <v>75</v>
      </c>
      <c r="E618" s="2" t="s">
        <v>31</v>
      </c>
      <c r="F618" s="2" t="s">
        <v>15</v>
      </c>
      <c r="G618" s="2" t="s">
        <v>1032</v>
      </c>
      <c r="H618" s="2" t="s">
        <v>93</v>
      </c>
      <c r="I618" s="3" t="str">
        <f>IFERROR(__xludf.DUMMYFUNCTION("GOOGLETRANSLATE(C618,""fr"",""en"")"),"Hello,
By the present I want to share my great dissatisfaction with you with your services; As for the management of my refund requests.
In this case, dated 02/02/18 I sent you by email+mail a request for reimbursement concerning the orthodontics co"&amp;"sts to which I am exposed.
As a reminder of the facts I have in my possession a letter emanating from your services granting a reimbursement rate; following the quote that I sent you.
By a 1st letter, you inform me not to follow up on my, refund due to "&amp;"a breach ""of a non -reference code"" I will therefore see the professional having established the invoice so that a 2nd invoice will be sent to you with the impactful reference.
The professional offers me to get the 2nd invoice directly to save you time"&amp;".
However, dated 03/04/18 I receive a 2nd mail emanating from your services informing me that I could not follow up on my request for reimbursement because:
Specify date of the period !!!!! it is noted black on white the date I do not understand ????? !"&amp;"!!!
Coefficient to: This coefficient was communicated to you at the time of the quote you therefore have all the information your possession.
In addition I would like to point out to you that your contractual conditions are blurred and do not allow the "&amp;"member to be informed.
Indeed, at the section Refund request section to provide it is noted that the member must provide you with a detailed invoice without precisely specifying the said details; Which is contrary to law rules!
While a refund request wa"&amp;"s sent to you dated 02/02/18 during the 1st refusal you did not stipulate the other shortcomings which lead me to think that all kinds of apology may be sent to me without reimbursing me!
Finally, I sent you an invoice on 02/23/18 regarding the advanced "&amp;"costs of buying the compression stockings I sent you the invoice+prescription to date I have no refund or explanation!
")</f>
        <v>Hello,
By the present I want to share my great dissatisfaction with you with your services; As for the management of my refund requests.
In this case, dated 02/02/18 I sent you by email+mail a request for reimbursement concerning the orthodontics costs to which I am exposed.
As a reminder of the facts I have in my possession a letter emanating from your services granting a reimbursement rate; following the quote that I sent you.
By a 1st letter, you inform me not to follow up on my, refund due to a breach "of a non -reference code" I will therefore see the professional having established the invoice so that a 2nd invoice will be sent to you with the impactful reference.
The professional offers me to get the 2nd invoice directly to save you time.
However, dated 03/04/18 I receive a 2nd mail emanating from your services informing me that I could not follow up on my request for reimbursement because:
Specify date of the period !!!!! it is noted black on white the date I do not understand ????? !!!!
Coefficient to: This coefficient was communicated to you at the time of the quote you therefore have all the information your possession.
In addition I would like to point out to you that your contractual conditions are blurred and do not allow the member to be informed.
Indeed, at the section Refund request section to provide it is noted that the member must provide you with a detailed invoice without precisely specifying the said details; Which is contrary to law rules!
While a refund request was sent to you dated 02/02/18 during the 1st refusal you did not stipulate the other shortcomings which lead me to think that all kinds of apology may be sent to me without reimbursing me!
Finally, I sent you an invoice on 02/23/18 regarding the advanced costs of buying the compression stockings I sent you the invoice+prescription to date I have no refund or explanation!
</v>
      </c>
    </row>
    <row r="619" ht="15.75" customHeight="1">
      <c r="A619" s="2">
        <v>3.0</v>
      </c>
      <c r="B619" s="2" t="s">
        <v>1772</v>
      </c>
      <c r="C619" s="2" t="s">
        <v>1773</v>
      </c>
      <c r="D619" s="2" t="s">
        <v>43</v>
      </c>
      <c r="E619" s="2" t="s">
        <v>91</v>
      </c>
      <c r="F619" s="2" t="s">
        <v>15</v>
      </c>
      <c r="G619" s="2" t="s">
        <v>1774</v>
      </c>
      <c r="H619" s="2" t="s">
        <v>911</v>
      </c>
      <c r="I619" s="3" t="str">
        <f>IFERROR(__xludf.DUMMYFUNCTION("GOOGLETRANSLATE(C619,""fr"",""en"")"),"Impossible to have an appointment with a MACIF manager following a unit on compensation after a burglary. A phone platform I am promised that I am going to call me but nothing. I just managed to have a contact by email which responds or not according to t"&amp;"he request. You might as well have online insurance at least we know what to expect")</f>
        <v>Impossible to have an appointment with a MACIF manager following a unit on compensation after a burglary. A phone platform I am promised that I am going to call me but nothing. I just managed to have a contact by email which responds or not according to the request. You might as well have online insurance at least we know what to expect</v>
      </c>
    </row>
    <row r="620" ht="15.75" customHeight="1">
      <c r="A620" s="2">
        <v>3.0</v>
      </c>
      <c r="B620" s="2" t="s">
        <v>1775</v>
      </c>
      <c r="C620" s="2" t="s">
        <v>1776</v>
      </c>
      <c r="D620" s="2" t="s">
        <v>426</v>
      </c>
      <c r="E620" s="2" t="s">
        <v>31</v>
      </c>
      <c r="F620" s="2" t="s">
        <v>15</v>
      </c>
      <c r="G620" s="2" t="s">
        <v>1284</v>
      </c>
      <c r="H620" s="2" t="s">
        <v>445</v>
      </c>
      <c r="I620" s="3" t="str">
        <f>IFERROR(__xludf.DUMMYFUNCTION("GOOGLETRANSLATE(C620,""fr"",""en"")"),"I am retired, confinement gives me time to browse my insurance contracts ... Discovery: the percentage taken for 2021 is 5.52 percent of all your income. I just noticed that it is therefore linked to taxes, as far as I am concerned, in Bordeaux. My annual"&amp;" subscription as retired corresponds to more than 50 percent of a pension without the deduction from the source of income taxes.
I realize that the reimbursements are not terrible and that many overruns are out of contract.
I just made a simulation on"&amp;" another additional insurance, I continue my research because it is important.")</f>
        <v>I am retired, confinement gives me time to browse my insurance contracts ... Discovery: the percentage taken for 2021 is 5.52 percent of all your income. I just noticed that it is therefore linked to taxes, as far as I am concerned, in Bordeaux. My annual subscription as retired corresponds to more than 50 percent of a pension without the deduction from the source of income taxes.
I realize that the reimbursements are not terrible and that many overruns are out of contract.
I just made a simulation on another additional insurance, I continue my research because it is important.</v>
      </c>
    </row>
    <row r="621" ht="15.75" customHeight="1">
      <c r="A621" s="2">
        <v>5.0</v>
      </c>
      <c r="B621" s="2" t="s">
        <v>1777</v>
      </c>
      <c r="C621" s="2" t="s">
        <v>1778</v>
      </c>
      <c r="D621" s="2" t="s">
        <v>24</v>
      </c>
      <c r="E621" s="2" t="s">
        <v>25</v>
      </c>
      <c r="F621" s="2" t="s">
        <v>15</v>
      </c>
      <c r="G621" s="2" t="s">
        <v>977</v>
      </c>
      <c r="H621" s="2" t="s">
        <v>103</v>
      </c>
      <c r="I621" s="3" t="str">
        <f>IFERROR(__xludf.DUMMYFUNCTION("GOOGLETRANSLATE(C621,""fr"",""en"")"),"Insured for quite a few years in AMV without ever having had a claim, I have often asked myself the question in the event of an accident How will my disaster be dealt with? Today I can answer it since at the end of July I had an accident with a tier or I "&amp;"will not spread out on the wrong time of the driver.
Following this sinister my file is supported by AMV, whenever I needed information, the person in charge of my file was available and very courteous, AMV appealed the first decision and knew me Defend,"&amp;" in the end, 100% harm for the opposing part. To conclude you just have to hesitate to call them to advance your file.
")</f>
        <v>Insured for quite a few years in AMV without ever having had a claim, I have often asked myself the question in the event of an accident How will my disaster be dealt with? Today I can answer it since at the end of July I had an accident with a tier or I will not spread out on the wrong time of the driver.
Following this sinister my file is supported by AMV, whenever I needed information, the person in charge of my file was available and very courteous, AMV appealed the first decision and knew me Defend, in the end, 100% harm for the opposing part. To conclude you just have to hesitate to call them to advance your file.
</v>
      </c>
    </row>
    <row r="622" ht="15.75" customHeight="1">
      <c r="A622" s="2">
        <v>1.0</v>
      </c>
      <c r="B622" s="2" t="s">
        <v>1779</v>
      </c>
      <c r="C622" s="2" t="s">
        <v>1780</v>
      </c>
      <c r="D622" s="2" t="s">
        <v>30</v>
      </c>
      <c r="E622" s="2" t="s">
        <v>31</v>
      </c>
      <c r="F622" s="2" t="s">
        <v>15</v>
      </c>
      <c r="G622" s="2" t="s">
        <v>1055</v>
      </c>
      <c r="H622" s="2" t="s">
        <v>149</v>
      </c>
      <c r="I622" s="3" t="str">
        <f>IFERROR(__xludf.DUMMYFUNCTION("GOOGLETRANSLATE(C622,""fr"",""en"")"),"Very expensive and the service is far from being there. The level of reimbursement is not even in line with these prohibitive prices. The application is zero, sending documents etc tedious. Frankly no interest when you see what is done elsewhere. Left wit"&amp;"hout regret (if not that of not having done it earlier)")</f>
        <v>Very expensive and the service is far from being there. The level of reimbursement is not even in line with these prohibitive prices. The application is zero, sending documents etc tedious. Frankly no interest when you see what is done elsewhere. Left without regret (if not that of not having done it earlier)</v>
      </c>
    </row>
    <row r="623" ht="15.75" customHeight="1">
      <c r="A623" s="2">
        <v>2.0</v>
      </c>
      <c r="B623" s="2" t="s">
        <v>1781</v>
      </c>
      <c r="C623" s="2" t="s">
        <v>1782</v>
      </c>
      <c r="D623" s="2" t="s">
        <v>13</v>
      </c>
      <c r="E623" s="2" t="s">
        <v>14</v>
      </c>
      <c r="F623" s="2" t="s">
        <v>15</v>
      </c>
      <c r="G623" s="2" t="s">
        <v>58</v>
      </c>
      <c r="H623" s="2" t="s">
        <v>58</v>
      </c>
      <c r="I623" s="3" t="str">
        <f>IFERROR(__xludf.DUMMYFUNCTION("GOOGLETRANSLATE(C623,""fr"",""en"")"),"Hello,
Think twice before you start with this insurer.
The prices may be attractive but beware, do not have claims because they will all do so as not to compensate you.
Request for documents at all costs, interminable procedure, to finally see you re"&amp;"fuse your windshield care ... This is what happened in my case.
TO FLEE!
2 contracts at home and yet never had claims before.")</f>
        <v>Hello,
Think twice before you start with this insurer.
The prices may be attractive but beware, do not have claims because they will all do so as not to compensate you.
Request for documents at all costs, interminable procedure, to finally see you refuse your windshield care ... This is what happened in my case.
TO FLEE!
2 contracts at home and yet never had claims before.</v>
      </c>
    </row>
    <row r="624" ht="15.75" customHeight="1">
      <c r="A624" s="2">
        <v>5.0</v>
      </c>
      <c r="B624" s="2" t="s">
        <v>1783</v>
      </c>
      <c r="C624" s="2" t="s">
        <v>1784</v>
      </c>
      <c r="D624" s="2" t="s">
        <v>13</v>
      </c>
      <c r="E624" s="2" t="s">
        <v>14</v>
      </c>
      <c r="F624" s="2" t="s">
        <v>15</v>
      </c>
      <c r="G624" s="2" t="s">
        <v>1785</v>
      </c>
      <c r="H624" s="2" t="s">
        <v>172</v>
      </c>
      <c r="I624" s="3" t="str">
        <f>IFERROR(__xludf.DUMMYFUNCTION("GOOGLETRANSLATE(C624,""fr"",""en"")"),"Very satisfied with the advisers on the phone.
The guarantees offered are very suitable.
The prices are really satisfactory.
I recommend the olive assurance!")</f>
        <v>Very satisfied with the advisers on the phone.
The guarantees offered are very suitable.
The prices are really satisfactory.
I recommend the olive assurance!</v>
      </c>
    </row>
    <row r="625" ht="15.75" customHeight="1">
      <c r="A625" s="2">
        <v>1.0</v>
      </c>
      <c r="B625" s="2" t="s">
        <v>1786</v>
      </c>
      <c r="C625" s="2" t="s">
        <v>1787</v>
      </c>
      <c r="D625" s="2" t="s">
        <v>75</v>
      </c>
      <c r="E625" s="2" t="s">
        <v>31</v>
      </c>
      <c r="F625" s="2" t="s">
        <v>15</v>
      </c>
      <c r="G625" s="2" t="s">
        <v>1788</v>
      </c>
      <c r="H625" s="2" t="s">
        <v>50</v>
      </c>
      <c r="I625" s="3" t="str">
        <f>IFERROR(__xludf.DUMMYFUNCTION("GOOGLETRANSLATE(C625,""fr"",""en"")"),"To flee!! Illegal, scandalous practices! To flee urgently !!")</f>
        <v>To flee!! Illegal, scandalous practices! To flee urgently !!</v>
      </c>
    </row>
    <row r="626" ht="15.75" customHeight="1">
      <c r="A626" s="2">
        <v>3.0</v>
      </c>
      <c r="B626" s="2" t="s">
        <v>1789</v>
      </c>
      <c r="C626" s="2" t="s">
        <v>1790</v>
      </c>
      <c r="D626" s="2" t="s">
        <v>20</v>
      </c>
      <c r="E626" s="2" t="s">
        <v>14</v>
      </c>
      <c r="F626" s="2" t="s">
        <v>15</v>
      </c>
      <c r="G626" s="2" t="s">
        <v>1470</v>
      </c>
      <c r="H626" s="2" t="s">
        <v>149</v>
      </c>
      <c r="I626" s="3" t="str">
        <f>IFERROR(__xludf.DUMMYFUNCTION("GOOGLETRANSLATE(C626,""fr"",""en"")"),"The price for car driver's car insurance is too expensive.
Will this price stay at the same time for three years for me?
Waiting for your response, cordially.")</f>
        <v>The price for car driver's car insurance is too expensive.
Will this price stay at the same time for three years for me?
Waiting for your response, cordially.</v>
      </c>
    </row>
    <row r="627" ht="15.75" customHeight="1">
      <c r="A627" s="2">
        <v>1.0</v>
      </c>
      <c r="B627" s="2" t="s">
        <v>1791</v>
      </c>
      <c r="C627" s="2" t="s">
        <v>1792</v>
      </c>
      <c r="D627" s="2" t="s">
        <v>48</v>
      </c>
      <c r="E627" s="2" t="s">
        <v>91</v>
      </c>
      <c r="F627" s="2" t="s">
        <v>15</v>
      </c>
      <c r="G627" s="2" t="s">
        <v>797</v>
      </c>
      <c r="H627" s="2" t="s">
        <v>109</v>
      </c>
      <c r="I627" s="3" t="str">
        <f>IFERROR(__xludf.DUMMYFUNCTION("GOOGLETRANSLATE(C627,""fr"",""en"")"),"In 2010, I closed a balcony. I point out this change to the MAIF, orally unfortunately. In 2014, I see all my contracts among others, legal protection because according to MAIF, they are too old. I of course declare all the parts of the house.
In March 2"&amp;"017, the storm broke a component. The expert comes and measures and counts the parts of my home. The closed balcony is not counted. He tells me that it will not have an impact. Regarding the component, he accepts the quote and tells me that I will perceiv"&amp;"e 80% of the sum in a dozen days. Three weeks later, no payment. I contact the maif. Problem, I was not insured for 5 parts but for 4 documents so the regulations will be proportional. Of course, there is no longer any archive testifying to my passage to "&amp;"the Maif in 2010, the person who takes care of my file is fully care about it. I am all the more furious since I have always been careful to be well guaranteed, I still leave € 2,000 per year at the Maif. Fortunately, I only had a broken component and not"&amp;" a fire. I seriously plan to change insurance.")</f>
        <v>In 2010, I closed a balcony. I point out this change to the MAIF, orally unfortunately. In 2014, I see all my contracts among others, legal protection because according to MAIF, they are too old. I of course declare all the parts of the house.
In March 2017, the storm broke a component. The expert comes and measures and counts the parts of my home. The closed balcony is not counted. He tells me that it will not have an impact. Regarding the component, he accepts the quote and tells me that I will perceive 80% of the sum in a dozen days. Three weeks later, no payment. I contact the maif. Problem, I was not insured for 5 parts but for 4 documents so the regulations will be proportional. Of course, there is no longer any archive testifying to my passage to the Maif in 2010, the person who takes care of my file is fully care about it. I am all the more furious since I have always been careful to be well guaranteed, I still leave € 2,000 per year at the Maif. Fortunately, I only had a broken component and not a fire. I seriously plan to change insurance.</v>
      </c>
    </row>
    <row r="628" ht="15.75" customHeight="1">
      <c r="A628" s="2">
        <v>5.0</v>
      </c>
      <c r="B628" s="2" t="s">
        <v>1793</v>
      </c>
      <c r="C628" s="2" t="s">
        <v>1794</v>
      </c>
      <c r="D628" s="2" t="s">
        <v>13</v>
      </c>
      <c r="E628" s="2" t="s">
        <v>14</v>
      </c>
      <c r="F628" s="2" t="s">
        <v>15</v>
      </c>
      <c r="G628" s="2" t="s">
        <v>1785</v>
      </c>
      <c r="H628" s="2" t="s">
        <v>172</v>
      </c>
      <c r="I628" s="3" t="str">
        <f>IFERROR(__xludf.DUMMYFUNCTION("GOOGLETRANSLATE(C628,""fr"",""en"")"),"I am satisfied the prices suit me as well as your services in addition in the event of a problem. Thank you for the quality of your services. As well as for customer service.")</f>
        <v>I am satisfied the prices suit me as well as your services in addition in the event of a problem. Thank you for the quality of your services. As well as for customer service.</v>
      </c>
    </row>
    <row r="629" ht="15.75" customHeight="1">
      <c r="A629" s="2">
        <v>1.0</v>
      </c>
      <c r="B629" s="2" t="s">
        <v>1795</v>
      </c>
      <c r="C629" s="2" t="s">
        <v>1796</v>
      </c>
      <c r="D629" s="2" t="s">
        <v>20</v>
      </c>
      <c r="E629" s="2" t="s">
        <v>14</v>
      </c>
      <c r="F629" s="2" t="s">
        <v>15</v>
      </c>
      <c r="G629" s="2" t="s">
        <v>902</v>
      </c>
      <c r="H629" s="2" t="s">
        <v>72</v>
      </c>
      <c r="I629" s="3" t="str">
        <f>IFERROR(__xludf.DUMMYFUNCTION("GOOGLETRANSLATE(C629,""fr"",""en"")"),"Very bad follow -up of files, erroneous green card, that does not bother you at all, reimbursement 6 months after insurance costs in the event of a claim")</f>
        <v>Very bad follow -up of files, erroneous green card, that does not bother you at all, reimbursement 6 months after insurance costs in the event of a claim</v>
      </c>
    </row>
    <row r="630" ht="15.75" customHeight="1">
      <c r="A630" s="2">
        <v>1.0</v>
      </c>
      <c r="B630" s="2" t="s">
        <v>1797</v>
      </c>
      <c r="C630" s="2" t="s">
        <v>1798</v>
      </c>
      <c r="D630" s="2" t="s">
        <v>30</v>
      </c>
      <c r="E630" s="2" t="s">
        <v>31</v>
      </c>
      <c r="F630" s="2" t="s">
        <v>15</v>
      </c>
      <c r="G630" s="2" t="s">
        <v>227</v>
      </c>
      <c r="H630" s="2" t="s">
        <v>172</v>
      </c>
      <c r="I630" s="3" t="str">
        <f>IFERROR(__xludf.DUMMYFUNCTION("GOOGLETRANSLATE(C630,""fr"",""en"")"),"Not satisfied with the service, telephone interlocutors that are difficult to reachable and not always understandable. It is very often when there is a problem, that we realize the defective customer service ... Price quite high compared to the level of r"&amp;"epayment offered ... I do not recommend.")</f>
        <v>Not satisfied with the service, telephone interlocutors that are difficult to reachable and not always understandable. It is very often when there is a problem, that we realize the defective customer service ... Price quite high compared to the level of repayment offered ... I do not recommend.</v>
      </c>
    </row>
    <row r="631" ht="15.75" customHeight="1">
      <c r="A631" s="2">
        <v>1.0</v>
      </c>
      <c r="B631" s="2" t="s">
        <v>1799</v>
      </c>
      <c r="C631" s="2" t="s">
        <v>1800</v>
      </c>
      <c r="D631" s="2" t="s">
        <v>75</v>
      </c>
      <c r="E631" s="2" t="s">
        <v>31</v>
      </c>
      <c r="F631" s="2" t="s">
        <v>15</v>
      </c>
      <c r="G631" s="2" t="s">
        <v>1801</v>
      </c>
      <c r="H631" s="2" t="s">
        <v>168</v>
      </c>
      <c r="I631" s="3" t="str">
        <f>IFERROR(__xludf.DUMMYFUNCTION("GOOGLETRANSLATE(C631,""fr"",""en"")"),"Extremely disappointed by customer service. It's been several years since I was at home ... Everything was fine until I was sick. Then I started going to the doctor .. I don't tell you the reimbursement errors (of obviously less money). Then it was the fe"&amp;"stival of erroneous information on the phone ... Then I discovered by chance that I was no longer part of their insured ... Customer service is not at all listening (the agency of Annecy is a horror). The website is very badly done, we cannot see the guar"&amp;"antee table directly. Refunds are poorly displayed. There is no file follow -up !! Before I had a business mutual, I can tell you that the service has nothing to see !! At Harmonie Mutuelle, you are only a number !! To flee and to avoid !!")</f>
        <v>Extremely disappointed by customer service. It's been several years since I was at home ... Everything was fine until I was sick. Then I started going to the doctor .. I don't tell you the reimbursement errors (of obviously less money). Then it was the festival of erroneous information on the phone ... Then I discovered by chance that I was no longer part of their insured ... Customer service is not at all listening (the agency of Annecy is a horror). The website is very badly done, we cannot see the guarantee table directly. Refunds are poorly displayed. There is no file follow -up !! Before I had a business mutual, I can tell you that the service has nothing to see !! At Harmonie Mutuelle, you are only a number !! To flee and to avoid !!</v>
      </c>
    </row>
    <row r="632" ht="15.75" customHeight="1">
      <c r="A632" s="2">
        <v>1.0</v>
      </c>
      <c r="B632" s="2" t="s">
        <v>1802</v>
      </c>
      <c r="C632" s="2" t="s">
        <v>1803</v>
      </c>
      <c r="D632" s="2" t="s">
        <v>117</v>
      </c>
      <c r="E632" s="2" t="s">
        <v>91</v>
      </c>
      <c r="F632" s="2" t="s">
        <v>15</v>
      </c>
      <c r="G632" s="2" t="s">
        <v>1804</v>
      </c>
      <c r="H632" s="2" t="s">
        <v>968</v>
      </c>
      <c r="I632" s="3" t="str">
        <f>IFERROR(__xludf.DUMMYFUNCTION("GOOGLETRANSLATE(C632,""fr"",""en"")"),"Regular explosion of prices.
Because there are very high increases each year of the subscription.
Except there are no natural disasters in our town, no significant risks, a drop in flights in the department and not declared claims.
All this with an ult"&amp;"ra -profitable file for AXA.
I'm looking to leave")</f>
        <v>Regular explosion of prices.
Because there are very high increases each year of the subscription.
Except there are no natural disasters in our town, no significant risks, a drop in flights in the department and not declared claims.
All this with an ultra -profitable file for AXA.
I'm looking to leave</v>
      </c>
    </row>
    <row r="633" ht="15.75" customHeight="1">
      <c r="A633" s="2">
        <v>4.0</v>
      </c>
      <c r="B633" s="2" t="s">
        <v>1805</v>
      </c>
      <c r="C633" s="2" t="s">
        <v>1806</v>
      </c>
      <c r="D633" s="2" t="s">
        <v>20</v>
      </c>
      <c r="E633" s="2" t="s">
        <v>14</v>
      </c>
      <c r="F633" s="2" t="s">
        <v>15</v>
      </c>
      <c r="G633" s="2" t="s">
        <v>17</v>
      </c>
      <c r="H633" s="2" t="s">
        <v>17</v>
      </c>
      <c r="I633" s="3" t="str">
        <f>IFERROR(__xludf.DUMMYFUNCTION("GOOGLETRANSLATE(C633,""fr"",""en"")"),"Good service, insurance, however, offer a better price.
Good service, insurance, however, offer a better price.
Good service, insurance, however, offer a better price.")</f>
        <v>Good service, insurance, however, offer a better price.
Good service, insurance, however, offer a better price.
Good service, insurance, however, offer a better price.</v>
      </c>
    </row>
    <row r="634" ht="15.75" customHeight="1">
      <c r="A634" s="2">
        <v>1.0</v>
      </c>
      <c r="B634" s="2" t="s">
        <v>1807</v>
      </c>
      <c r="C634" s="2" t="s">
        <v>1808</v>
      </c>
      <c r="D634" s="2" t="s">
        <v>30</v>
      </c>
      <c r="E634" s="2" t="s">
        <v>31</v>
      </c>
      <c r="F634" s="2" t="s">
        <v>15</v>
      </c>
      <c r="G634" s="2" t="s">
        <v>1809</v>
      </c>
      <c r="H634" s="2" t="s">
        <v>589</v>
      </c>
      <c r="I634" s="3" t="str">
        <f>IFERROR(__xludf.DUMMYFUNCTION("GOOGLETRANSLATE(C634,""fr"",""en"")"),"Run away ! It's been 6 months since we pay this mutual, and apparently it is only from today that we are finally all covered (if it is really the case)! Their Beug site, security certificates with them disappear ...")</f>
        <v>Run away ! It's been 6 months since we pay this mutual, and apparently it is only from today that we are finally all covered (if it is really the case)! Their Beug site, security certificates with them disappear ...</v>
      </c>
    </row>
    <row r="635" ht="15.75" customHeight="1">
      <c r="A635" s="2">
        <v>1.0</v>
      </c>
      <c r="B635" s="2" t="s">
        <v>1810</v>
      </c>
      <c r="C635" s="2" t="s">
        <v>1811</v>
      </c>
      <c r="D635" s="2" t="s">
        <v>20</v>
      </c>
      <c r="E635" s="2" t="s">
        <v>91</v>
      </c>
      <c r="F635" s="2" t="s">
        <v>15</v>
      </c>
      <c r="G635" s="2" t="s">
        <v>1812</v>
      </c>
      <c r="H635" s="2" t="s">
        <v>287</v>
      </c>
      <c r="I635" s="3" t="str">
        <f>IFERROR(__xludf.DUMMYFUNCTION("GOOGLETRANSLATE(C635,""fr"",""en"")"),"I have been DA customer for 6 years in 2017 they increased my premium by 11% and 22% in 2018 I terminated the contract but their opinion having arrived several days late in my box I am out of time for three days")</f>
        <v>I have been DA customer for 6 years in 2017 they increased my premium by 11% and 22% in 2018 I terminated the contract but their opinion having arrived several days late in my box I am out of time for three days</v>
      </c>
    </row>
    <row r="636" ht="15.75" customHeight="1">
      <c r="A636" s="2">
        <v>1.0</v>
      </c>
      <c r="B636" s="2" t="s">
        <v>1813</v>
      </c>
      <c r="C636" s="2" t="s">
        <v>1814</v>
      </c>
      <c r="D636" s="2" t="s">
        <v>112</v>
      </c>
      <c r="E636" s="2" t="s">
        <v>14</v>
      </c>
      <c r="F636" s="2" t="s">
        <v>15</v>
      </c>
      <c r="G636" s="2" t="s">
        <v>1815</v>
      </c>
      <c r="H636" s="2" t="s">
        <v>63</v>
      </c>
      <c r="I636" s="3" t="str">
        <f>IFERROR(__xludf.DUMMYFUNCTION("GOOGLETRANSLATE(C636,""fr"",""en"")"),"No customer follow -up. No management worthy of insurance.
I left this insurance on February 28. Since I have been waiting for my reimbursement of my annual subscription in proportion to the month that I had to remain in addition, via the application of "&amp;"the Hamon law")</f>
        <v>No customer follow -up. No management worthy of insurance.
I left this insurance on February 28. Since I have been waiting for my reimbursement of my annual subscription in proportion to the month that I had to remain in addition, via the application of the Hamon law</v>
      </c>
    </row>
    <row r="637" ht="15.75" customHeight="1">
      <c r="A637" s="2">
        <v>3.0</v>
      </c>
      <c r="B637" s="2" t="s">
        <v>1816</v>
      </c>
      <c r="C637" s="2" t="s">
        <v>1817</v>
      </c>
      <c r="D637" s="2" t="s">
        <v>24</v>
      </c>
      <c r="E637" s="2" t="s">
        <v>25</v>
      </c>
      <c r="F637" s="2" t="s">
        <v>15</v>
      </c>
      <c r="G637" s="2" t="s">
        <v>1463</v>
      </c>
      <c r="H637" s="2" t="s">
        <v>1085</v>
      </c>
      <c r="I637" s="3" t="str">
        <f>IFERROR(__xludf.DUMMYFUNCTION("GOOGLETRANSLATE(C637,""fr"",""en"")"),"Insurance to flee! In September, my motorcycle was stolen in front of my home and I declared the claim to AMV. A month later, the motorcycle having not been found, AMV gave me a buy -back proposal, accompanied by a certificate of transfer. I returned the "&amp;"keys, the signed gray card and the signed transfer certificate, I still had to send the non -pledge certificate that I did not succeed in obtaining. On January 11, the motorcycle was found when I had not received compensation from AMV. And then there, del"&amp;"irium !! I had, at their request, to go get the bike on the pound and pay the costs (200) euros and then take it from the mechanic for expertise. According to the insurance, I still owned! Today, more than 4 months after and 7 months after the flight, AMV"&amp;" declares that I have to go and collect my vehicle (600 euros of guarding costs !!) and that the claim is not considered to be theft! In short, they had to reimburse me 6000 euros and they do not want to reimburse anything anymore !!!")</f>
        <v>Insurance to flee! In September, my motorcycle was stolen in front of my home and I declared the claim to AMV. A month later, the motorcycle having not been found, AMV gave me a buy -back proposal, accompanied by a certificate of transfer. I returned the keys, the signed gray card and the signed transfer certificate, I still had to send the non -pledge certificate that I did not succeed in obtaining. On January 11, the motorcycle was found when I had not received compensation from AMV. And then there, delirium !! I had, at their request, to go get the bike on the pound and pay the costs (200) euros and then take it from the mechanic for expertise. According to the insurance, I still owned! Today, more than 4 months after and 7 months after the flight, AMV declares that I have to go and collect my vehicle (600 euros of guarding costs !!) and that the claim is not considered to be theft! In short, they had to reimburse me 6000 euros and they do not want to reimburse anything anymore !!!</v>
      </c>
    </row>
    <row r="638" ht="15.75" customHeight="1">
      <c r="A638" s="2">
        <v>5.0</v>
      </c>
      <c r="B638" s="2" t="s">
        <v>1818</v>
      </c>
      <c r="C638" s="2" t="s">
        <v>1819</v>
      </c>
      <c r="D638" s="2" t="s">
        <v>13</v>
      </c>
      <c r="E638" s="2" t="s">
        <v>14</v>
      </c>
      <c r="F638" s="2" t="s">
        <v>15</v>
      </c>
      <c r="G638" s="2" t="s">
        <v>833</v>
      </c>
      <c r="H638" s="2" t="s">
        <v>72</v>
      </c>
      <c r="I638" s="3" t="str">
        <f>IFERROR(__xludf.DUMMYFUNCTION("GOOGLETRANSLATE(C638,""fr"",""en"")"),"Cheap insurance with good covers and easy registration on the Internet. Hoping that the management is so simple and quick in the event of a claim.")</f>
        <v>Cheap insurance with good covers and easy registration on the Internet. Hoping that the management is so simple and quick in the event of a claim.</v>
      </c>
    </row>
    <row r="639" ht="15.75" customHeight="1">
      <c r="A639" s="2">
        <v>3.0</v>
      </c>
      <c r="B639" s="2" t="s">
        <v>1820</v>
      </c>
      <c r="C639" s="2" t="s">
        <v>1821</v>
      </c>
      <c r="D639" s="2" t="s">
        <v>367</v>
      </c>
      <c r="E639" s="2" t="s">
        <v>107</v>
      </c>
      <c r="F639" s="2" t="s">
        <v>15</v>
      </c>
      <c r="G639" s="2" t="s">
        <v>1822</v>
      </c>
      <c r="H639" s="2" t="s">
        <v>504</v>
      </c>
      <c r="I639" s="3" t="str">
        <f>IFERROR(__xludf.DUMMYFUNCTION("GOOGLETRANSLATE(C639,""fr"",""en"")"),"In disability since January 2014, the CNP Assurances took care of the monthly payments of my mortgage until the beginning of 2020.
Date of my retirement the CNP M has fait that the care is canceled following my retirement and they claim me to reimburse t"&amp;"he last month paid. So there is no clause in the contract which mentions the cancellation of the treatment in the event of retirement.")</f>
        <v>In disability since January 2014, the CNP Assurances took care of the monthly payments of my mortgage until the beginning of 2020.
Date of my retirement the CNP M has fait that the care is canceled following my retirement and they claim me to reimburse the last month paid. So there is no clause in the contract which mentions the cancellation of the treatment in the event of retirement.</v>
      </c>
    </row>
    <row r="640" ht="15.75" customHeight="1">
      <c r="A640" s="2">
        <v>4.0</v>
      </c>
      <c r="B640" s="2" t="s">
        <v>1823</v>
      </c>
      <c r="C640" s="2" t="s">
        <v>1824</v>
      </c>
      <c r="D640" s="2" t="s">
        <v>185</v>
      </c>
      <c r="E640" s="2" t="s">
        <v>31</v>
      </c>
      <c r="F640" s="2" t="s">
        <v>15</v>
      </c>
      <c r="G640" s="2" t="s">
        <v>1825</v>
      </c>
      <c r="H640" s="2" t="s">
        <v>125</v>
      </c>
      <c r="I640" s="3" t="str">
        <f>IFERROR(__xludf.DUMMYFUNCTION("GOOGLETRANSLATE(C640,""fr"",""en"")"),"Have I just registered to see after a first refund for the simple and fast website seems correct for the amount cordially")</f>
        <v>Have I just registered to see after a first refund for the simple and fast website seems correct for the amount cordially</v>
      </c>
    </row>
    <row r="641" ht="15.75" customHeight="1">
      <c r="A641" s="2">
        <v>5.0</v>
      </c>
      <c r="B641" s="2" t="s">
        <v>1826</v>
      </c>
      <c r="C641" s="2" t="s">
        <v>1827</v>
      </c>
      <c r="D641" s="2" t="s">
        <v>20</v>
      </c>
      <c r="E641" s="2" t="s">
        <v>14</v>
      </c>
      <c r="F641" s="2" t="s">
        <v>15</v>
      </c>
      <c r="G641" s="2" t="s">
        <v>227</v>
      </c>
      <c r="H641" s="2" t="s">
        <v>172</v>
      </c>
      <c r="I641" s="3" t="str">
        <f>IFERROR(__xludf.DUMMYFUNCTION("GOOGLETRANSLATE(C641,""fr"",""en"")"),"I have been a direct insurance customer for 25 years, home and car, always pleasantly satisfied.
Affordable prices
Simple and efficient internet access.
Never disappointed")</f>
        <v>I have been a direct insurance customer for 25 years, home and car, always pleasantly satisfied.
Affordable prices
Simple and efficient internet access.
Never disappointed</v>
      </c>
    </row>
    <row r="642" ht="15.75" customHeight="1">
      <c r="A642" s="2">
        <v>2.0</v>
      </c>
      <c r="B642" s="2" t="s">
        <v>1828</v>
      </c>
      <c r="C642" s="2" t="s">
        <v>1829</v>
      </c>
      <c r="D642" s="2" t="s">
        <v>513</v>
      </c>
      <c r="E642" s="2" t="s">
        <v>91</v>
      </c>
      <c r="F642" s="2" t="s">
        <v>15</v>
      </c>
      <c r="G642" s="2" t="s">
        <v>950</v>
      </c>
      <c r="H642" s="2" t="s">
        <v>144</v>
      </c>
      <c r="I642" s="3" t="str">
        <f>IFERROR(__xludf.DUMMYFUNCTION("GOOGLETRANSLATE(C642,""fr"",""en"")"),"To flee. Sinister (simple water leak). 5311053907/S01/N still not resolved after 4 months (despite about fifteen calls). No file follow -up.")</f>
        <v>To flee. Sinister (simple water leak). 5311053907/S01/N still not resolved after 4 months (despite about fifteen calls). No file follow -up.</v>
      </c>
    </row>
    <row r="643" ht="15.75" customHeight="1">
      <c r="A643" s="2">
        <v>4.0</v>
      </c>
      <c r="B643" s="2" t="s">
        <v>1830</v>
      </c>
      <c r="C643" s="2" t="s">
        <v>1831</v>
      </c>
      <c r="D643" s="2" t="s">
        <v>13</v>
      </c>
      <c r="E643" s="2" t="s">
        <v>14</v>
      </c>
      <c r="F643" s="2" t="s">
        <v>15</v>
      </c>
      <c r="G643" s="2" t="s">
        <v>1832</v>
      </c>
      <c r="H643" s="2" t="s">
        <v>72</v>
      </c>
      <c r="I643" s="3" t="str">
        <f>IFERROR(__xludf.DUMMYFUNCTION("GOOGLETRANSLATE(C643,""fr"",""en"")"),"I am satisfied with the service. I was well informed by your advisor and I thank you. I would advise you to friends. Thank you and good evening.")</f>
        <v>I am satisfied with the service. I was well informed by your advisor and I thank you. I would advise you to friends. Thank you and good evening.</v>
      </c>
    </row>
    <row r="644" ht="15.75" customHeight="1">
      <c r="A644" s="2">
        <v>1.0</v>
      </c>
      <c r="B644" s="2" t="s">
        <v>1833</v>
      </c>
      <c r="C644" s="2" t="s">
        <v>1834</v>
      </c>
      <c r="D644" s="2" t="s">
        <v>20</v>
      </c>
      <c r="E644" s="2" t="s">
        <v>14</v>
      </c>
      <c r="F644" s="2" t="s">
        <v>15</v>
      </c>
      <c r="G644" s="2" t="s">
        <v>374</v>
      </c>
      <c r="H644" s="2" t="s">
        <v>172</v>
      </c>
      <c r="I644" s="3" t="str">
        <f>IFERROR(__xludf.DUMMYFUNCTION("GOOGLETRANSLATE(C644,""fr"",""en"")"),"I note that the subscription that I subscribed in October 2020 at the time of the purchase of my new car increased from € 563.47 to € 614.62. An increase of 9% in 6 months. I do not understand the reasons for this increase !!")</f>
        <v>I note that the subscription that I subscribed in October 2020 at the time of the purchase of my new car increased from € 563.47 to € 614.62. An increase of 9% in 6 months. I do not understand the reasons for this increase !!</v>
      </c>
    </row>
    <row r="645" ht="15.75" customHeight="1">
      <c r="A645" s="2">
        <v>1.0</v>
      </c>
      <c r="B645" s="2" t="s">
        <v>1835</v>
      </c>
      <c r="C645" s="2" t="s">
        <v>1836</v>
      </c>
      <c r="D645" s="2" t="s">
        <v>106</v>
      </c>
      <c r="E645" s="2" t="s">
        <v>107</v>
      </c>
      <c r="F645" s="2" t="s">
        <v>15</v>
      </c>
      <c r="G645" s="2" t="s">
        <v>1837</v>
      </c>
      <c r="H645" s="2" t="s">
        <v>87</v>
      </c>
      <c r="I645" s="3" t="str">
        <f>IFERROR(__xludf.DUMMYFUNCTION("GOOGLETRANSLATE(C645,""fr"",""en"")"),"Waiting for my regulations for 2 months of the dozens of email sent unanswered no explanation when to the why of the cessation of my payments when I regularly touched these until now impossibility of joining them and above all always the same robotic resp"&amp;"onse your file will be Treaty as soon as possible I bubble internally AG2R catastrophic services and we make fun of us that we have to pay money")</f>
        <v>Waiting for my regulations for 2 months of the dozens of email sent unanswered no explanation when to the why of the cessation of my payments when I regularly touched these until now impossibility of joining them and above all always the same robotic response your file will be Treaty as soon as possible I bubble internally AG2R catastrophic services and we make fun of us that we have to pay money</v>
      </c>
    </row>
    <row r="646" ht="15.75" customHeight="1">
      <c r="A646" s="2">
        <v>1.0</v>
      </c>
      <c r="B646" s="2" t="s">
        <v>1838</v>
      </c>
      <c r="C646" s="2" t="s">
        <v>1839</v>
      </c>
      <c r="D646" s="2" t="s">
        <v>280</v>
      </c>
      <c r="E646" s="2" t="s">
        <v>91</v>
      </c>
      <c r="F646" s="2" t="s">
        <v>15</v>
      </c>
      <c r="G646" s="2" t="s">
        <v>1840</v>
      </c>
      <c r="H646" s="2" t="s">
        <v>445</v>
      </c>
      <c r="I646" s="3" t="str">
        <f>IFERROR(__xludf.DUMMYFUNCTION("GOOGLETRANSLATE(C646,""fr"",""en"")"),"Scandalous !! Large water damage, L.EAU flowed in three rooms. It is visible and measured by painters and not an expert. As there is a little damaged painting in the room, refuses by that the means to compensate me !! TO FLEE !!!")</f>
        <v>Scandalous !! Large water damage, L.EAU flowed in three rooms. It is visible and measured by painters and not an expert. As there is a little damaged painting in the room, refuses by that the means to compensate me !! TO FLEE !!!</v>
      </c>
    </row>
    <row r="647" ht="15.75" customHeight="1">
      <c r="A647" s="2">
        <v>5.0</v>
      </c>
      <c r="B647" s="2" t="s">
        <v>1841</v>
      </c>
      <c r="C647" s="2" t="s">
        <v>1842</v>
      </c>
      <c r="D647" s="2" t="s">
        <v>80</v>
      </c>
      <c r="E647" s="2" t="s">
        <v>25</v>
      </c>
      <c r="F647" s="2" t="s">
        <v>15</v>
      </c>
      <c r="G647" s="2" t="s">
        <v>1843</v>
      </c>
      <c r="H647" s="2" t="s">
        <v>125</v>
      </c>
      <c r="I647" s="3" t="str">
        <f>IFERROR(__xludf.DUMMYFUNCTION("GOOGLETRANSLATE(C647,""fr"",""en"")"),"I am satisfied, nothing to say for the moment. I have taken this insurance for the price which, for the moment, is fine with me.
Have time")</f>
        <v>I am satisfied, nothing to say for the moment. I have taken this insurance for the price which, for the moment, is fine with me.
Have time</v>
      </c>
    </row>
    <row r="648" ht="15.75" customHeight="1">
      <c r="A648" s="2">
        <v>3.0</v>
      </c>
      <c r="B648" s="2" t="s">
        <v>1844</v>
      </c>
      <c r="C648" s="2" t="s">
        <v>1845</v>
      </c>
      <c r="D648" s="2" t="s">
        <v>373</v>
      </c>
      <c r="E648" s="2" t="s">
        <v>31</v>
      </c>
      <c r="F648" s="2" t="s">
        <v>15</v>
      </c>
      <c r="G648" s="2" t="s">
        <v>1846</v>
      </c>
      <c r="H648" s="2" t="s">
        <v>195</v>
      </c>
      <c r="I648" s="3" t="str">
        <f>IFERROR(__xludf.DUMMYFUNCTION("GOOGLETRANSLATE(C648,""fr"",""en"")"),"No comments, I am a new customer, I do not see too much the opinion I can give, apart from the right service of agents
I am waiting for the same time to see on time, if I have made the right choice, for the moment I am not disappointed.")</f>
        <v>No comments, I am a new customer, I do not see too much the opinion I can give, apart from the right service of agents
I am waiting for the same time to see on time, if I have made the right choice, for the moment I am not disappointed.</v>
      </c>
    </row>
    <row r="649" ht="15.75" customHeight="1">
      <c r="A649" s="2">
        <v>1.0</v>
      </c>
      <c r="B649" s="2" t="s">
        <v>1847</v>
      </c>
      <c r="C649" s="2" t="s">
        <v>1848</v>
      </c>
      <c r="D649" s="2" t="s">
        <v>101</v>
      </c>
      <c r="E649" s="2" t="s">
        <v>31</v>
      </c>
      <c r="F649" s="2" t="s">
        <v>15</v>
      </c>
      <c r="G649" s="2" t="s">
        <v>1548</v>
      </c>
      <c r="H649" s="2" t="s">
        <v>358</v>
      </c>
      <c r="I649" s="3" t="str">
        <f>IFERROR(__xludf.DUMMYFUNCTION("GOOGLETRANSLATE(C649,""fr"",""en"")"),"I too have been fooled by an ABB insurance broker who made my IBAN out and did not respect the electronic signature procedure he opened a daily compensation insurance contract in the event of an accident for me and a For my husband when he was not with me"&amp;" and therefore no electronic signature I sent a recommended to the broker for termination but he did not follow and I just received an email from a recovery agent for non -payment The brokers have no qualms")</f>
        <v>I too have been fooled by an ABB insurance broker who made my IBAN out and did not respect the electronic signature procedure he opened a daily compensation insurance contract in the event of an accident for me and a For my husband when he was not with me and therefore no electronic signature I sent a recommended to the broker for termination but he did not follow and I just received an email from a recovery agent for non -payment The brokers have no qualms</v>
      </c>
    </row>
    <row r="650" ht="15.75" customHeight="1">
      <c r="A650" s="2">
        <v>1.0</v>
      </c>
      <c r="B650" s="2" t="s">
        <v>1849</v>
      </c>
      <c r="C650" s="2" t="s">
        <v>1850</v>
      </c>
      <c r="D650" s="2" t="s">
        <v>20</v>
      </c>
      <c r="E650" s="2" t="s">
        <v>14</v>
      </c>
      <c r="F650" s="2" t="s">
        <v>15</v>
      </c>
      <c r="G650" s="2" t="s">
        <v>1851</v>
      </c>
      <c r="H650" s="2" t="s">
        <v>341</v>
      </c>
      <c r="I650" s="3" t="str">
        <f>IFERROR(__xludf.DUMMYFUNCTION("GOOGLETRANSLATE(C650,""fr"",""en"")"),"HORRIBLE. To flee. SCANDALOUS.
 Customer for 6 years, my car rate is exorbitant despite my bonus. 2 times more expensive than elsewhere (without looking far away ..)
Attractive price for new customer .. then the trap closes and the contributions fly awa"&amp;"y ...
")</f>
        <v>HORRIBLE. To flee. SCANDALOUS.
 Customer for 6 years, my car rate is exorbitant despite my bonus. 2 times more expensive than elsewhere (without looking far away ..)
Attractive price for new customer .. then the trap closes and the contributions fly away ...
</v>
      </c>
    </row>
    <row r="651" ht="15.75" customHeight="1">
      <c r="A651" s="2">
        <v>5.0</v>
      </c>
      <c r="B651" s="2" t="s">
        <v>1852</v>
      </c>
      <c r="C651" s="2" t="s">
        <v>1853</v>
      </c>
      <c r="D651" s="2" t="s">
        <v>20</v>
      </c>
      <c r="E651" s="2" t="s">
        <v>14</v>
      </c>
      <c r="F651" s="2" t="s">
        <v>15</v>
      </c>
      <c r="G651" s="2" t="s">
        <v>1695</v>
      </c>
      <c r="H651" s="2" t="s">
        <v>172</v>
      </c>
      <c r="I651" s="3" t="str">
        <f>IFERROR(__xludf.DUMMYFUNCTION("GOOGLETRANSLATE(C651,""fr"",""en"")"),"I am satisfied with the prices, but I had trouble going from annual monthly subscription. But overall I am satisfied with the price for a young driver")</f>
        <v>I am satisfied with the prices, but I had trouble going from annual monthly subscription. But overall I am satisfied with the price for a young driver</v>
      </c>
    </row>
    <row r="652" ht="15.75" customHeight="1">
      <c r="A652" s="2">
        <v>1.0</v>
      </c>
      <c r="B652" s="2" t="s">
        <v>1854</v>
      </c>
      <c r="C652" s="2" t="s">
        <v>1855</v>
      </c>
      <c r="D652" s="2" t="s">
        <v>233</v>
      </c>
      <c r="E652" s="2" t="s">
        <v>14</v>
      </c>
      <c r="F652" s="2" t="s">
        <v>15</v>
      </c>
      <c r="G652" s="2" t="s">
        <v>1355</v>
      </c>
      <c r="H652" s="2" t="s">
        <v>133</v>
      </c>
      <c r="I652" s="3" t="str">
        <f>IFERROR(__xludf.DUMMYFUNCTION("GOOGLETRANSLATE(C652,""fr"",""en"")"),"The prices do not suit me at all. Too expensive :(
Not satisfied having been customers for many years.
I do not recommend GMF to those around me")</f>
        <v>The prices do not suit me at all. Too expensive :(
Not satisfied having been customers for many years.
I do not recommend GMF to those around me</v>
      </c>
    </row>
    <row r="653" ht="15.75" customHeight="1">
      <c r="A653" s="2">
        <v>4.0</v>
      </c>
      <c r="B653" s="2" t="s">
        <v>1856</v>
      </c>
      <c r="C653" s="2" t="s">
        <v>1857</v>
      </c>
      <c r="D653" s="2" t="s">
        <v>698</v>
      </c>
      <c r="E653" s="2" t="s">
        <v>285</v>
      </c>
      <c r="F653" s="2" t="s">
        <v>15</v>
      </c>
      <c r="G653" s="2" t="s">
        <v>1858</v>
      </c>
      <c r="H653" s="2" t="s">
        <v>63</v>
      </c>
      <c r="I653" s="3" t="str">
        <f>IFERROR(__xludf.DUMMYFUNCTION("GOOGLETRANSLATE(C653,""fr"",""en"")"),"I lost my brother who had a contract with general, formerly GPA since 1987 and who was changing in 2015 under a new contract. I wanted to give my positive opinion on this insurance. The advisor moved a week after the death and did all the steps with us an"&amp;"d we had the money on our account one month after signing the steps. My brother appointed legatee to us my sister and I had money at the same time.")</f>
        <v>I lost my brother who had a contract with general, formerly GPA since 1987 and who was changing in 2015 under a new contract. I wanted to give my positive opinion on this insurance. The advisor moved a week after the death and did all the steps with us and we had the money on our account one month after signing the steps. My brother appointed legatee to us my sister and I had money at the same time.</v>
      </c>
    </row>
    <row r="654" ht="15.75" customHeight="1">
      <c r="A654" s="2">
        <v>1.0</v>
      </c>
      <c r="B654" s="2" t="s">
        <v>1859</v>
      </c>
      <c r="C654" s="2" t="s">
        <v>1860</v>
      </c>
      <c r="D654" s="2" t="s">
        <v>469</v>
      </c>
      <c r="E654" s="2" t="s">
        <v>285</v>
      </c>
      <c r="F654" s="2" t="s">
        <v>15</v>
      </c>
      <c r="G654" s="2" t="s">
        <v>1861</v>
      </c>
      <c r="H654" s="2" t="s">
        <v>458</v>
      </c>
      <c r="I654" s="3" t="str">
        <f>IFERROR(__xludf.DUMMYFUNCTION("GOOGLETRANSLATE(C654,""fr"",""en"")"),"Impossible to have an answer for the payment of life insurance from which I have a beneficiary. The agency's advisor no longer responds to my emails and seems
completely overwhelmed. In his opinion I sent a registered letter to the headquarters, but it h"&amp;"as been unanswered for more than 2 weeks. Yet according to law, they must contact people within 2 weeks of sending documents. How can they also be disrespectful of the little people who made them live well?")</f>
        <v>Impossible to have an answer for the payment of life insurance from which I have a beneficiary. The agency's advisor no longer responds to my emails and seems
completely overwhelmed. In his opinion I sent a registered letter to the headquarters, but it has been unanswered for more than 2 weeks. Yet according to law, they must contact people within 2 weeks of sending documents. How can they also be disrespectful of the little people who made them live well?</v>
      </c>
    </row>
    <row r="655" ht="15.75" customHeight="1">
      <c r="A655" s="2">
        <v>5.0</v>
      </c>
      <c r="B655" s="2" t="s">
        <v>1862</v>
      </c>
      <c r="C655" s="2" t="s">
        <v>1863</v>
      </c>
      <c r="D655" s="2" t="s">
        <v>20</v>
      </c>
      <c r="E655" s="2" t="s">
        <v>14</v>
      </c>
      <c r="F655" s="2" t="s">
        <v>15</v>
      </c>
      <c r="G655" s="2" t="s">
        <v>136</v>
      </c>
      <c r="H655" s="2" t="s">
        <v>133</v>
      </c>
      <c r="I655" s="3" t="str">
        <f>IFERROR(__xludf.DUMMYFUNCTION("GOOGLETRANSLATE(C655,""fr"",""en"")"),"Super value for money, being provided for over a year for my apartment, it seems to me to be wise to make sure at Direct Insurance for all my contracts")</f>
        <v>Super value for money, being provided for over a year for my apartment, it seems to me to be wise to make sure at Direct Insurance for all my contracts</v>
      </c>
    </row>
    <row r="656" ht="15.75" customHeight="1">
      <c r="A656" s="2">
        <v>1.0</v>
      </c>
      <c r="B656" s="2" t="s">
        <v>1864</v>
      </c>
      <c r="C656" s="2" t="s">
        <v>1865</v>
      </c>
      <c r="D656" s="2" t="s">
        <v>48</v>
      </c>
      <c r="E656" s="2" t="s">
        <v>14</v>
      </c>
      <c r="F656" s="2" t="s">
        <v>15</v>
      </c>
      <c r="G656" s="2" t="s">
        <v>1866</v>
      </c>
      <c r="H656" s="2" t="s">
        <v>445</v>
      </c>
      <c r="I656" s="3" t="str">
        <f>IFERROR(__xludf.DUMMYFUNCTION("GOOGLETRANSLATE(C656,""fr"",""en"")"),"Beware of this insurer, one of the worst on the market, one of the most expensive, and moreover of false advertising my Mercedes vehicle was stamped in the back by a Portuguese entrepreneur in St Jean de Luz. Not being wrongly, my vehicle had to be repair"&amp;"ed properly. However impossible to be able to carry out a correct repair, he wandered on all the parts which were to be changed by the Mercedes concession")</f>
        <v>Beware of this insurer, one of the worst on the market, one of the most expensive, and moreover of false advertising my Mercedes vehicle was stamped in the back by a Portuguese entrepreneur in St Jean de Luz. Not being wrongly, my vehicle had to be repaired properly. However impossible to be able to carry out a correct repair, he wandered on all the parts which were to be changed by the Mercedes concession</v>
      </c>
    </row>
    <row r="657" ht="15.75" customHeight="1">
      <c r="A657" s="2">
        <v>5.0</v>
      </c>
      <c r="B657" s="2" t="s">
        <v>1867</v>
      </c>
      <c r="C657" s="2" t="s">
        <v>1868</v>
      </c>
      <c r="D657" s="2" t="s">
        <v>20</v>
      </c>
      <c r="E657" s="2" t="s">
        <v>14</v>
      </c>
      <c r="F657" s="2" t="s">
        <v>15</v>
      </c>
      <c r="G657" s="2" t="s">
        <v>861</v>
      </c>
      <c r="H657" s="2" t="s">
        <v>149</v>
      </c>
      <c r="I657" s="3" t="str">
        <f>IFERROR(__xludf.DUMMYFUNCTION("GOOGLETRANSLATE(C657,""fr"",""en"")"),"I just subscribed and frankly very intuitive site I recommend.")</f>
        <v>I just subscribed and frankly very intuitive site I recommend.</v>
      </c>
    </row>
    <row r="658" ht="15.75" customHeight="1">
      <c r="A658" s="2">
        <v>5.0</v>
      </c>
      <c r="B658" s="2" t="s">
        <v>1869</v>
      </c>
      <c r="C658" s="2" t="s">
        <v>1870</v>
      </c>
      <c r="D658" s="2" t="s">
        <v>96</v>
      </c>
      <c r="E658" s="2" t="s">
        <v>97</v>
      </c>
      <c r="F658" s="2" t="s">
        <v>15</v>
      </c>
      <c r="G658" s="2" t="s">
        <v>1871</v>
      </c>
      <c r="H658" s="2" t="s">
        <v>50</v>
      </c>
      <c r="I658" s="3" t="str">
        <f>IFERROR(__xludf.DUMMYFUNCTION("GOOGLETRANSLATE(C658,""fr"",""en"")"),"Hello, I am currently a broker and also customer of this Metlife insurance (among others)
Indeed, certain deadlines can be long, but it's like everywhere, you have to have the right interlocutors.
For example, all my borrower and planning files, I proce"&amp;"ss them directly with the region inspector. Who is very good and accelerates things.
If you have difficulty, it is because your broker does not do what is needed. It is up to him to speed up the files with his inspector and to manage.
When you have a cu"&amp;"stomer, you take care of him until the end, not just before taking the check !!!
www.pyrenees-finance-conseil.fr
")</f>
        <v>Hello, I am currently a broker and also customer of this Metlife insurance (among others)
Indeed, certain deadlines can be long, but it's like everywhere, you have to have the right interlocutors.
For example, all my borrower and planning files, I process them directly with the region inspector. Who is very good and accelerates things.
If you have difficulty, it is because your broker does not do what is needed. It is up to him to speed up the files with his inspector and to manage.
When you have a customer, you take care of him until the end, not just before taking the check !!!
www.pyrenees-finance-conseil.fr
</v>
      </c>
    </row>
    <row r="659" ht="15.75" customHeight="1">
      <c r="A659" s="2">
        <v>5.0</v>
      </c>
      <c r="B659" s="2" t="s">
        <v>1872</v>
      </c>
      <c r="C659" s="2" t="s">
        <v>1873</v>
      </c>
      <c r="D659" s="2" t="s">
        <v>20</v>
      </c>
      <c r="E659" s="2" t="s">
        <v>14</v>
      </c>
      <c r="F659" s="2" t="s">
        <v>15</v>
      </c>
      <c r="G659" s="2" t="s">
        <v>861</v>
      </c>
      <c r="H659" s="2" t="s">
        <v>149</v>
      </c>
      <c r="I659" s="3" t="str">
        <f>IFERROR(__xludf.DUMMYFUNCTION("GOOGLETRANSLATE(C659,""fr"",""en"")"),"very satisfied with the price and services
The actions to be carried out are simple and non -binding, I will gladly recommend direct insurance if I had friends")</f>
        <v>very satisfied with the price and services
The actions to be carried out are simple and non -binding, I will gladly recommend direct insurance if I had friends</v>
      </c>
    </row>
    <row r="660" ht="15.75" customHeight="1">
      <c r="A660" s="2">
        <v>2.0</v>
      </c>
      <c r="B660" s="2" t="s">
        <v>1874</v>
      </c>
      <c r="C660" s="2" t="s">
        <v>1875</v>
      </c>
      <c r="D660" s="2" t="s">
        <v>61</v>
      </c>
      <c r="E660" s="2" t="s">
        <v>14</v>
      </c>
      <c r="F660" s="2" t="s">
        <v>15</v>
      </c>
      <c r="G660" s="2" t="s">
        <v>1876</v>
      </c>
      <c r="H660" s="2" t="s">
        <v>1010</v>
      </c>
      <c r="I660" s="3" t="str">
        <f>IFERROR(__xludf.DUMMYFUNCTION("GOOGLETRANSLATE(C660,""fr"",""en"")"),"An August year, I wanted to take out an auto insurance contract at the Avon agency following an online quote for my new Clio. Arrived during the week, around 4:00 pm, there were already 2 people who were waiting ... and just 1 only salesperson who was cha"&amp;"tting and sneeled ""strongly"" with ""customers"" in an office ... I waited 30 min and I am Party ... Meanwhile other people arrived but laughter and discussions continued more beautifully ...
I did not want to subscribe to an agency which I could never "&amp;"have an advisor ... You might as well choose online insurance otherwise.
The customer here does not seem to be respected where we do not give ourselves the means.
It reminded me of my old Assurance2000 (on Evry) crowded where it was necessary to wai"&amp;"t 2 hours of waiting to have information or a RI.
An evil for a good, I entered another insurance agency next to it and I found cheaper than the MAAF online quote, with 1 salesperson available :)
For this time, it was not the maaf that I prefer ...")</f>
        <v>An August year, I wanted to take out an auto insurance contract at the Avon agency following an online quote for my new Clio. Arrived during the week, around 4:00 pm, there were already 2 people who were waiting ... and just 1 only salesperson who was chatting and sneeled "strongly" with "customers" in an office ... I waited 30 min and I am Party ... Meanwhile other people arrived but laughter and discussions continued more beautifully ...
I did not want to subscribe to an agency which I could never have an advisor ... You might as well choose online insurance otherwise.
The customer here does not seem to be respected where we do not give ourselves the means.
It reminded me of my old Assurance2000 (on Evry) crowded where it was necessary to wait 2 hours of waiting to have information or a RI.
An evil for a good, I entered another insurance agency next to it and I found cheaper than the MAAF online quote, with 1 salesperson available :)
For this time, it was not the maaf that I prefer ...</v>
      </c>
    </row>
    <row r="661" ht="15.75" customHeight="1">
      <c r="A661" s="2">
        <v>1.0</v>
      </c>
      <c r="B661" s="2" t="s">
        <v>1877</v>
      </c>
      <c r="C661" s="2" t="s">
        <v>1878</v>
      </c>
      <c r="D661" s="2" t="s">
        <v>112</v>
      </c>
      <c r="E661" s="2" t="s">
        <v>14</v>
      </c>
      <c r="F661" s="2" t="s">
        <v>15</v>
      </c>
      <c r="G661" s="2" t="s">
        <v>786</v>
      </c>
      <c r="H661" s="2" t="s">
        <v>555</v>
      </c>
      <c r="I661" s="3" t="str">
        <f>IFERROR(__xludf.DUMMYFUNCTION("GOOGLETRANSLATE(C661,""fr"",""en"")"),"I am absolutely disgusted because active insurance is nothing more or less than smoking! They claim to have not received the documents, then without warning they suspend the insurance since we pay seven months in advance and that I will not be reimbursed "&amp;"we must go to the DGCCRF. I have my immobilized vehicle, 135 euros for non -insurance, 35 euros for non -affixing a sticker. Supposedly he lacked a document !!! This insurance is only a vulgar deception no more or less now they want me to send them a cert"&amp;"ificate on the honor of non -insurance of my vehicle !!!. It's great right?")</f>
        <v>I am absolutely disgusted because active insurance is nothing more or less than smoking! They claim to have not received the documents, then without warning they suspend the insurance since we pay seven months in advance and that I will not be reimbursed we must go to the DGCCRF. I have my immobilized vehicle, 135 euros for non -insurance, 35 euros for non -affixing a sticker. Supposedly he lacked a document !!! This insurance is only a vulgar deception no more or less now they want me to send them a certificate on the honor of non -insurance of my vehicle !!!. It's great right?</v>
      </c>
    </row>
    <row r="662" ht="15.75" customHeight="1">
      <c r="A662" s="2">
        <v>3.0</v>
      </c>
      <c r="B662" s="2" t="s">
        <v>1879</v>
      </c>
      <c r="C662" s="2" t="s">
        <v>1880</v>
      </c>
      <c r="D662" s="2" t="s">
        <v>20</v>
      </c>
      <c r="E662" s="2" t="s">
        <v>14</v>
      </c>
      <c r="F662" s="2" t="s">
        <v>15</v>
      </c>
      <c r="G662" s="2" t="s">
        <v>1881</v>
      </c>
      <c r="H662" s="2" t="s">
        <v>187</v>
      </c>
      <c r="I662" s="3" t="str">
        <f>IFERROR(__xludf.DUMMYFUNCTION("GOOGLETRANSLATE(C662,""fr"",""en"")"),"Ensured from two me there was only to send photos of the vehicle and information to information. In two months no advisor has been able to tell me how to do it. The day before the termination an advisor told me that the next day was included before the re"&amp;"al consideration of the termination. So when I call the next day because I was oriented properly to send the documents I am told that my insurance and terminated. Really annoyed I did not understand that I am asked to make a complaint letter when no advis"&amp;"or clearly told me how I could send the documents. I signal that I have called ten times. I was really very disappointed!")</f>
        <v>Ensured from two me there was only to send photos of the vehicle and information to information. In two months no advisor has been able to tell me how to do it. The day before the termination an advisor told me that the next day was included before the real consideration of the termination. So when I call the next day because I was oriented properly to send the documents I am told that my insurance and terminated. Really annoyed I did not understand that I am asked to make a complaint letter when no advisor clearly told me how I could send the documents. I signal that I have called ten times. I was really very disappointed!</v>
      </c>
    </row>
    <row r="663" ht="15.75" customHeight="1">
      <c r="A663" s="2">
        <v>1.0</v>
      </c>
      <c r="B663" s="2" t="s">
        <v>1882</v>
      </c>
      <c r="C663" s="2" t="s">
        <v>1883</v>
      </c>
      <c r="D663" s="2" t="s">
        <v>117</v>
      </c>
      <c r="E663" s="2" t="s">
        <v>14</v>
      </c>
      <c r="F663" s="2" t="s">
        <v>15</v>
      </c>
      <c r="G663" s="2" t="s">
        <v>1264</v>
      </c>
      <c r="H663" s="2" t="s">
        <v>17</v>
      </c>
      <c r="I663" s="3" t="str">
        <f>IFERROR(__xludf.DUMMYFUNCTION("GOOGLETRANSLATE(C663,""fr"",""en"")"),"Insured home with AXA for two years, having been robbed, the insurer prefers to make sure to receive his annual contributions before taking care of compensating you with your disaster.
Service of monitoring of a delocalized sinister, speaking a poor Fren"&amp;"ch, not very friendly and having no compassion for what happens to you ... just looking to reimburse you a minimum by looking for the slightest article of the contract allowing to play in their favor .
Available service, non -existent help, goodbye!")</f>
        <v>Insured home with AXA for two years, having been robbed, the insurer prefers to make sure to receive his annual contributions before taking care of compensating you with your disaster.
Service of monitoring of a delocalized sinister, speaking a poor French, not very friendly and having no compassion for what happens to you ... just looking to reimburse you a minimum by looking for the slightest article of the contract allowing to play in their favor .
Available service, non -existent help, goodbye!</v>
      </c>
    </row>
    <row r="664" ht="15.75" customHeight="1">
      <c r="A664" s="2">
        <v>4.0</v>
      </c>
      <c r="B664" s="2" t="s">
        <v>1884</v>
      </c>
      <c r="C664" s="2" t="s">
        <v>1885</v>
      </c>
      <c r="D664" s="2" t="s">
        <v>24</v>
      </c>
      <c r="E664" s="2" t="s">
        <v>25</v>
      </c>
      <c r="F664" s="2" t="s">
        <v>15</v>
      </c>
      <c r="G664" s="2" t="s">
        <v>962</v>
      </c>
      <c r="H664" s="2" t="s">
        <v>58</v>
      </c>
      <c r="I664" s="3" t="str">
        <f>IFERROR(__xludf.DUMMYFUNCTION("GOOGLETRANSLATE(C664,""fr"",""en"")"),"Rather satisfied, cheaper and better guaranteed than what my car insurance offered me. I have been advisable by friends who have already been assured at AMV")</f>
        <v>Rather satisfied, cheaper and better guaranteed than what my car insurance offered me. I have been advisable by friends who have already been assured at AMV</v>
      </c>
    </row>
    <row r="665" ht="15.75" customHeight="1">
      <c r="A665" s="2">
        <v>1.0</v>
      </c>
      <c r="B665" s="2" t="s">
        <v>1886</v>
      </c>
      <c r="C665" s="2" t="s">
        <v>1887</v>
      </c>
      <c r="D665" s="2" t="s">
        <v>106</v>
      </c>
      <c r="E665" s="2" t="s">
        <v>31</v>
      </c>
      <c r="F665" s="2" t="s">
        <v>15</v>
      </c>
      <c r="G665" s="2" t="s">
        <v>1888</v>
      </c>
      <c r="H665" s="2" t="s">
        <v>528</v>
      </c>
      <c r="I665" s="3" t="str">
        <f>IFERROR(__xludf.DUMMYFUNCTION("GOOGLETRANSLATE(C665,""fr"",""en"")"),"Signed by my employer when I had the ACS, I have been fighting for three years to stop it. Never received a certificate, or not even affiliated, does not respond to AR letters, unpleasant customer service, cuts off, hangs up on the nose
Pay for nothing b"&amp;"ut they don't care since they touch")</f>
        <v>Signed by my employer when I had the ACS, I have been fighting for three years to stop it. Never received a certificate, or not even affiliated, does not respond to AR letters, unpleasant customer service, cuts off, hangs up on the nose
Pay for nothing but they don't care since they touch</v>
      </c>
    </row>
    <row r="666" ht="15.75" customHeight="1">
      <c r="A666" s="2">
        <v>5.0</v>
      </c>
      <c r="B666" s="2" t="s">
        <v>1889</v>
      </c>
      <c r="C666" s="2" t="s">
        <v>1890</v>
      </c>
      <c r="D666" s="2" t="s">
        <v>1891</v>
      </c>
      <c r="E666" s="2" t="s">
        <v>25</v>
      </c>
      <c r="F666" s="2" t="s">
        <v>15</v>
      </c>
      <c r="G666" s="2" t="s">
        <v>186</v>
      </c>
      <c r="H666" s="2" t="s">
        <v>187</v>
      </c>
      <c r="I666" s="3" t="str">
        <f>IFERROR(__xludf.DUMMYFUNCTION("GOOGLETRANSLATE(C666,""fr"",""en"")"),"Validated telephone contract with a passionate biker.
I sent all my parts by email and received within 48 hours my green card! Apparently a company created by passionate bikers")</f>
        <v>Validated telephone contract with a passionate biker.
I sent all my parts by email and received within 48 hours my green card! Apparently a company created by passionate bikers</v>
      </c>
    </row>
    <row r="667" ht="15.75" customHeight="1">
      <c r="A667" s="2">
        <v>1.0</v>
      </c>
      <c r="B667" s="2" t="s">
        <v>1892</v>
      </c>
      <c r="C667" s="2" t="s">
        <v>1893</v>
      </c>
      <c r="D667" s="2" t="s">
        <v>43</v>
      </c>
      <c r="E667" s="2" t="s">
        <v>14</v>
      </c>
      <c r="F667" s="2" t="s">
        <v>15</v>
      </c>
      <c r="G667" s="2" t="s">
        <v>618</v>
      </c>
      <c r="H667" s="2" t="s">
        <v>40</v>
      </c>
      <c r="I667" s="3" t="str">
        <f>IFERROR(__xludf.DUMMYFUNCTION("GOOGLETRANSLATE(C667,""fr"",""en"")"),"Deplorable rappatriment service Delivery on Tuesday in theory, on Saturday still not recover to avoid avoiding avoiding
  Tuesday told you on Wednesday
Wednesday told you on Thursday and so on
A so -called Isabelle at the transport office is surely a p"&amp;"ro of the passage of an ointment in short I let you see my crisis especially that I have been on the hotel for 1 week and that at my expense in short c the insurance when paid have agreed when when c reverse c more the same
I design a possible delay
But"&amp;" the C especially abuses that my car has been in their hands for 1 month")</f>
        <v>Deplorable rappatriment service Delivery on Tuesday in theory, on Saturday still not recover to avoid avoiding avoiding
  Tuesday told you on Wednesday
Wednesday told you on Thursday and so on
A so -called Isabelle at the transport office is surely a pro of the passage of an ointment in short I let you see my crisis especially that I have been on the hotel for 1 week and that at my expense in short c the insurance when paid have agreed when when c reverse c more the same
I design a possible delay
But the C especially abuses that my car has been in their hands for 1 month</v>
      </c>
    </row>
    <row r="668" ht="15.75" customHeight="1">
      <c r="A668" s="2">
        <v>4.0</v>
      </c>
      <c r="B668" s="2" t="s">
        <v>1894</v>
      </c>
      <c r="C668" s="2" t="s">
        <v>1895</v>
      </c>
      <c r="D668" s="2" t="s">
        <v>20</v>
      </c>
      <c r="E668" s="2" t="s">
        <v>14</v>
      </c>
      <c r="F668" s="2" t="s">
        <v>15</v>
      </c>
      <c r="G668" s="2" t="s">
        <v>1067</v>
      </c>
      <c r="H668" s="2" t="s">
        <v>156</v>
      </c>
      <c r="I668" s="3" t="str">
        <f>IFERROR(__xludf.DUMMYFUNCTION("GOOGLETRANSLATE(C668,""fr"",""en"")"),"I am satisfied with this service. Prices suit me. It remains correct.
I am sponsored by a person as part of a subscription. Thank you. Best regards,
Elisabeth Devautour")</f>
        <v>I am satisfied with this service. Prices suit me. It remains correct.
I am sponsored by a person as part of a subscription. Thank you. Best regards,
Elisabeth Devautour</v>
      </c>
    </row>
    <row r="669" ht="15.75" customHeight="1">
      <c r="A669" s="2">
        <v>2.0</v>
      </c>
      <c r="B669" s="2" t="s">
        <v>1896</v>
      </c>
      <c r="C669" s="2" t="s">
        <v>1897</v>
      </c>
      <c r="D669" s="2" t="s">
        <v>20</v>
      </c>
      <c r="E669" s="2" t="s">
        <v>14</v>
      </c>
      <c r="F669" s="2" t="s">
        <v>15</v>
      </c>
      <c r="G669" s="2" t="s">
        <v>1898</v>
      </c>
      <c r="H669" s="2" t="s">
        <v>93</v>
      </c>
      <c r="I669" s="3" t="str">
        <f>IFERROR(__xludf.DUMMYFUNCTION("GOOGLETRANSLATE(C669,""fr"",""en"")"),"After a year goes, new 2x tariff more expensive than a new contract!
The advisers give information that is not coherent from one to the other so perdition of the new tariff and contract.
Termination letter canceled by the insurer although acting under i"&amp;"nformation of the advisers.
Recumandee letter not responded, just unacceptable.")</f>
        <v>After a year goes, new 2x tariff more expensive than a new contract!
The advisers give information that is not coherent from one to the other so perdition of the new tariff and contract.
Termination letter canceled by the insurer although acting under information of the advisers.
Recumandee letter not responded, just unacceptable.</v>
      </c>
    </row>
    <row r="670" ht="15.75" customHeight="1">
      <c r="A670" s="2">
        <v>3.0</v>
      </c>
      <c r="B670" s="2" t="s">
        <v>1899</v>
      </c>
      <c r="C670" s="2" t="s">
        <v>1900</v>
      </c>
      <c r="D670" s="2" t="s">
        <v>20</v>
      </c>
      <c r="E670" s="2" t="s">
        <v>14</v>
      </c>
      <c r="F670" s="2" t="s">
        <v>15</v>
      </c>
      <c r="G670" s="2" t="s">
        <v>1901</v>
      </c>
      <c r="H670" s="2" t="s">
        <v>103</v>
      </c>
      <c r="I670" s="3" t="str">
        <f>IFERROR(__xludf.DUMMYFUNCTION("GOOGLETRANSLATE(C670,""fr"",""en"")"),"Insurance needed 2 weeks to find a garage and an expert !! In the meantime I lost hours on the phone to have a phone advisor who knew nothing to answer me. I expressed my dissatisfaction and following a very aggressive insurance call, I am tried to prove "&amp;"that I was wrong to be unhappy.")</f>
        <v>Insurance needed 2 weeks to find a garage and an expert !! In the meantime I lost hours on the phone to have a phone advisor who knew nothing to answer me. I expressed my dissatisfaction and following a very aggressive insurance call, I am tried to prove that I was wrong to be unhappy.</v>
      </c>
    </row>
    <row r="671" ht="15.75" customHeight="1">
      <c r="A671" s="2">
        <v>5.0</v>
      </c>
      <c r="B671" s="2" t="s">
        <v>1902</v>
      </c>
      <c r="C671" s="2" t="s">
        <v>1903</v>
      </c>
      <c r="D671" s="2" t="s">
        <v>13</v>
      </c>
      <c r="E671" s="2" t="s">
        <v>14</v>
      </c>
      <c r="F671" s="2" t="s">
        <v>15</v>
      </c>
      <c r="G671" s="2" t="s">
        <v>605</v>
      </c>
      <c r="H671" s="2" t="s">
        <v>172</v>
      </c>
      <c r="I671" s="3" t="str">
        <f>IFERROR(__xludf.DUMMYFUNCTION("GOOGLETRANSLATE(C671,""fr"",""en"")"),"I am happy and very satisfied. Easily accessible to all for all online steps, it or only has it to be guided
Precise and fast correct price")</f>
        <v>I am happy and very satisfied. Easily accessible to all for all online steps, it or only has it to be guided
Precise and fast correct price</v>
      </c>
    </row>
    <row r="672" ht="15.75" customHeight="1">
      <c r="A672" s="2">
        <v>1.0</v>
      </c>
      <c r="B672" s="2" t="s">
        <v>1904</v>
      </c>
      <c r="C672" s="2" t="s">
        <v>1905</v>
      </c>
      <c r="D672" s="2" t="s">
        <v>101</v>
      </c>
      <c r="E672" s="2" t="s">
        <v>31</v>
      </c>
      <c r="F672" s="2" t="s">
        <v>15</v>
      </c>
      <c r="G672" s="2" t="s">
        <v>1906</v>
      </c>
      <c r="H672" s="2" t="s">
        <v>381</v>
      </c>
      <c r="I672" s="3" t="str">
        <f>IFERROR(__xludf.DUMMYFUNCTION("GOOGLETRANSLATE(C672,""fr"",""en"")"),"TO FLEE!!!! I have not liked to subscribe to this mutual it is bugged you with their electronic signature and when you receive the file and that the rectaling and 14 days see it again in the days that follows it tries to take you anyway scandalous")</f>
        <v>TO FLEE!!!! I have not liked to subscribe to this mutual it is bugged you with their electronic signature and when you receive the file and that the rectaling and 14 days see it again in the days that follows it tries to take you anyway scandalous</v>
      </c>
    </row>
    <row r="673" ht="15.75" customHeight="1">
      <c r="A673" s="2">
        <v>4.0</v>
      </c>
      <c r="B673" s="2" t="s">
        <v>1907</v>
      </c>
      <c r="C673" s="2" t="s">
        <v>1908</v>
      </c>
      <c r="D673" s="2" t="s">
        <v>20</v>
      </c>
      <c r="E673" s="2" t="s">
        <v>14</v>
      </c>
      <c r="F673" s="2" t="s">
        <v>15</v>
      </c>
      <c r="G673" s="2" t="s">
        <v>149</v>
      </c>
      <c r="H673" s="2" t="s">
        <v>149</v>
      </c>
      <c r="I673" s="3" t="str">
        <f>IFERROR(__xludf.DUMMYFUNCTION("GOOGLETRANSLATE(C673,""fr"",""en"")"),"At the price level, rather well positioned on the market. It remains to be seen how the price offered to my daughter who is currently in accompanied driving will be and will need to take out insurance by the end of the year.
For the moment, very good adv"&amp;"ice from customer service.
Not yet a lot of hindsight anyway.")</f>
        <v>At the price level, rather well positioned on the market. It remains to be seen how the price offered to my daughter who is currently in accompanied driving will be and will need to take out insurance by the end of the year.
For the moment, very good advice from customer service.
Not yet a lot of hindsight anyway.</v>
      </c>
    </row>
    <row r="674" ht="15.75" customHeight="1">
      <c r="A674" s="2">
        <v>1.0</v>
      </c>
      <c r="B674" s="2" t="s">
        <v>1909</v>
      </c>
      <c r="C674" s="2" t="s">
        <v>1910</v>
      </c>
      <c r="D674" s="2" t="s">
        <v>117</v>
      </c>
      <c r="E674" s="2" t="s">
        <v>14</v>
      </c>
      <c r="F674" s="2" t="s">
        <v>15</v>
      </c>
      <c r="G674" s="2" t="s">
        <v>1911</v>
      </c>
      <c r="H674" s="2" t="s">
        <v>208</v>
      </c>
      <c r="I674" s="3" t="str">
        <f>IFERROR(__xludf.DUMMYFUNCTION("GOOGLETRANSLATE(C674,""fr"",""en"")"),"I have been AXA customer for over 20 years I have unfortunately had 2 breakdowns on vacation and the ordeal The responses of Axa Assistance asking me if I found a garage to put my vehicle in repair C was a disaster do not subscribe no insurance at Axa fal"&amp;"ling out at home is very scary")</f>
        <v>I have been AXA customer for over 20 years I have unfortunately had 2 breakdowns on vacation and the ordeal The responses of Axa Assistance asking me if I found a garage to put my vehicle in repair C was a disaster do not subscribe no insurance at Axa falling out at home is very scary</v>
      </c>
    </row>
    <row r="675" ht="15.75" customHeight="1">
      <c r="A675" s="2">
        <v>2.0</v>
      </c>
      <c r="B675" s="2" t="s">
        <v>1912</v>
      </c>
      <c r="C675" s="2" t="s">
        <v>1913</v>
      </c>
      <c r="D675" s="2" t="s">
        <v>24</v>
      </c>
      <c r="E675" s="2" t="s">
        <v>25</v>
      </c>
      <c r="F675" s="2" t="s">
        <v>15</v>
      </c>
      <c r="G675" s="2" t="s">
        <v>1914</v>
      </c>
      <c r="H675" s="2" t="s">
        <v>187</v>
      </c>
      <c r="I675" s="3" t="str">
        <f>IFERROR(__xludf.DUMMYFUNCTION("GOOGLETRANSLATE(C675,""fr"",""en"")"),"A word of advice, run away from this insurer
Insured in all risks, I have had a non -responsible accident since 04 Oct 17. Since that date (we are on November 17) AMV has been unable to contact the opposing insurance which is however located in Courbevoi"&amp;"e ..... . During my various calls it does not seem particularly in a hurry to advance my file. To tell you, they sent a simple letter of Oct 13, 17 and if I had not contacted them by phone, nothing would have been done until November 28, 17 ........ That'"&amp;"s all ... I still had to advance 450th of costs which is not nothing for an average French.")</f>
        <v>A word of advice, run away from this insurer
Insured in all risks, I have had a non -responsible accident since 04 Oct 17. Since that date (we are on November 17) AMV has been unable to contact the opposing insurance which is however located in Courbevoie ..... . During my various calls it does not seem particularly in a hurry to advance my file. To tell you, they sent a simple letter of Oct 13, 17 and if I had not contacted them by phone, nothing would have been done until November 28, 17 ........ That's all ... I still had to advance 450th of costs which is not nothing for an average French.</v>
      </c>
    </row>
    <row r="676" ht="15.75" customHeight="1">
      <c r="A676" s="2">
        <v>3.0</v>
      </c>
      <c r="B676" s="2" t="s">
        <v>1915</v>
      </c>
      <c r="C676" s="2" t="s">
        <v>1916</v>
      </c>
      <c r="D676" s="2" t="s">
        <v>233</v>
      </c>
      <c r="E676" s="2" t="s">
        <v>14</v>
      </c>
      <c r="F676" s="2" t="s">
        <v>15</v>
      </c>
      <c r="G676" s="2" t="s">
        <v>1917</v>
      </c>
      <c r="H676" s="2" t="s">
        <v>133</v>
      </c>
      <c r="I676" s="3" t="str">
        <f>IFERROR(__xludf.DUMMYFUNCTION("GOOGLETRANSLATE(C676,""fr"",""en"")"),"I am satisfied with the service, hoping that the prices remain stable, that the reception of proximity is maintained, no dematerialization or abandonment of the service in a physical reception point.")</f>
        <v>I am satisfied with the service, hoping that the prices remain stable, that the reception of proximity is maintained, no dematerialization or abandonment of the service in a physical reception point.</v>
      </c>
    </row>
    <row r="677" ht="15.75" customHeight="1">
      <c r="A677" s="2">
        <v>2.0</v>
      </c>
      <c r="B677" s="2" t="s">
        <v>1918</v>
      </c>
      <c r="C677" s="2" t="s">
        <v>1919</v>
      </c>
      <c r="D677" s="2" t="s">
        <v>20</v>
      </c>
      <c r="E677" s="2" t="s">
        <v>14</v>
      </c>
      <c r="F677" s="2" t="s">
        <v>15</v>
      </c>
      <c r="G677" s="2" t="s">
        <v>1920</v>
      </c>
      <c r="H677" s="2" t="s">
        <v>208</v>
      </c>
      <c r="I677" s="3" t="str">
        <f>IFERROR(__xludf.DUMMYFUNCTION("GOOGLETRANSLATE(C677,""fr"",""en"")"),"Deplorable customer service.")</f>
        <v>Deplorable customer service.</v>
      </c>
    </row>
    <row r="678" ht="15.75" customHeight="1">
      <c r="A678" s="2">
        <v>1.0</v>
      </c>
      <c r="B678" s="2" t="s">
        <v>1921</v>
      </c>
      <c r="C678" s="2" t="s">
        <v>1922</v>
      </c>
      <c r="D678" s="2" t="s">
        <v>112</v>
      </c>
      <c r="E678" s="2" t="s">
        <v>14</v>
      </c>
      <c r="F678" s="2" t="s">
        <v>15</v>
      </c>
      <c r="G678" s="2" t="s">
        <v>770</v>
      </c>
      <c r="H678" s="2" t="s">
        <v>72</v>
      </c>
      <c r="I678" s="3" t="str">
        <f>IFERROR(__xludf.DUMMYFUNCTION("GOOGLETRANSLATE(C678,""fr"",""en"")"),"Hello everyone I do not recommend this Active Insurance Insurance It is the worst insurance that can exist saved-which-can be saved I have changed insurance when I was still insured at home")</f>
        <v>Hello everyone I do not recommend this Active Insurance Insurance It is the worst insurance that can exist saved-which-can be saved I have changed insurance when I was still insured at home</v>
      </c>
    </row>
    <row r="679" ht="15.75" customHeight="1">
      <c r="A679" s="2">
        <v>1.0</v>
      </c>
      <c r="B679" s="2" t="s">
        <v>1923</v>
      </c>
      <c r="C679" s="2" t="s">
        <v>1924</v>
      </c>
      <c r="D679" s="2" t="s">
        <v>393</v>
      </c>
      <c r="E679" s="2" t="s">
        <v>107</v>
      </c>
      <c r="F679" s="2" t="s">
        <v>15</v>
      </c>
      <c r="G679" s="2" t="s">
        <v>1925</v>
      </c>
      <c r="H679" s="2" t="s">
        <v>458</v>
      </c>
      <c r="I679" s="3" t="str">
        <f>IFERROR(__xludf.DUMMYFUNCTION("GOOGLETRANSLATE(C679,""fr"",""en"")"),"
It is my
Be careful be careful be careful and above all never subscribe to Swisslife CAUTION
")</f>
        <v>
It is my
Be careful be careful be careful and above all never subscribe to Swisslife CAUTION
</v>
      </c>
    </row>
    <row r="680" ht="15.75" customHeight="1">
      <c r="A680" s="2">
        <v>4.0</v>
      </c>
      <c r="B680" s="2" t="s">
        <v>1926</v>
      </c>
      <c r="C680" s="2" t="s">
        <v>1927</v>
      </c>
      <c r="D680" s="2" t="s">
        <v>20</v>
      </c>
      <c r="E680" s="2" t="s">
        <v>14</v>
      </c>
      <c r="F680" s="2" t="s">
        <v>15</v>
      </c>
      <c r="G680" s="2" t="s">
        <v>827</v>
      </c>
      <c r="H680" s="2" t="s">
        <v>27</v>
      </c>
      <c r="I680" s="3" t="str">
        <f>IFERROR(__xludf.DUMMYFUNCTION("GOOGLETRANSLATE(C680,""fr"",""en"")"),"The prices are correct.
The subscription is quite clear.
I hope that in the event of a problem everything is as simple and as fast.
I am satisfied for the moment.
")</f>
        <v>The prices are correct.
The subscription is quite clear.
I hope that in the event of a problem everything is as simple and as fast.
I am satisfied for the moment.
</v>
      </c>
    </row>
    <row r="681" ht="15.75" customHeight="1">
      <c r="A681" s="2">
        <v>3.0</v>
      </c>
      <c r="B681" s="2" t="s">
        <v>1928</v>
      </c>
      <c r="C681" s="2" t="s">
        <v>1929</v>
      </c>
      <c r="D681" s="2" t="s">
        <v>13</v>
      </c>
      <c r="E681" s="2" t="s">
        <v>14</v>
      </c>
      <c r="F681" s="2" t="s">
        <v>15</v>
      </c>
      <c r="G681" s="2" t="s">
        <v>1930</v>
      </c>
      <c r="H681" s="2" t="s">
        <v>125</v>
      </c>
      <c r="I681" s="3" t="str">
        <f>IFERROR(__xludf.DUMMYFUNCTION("GOOGLETRANSLATE(C681,""fr"",""en"")"),"Service satisfied
a little long waiting to receive the documents
In my contract I follow as a man when I checked the woman's box")</f>
        <v>Service satisfied
a little long waiting to receive the documents
In my contract I follow as a man when I checked the woman's box</v>
      </c>
    </row>
    <row r="682" ht="15.75" customHeight="1">
      <c r="A682" s="2">
        <v>2.0</v>
      </c>
      <c r="B682" s="2" t="s">
        <v>1931</v>
      </c>
      <c r="C682" s="2" t="s">
        <v>1932</v>
      </c>
      <c r="D682" s="2" t="s">
        <v>185</v>
      </c>
      <c r="E682" s="2" t="s">
        <v>31</v>
      </c>
      <c r="F682" s="2" t="s">
        <v>15</v>
      </c>
      <c r="G682" s="2" t="s">
        <v>1933</v>
      </c>
      <c r="H682" s="2" t="s">
        <v>1450</v>
      </c>
      <c r="I682" s="3" t="str">
        <f>IFERROR(__xludf.DUMMYFUNCTION("GOOGLETRANSLATE(C682,""fr"",""en"")"),"I have been at April since 2017, this is professional coverage.
I just had glasses, my optician (Optician 2000) tried to reach you dozens of times to get a quote, they never received anything I had to send them the papers myself on the pretext that 'Ri"&amp;"ght now you are ""busy"". Sending the reimbursement conditions is true that it takes time in 2 weeks of beat.
After the history of the quote, it is the reimbursement itself, you announced a period of 1 week, it's been 2 weeks since I wait and that I ca"&amp;"nnot collect my glasses.
I advise against.")</f>
        <v>I have been at April since 2017, this is professional coverage.
I just had glasses, my optician (Optician 2000) tried to reach you dozens of times to get a quote, they never received anything I had to send them the papers myself on the pretext that 'Right now you are "busy". Sending the reimbursement conditions is true that it takes time in 2 weeks of beat.
After the history of the quote, it is the reimbursement itself, you announced a period of 1 week, it's been 2 weeks since I wait and that I cannot collect my glasses.
I advise against.</v>
      </c>
    </row>
    <row r="683" ht="15.75" customHeight="1">
      <c r="A683" s="2">
        <v>1.0</v>
      </c>
      <c r="B683" s="2" t="s">
        <v>1934</v>
      </c>
      <c r="C683" s="2" t="s">
        <v>1935</v>
      </c>
      <c r="D683" s="2" t="s">
        <v>284</v>
      </c>
      <c r="E683" s="2" t="s">
        <v>97</v>
      </c>
      <c r="F683" s="2" t="s">
        <v>15</v>
      </c>
      <c r="G683" s="2" t="s">
        <v>1936</v>
      </c>
      <c r="H683" s="2" t="s">
        <v>313</v>
      </c>
      <c r="I683" s="3" t="str">
        <f>IFERROR(__xludf.DUMMYFUNCTION("GOOGLETRANSLATE(C683,""fr"",""en"")"),"When I see your opinions, I tell myself that I will have to consider a legal appeal. I declared my claim at the end of September, since they sent me 3 care files, I sent the first 2 files, so either according to the 2 people I had on the phone, the files "&amp;"were lost , transmitted to a bad recipient or destroyed while La Poste told me that the 2 files had been received. The last person I had really looked sorry, she told me to send the file by email, but to call to check that they received it. She would have"&amp;" indicated on my file that he had to be treated as a priority and that he had to be transmitted urgently to the management department and that it would undoubtedly be she who would take care of my file. However given the opinions I have read, I will proba"&amp;"bly consider a judicial appeal, because I do not want to be taken ""for an idiot"" for 6 months with computer failures or new mail losses, because in the meantime I continue to reimburse my loan.")</f>
        <v>When I see your opinions, I tell myself that I will have to consider a legal appeal. I declared my claim at the end of September, since they sent me 3 care files, I sent the first 2 files, so either according to the 2 people I had on the phone, the files were lost , transmitted to a bad recipient or destroyed while La Poste told me that the 2 files had been received. The last person I had really looked sorry, she told me to send the file by email, but to call to check that they received it. She would have indicated on my file that he had to be treated as a priority and that he had to be transmitted urgently to the management department and that it would undoubtedly be she who would take care of my file. However given the opinions I have read, I will probably consider a judicial appeal, because I do not want to be taken "for an idiot" for 6 months with computer failures or new mail losses, because in the meantime I continue to reimburse my loan.</v>
      </c>
    </row>
    <row r="684" ht="15.75" customHeight="1">
      <c r="A684" s="2">
        <v>5.0</v>
      </c>
      <c r="B684" s="2" t="s">
        <v>1937</v>
      </c>
      <c r="C684" s="2" t="s">
        <v>1938</v>
      </c>
      <c r="D684" s="2" t="s">
        <v>185</v>
      </c>
      <c r="E684" s="2" t="s">
        <v>31</v>
      </c>
      <c r="F684" s="2" t="s">
        <v>15</v>
      </c>
      <c r="G684" s="2" t="s">
        <v>1939</v>
      </c>
      <c r="H684" s="2" t="s">
        <v>334</v>
      </c>
      <c r="I684" s="3" t="str">
        <f>IFERROR(__xludf.DUMMYFUNCTION("GOOGLETRANSLATE(C684,""fr"",""en"")"),"I am Satifaite du contract see in the future but very happy to have subscribed to you the registration is simple and above all very clear so satisfied")</f>
        <v>I am Satifaite du contract see in the future but very happy to have subscribed to you the registration is simple and above all very clear so satisfied</v>
      </c>
    </row>
    <row r="685" ht="15.75" customHeight="1">
      <c r="A685" s="2">
        <v>5.0</v>
      </c>
      <c r="B685" s="2" t="s">
        <v>1940</v>
      </c>
      <c r="C685" s="2" t="s">
        <v>1941</v>
      </c>
      <c r="D685" s="2" t="s">
        <v>13</v>
      </c>
      <c r="E685" s="2" t="s">
        <v>14</v>
      </c>
      <c r="F685" s="2" t="s">
        <v>15</v>
      </c>
      <c r="G685" s="2" t="s">
        <v>347</v>
      </c>
      <c r="H685" s="2" t="s">
        <v>133</v>
      </c>
      <c r="I685" s="3" t="str">
        <f>IFERROR(__xludf.DUMMYFUNCTION("GOOGLETRANSLATE(C685,""fr"",""en"")"),"I am satisfied with the customer services, the price suits me, perfect. Advisor has met all my expectations! I hope to be satisfied in the long term")</f>
        <v>I am satisfied with the customer services, the price suits me, perfect. Advisor has met all my expectations! I hope to be satisfied in the long term</v>
      </c>
    </row>
    <row r="686" ht="15.75" customHeight="1">
      <c r="A686" s="2">
        <v>5.0</v>
      </c>
      <c r="B686" s="2" t="s">
        <v>1942</v>
      </c>
      <c r="C686" s="2" t="s">
        <v>1943</v>
      </c>
      <c r="D686" s="2" t="s">
        <v>1891</v>
      </c>
      <c r="E686" s="2" t="s">
        <v>25</v>
      </c>
      <c r="F686" s="2" t="s">
        <v>15</v>
      </c>
      <c r="G686" s="2" t="s">
        <v>1822</v>
      </c>
      <c r="H686" s="2" t="s">
        <v>504</v>
      </c>
      <c r="I686" s="3" t="str">
        <f>IFERROR(__xludf.DUMMYFUNCTION("GOOGLETRANSLATE(C686,""fr"",""en"")"),"Super price for my Yamaha MT 09, a very responsive team for receiving my green card following the sending of my parts. I recommend !")</f>
        <v>Super price for my Yamaha MT 09, a very responsive team for receiving my green card following the sending of my parts. I recommend !</v>
      </c>
    </row>
    <row r="687" ht="15.75" customHeight="1">
      <c r="A687" s="2">
        <v>5.0</v>
      </c>
      <c r="B687" s="2" t="s">
        <v>1944</v>
      </c>
      <c r="C687" s="2" t="s">
        <v>1945</v>
      </c>
      <c r="D687" s="2" t="s">
        <v>147</v>
      </c>
      <c r="E687" s="2" t="s">
        <v>31</v>
      </c>
      <c r="F687" s="2" t="s">
        <v>15</v>
      </c>
      <c r="G687" s="2" t="s">
        <v>564</v>
      </c>
      <c r="H687" s="2" t="s">
        <v>149</v>
      </c>
      <c r="I687" s="3" t="str">
        <f>IFERROR(__xludf.DUMMYFUNCTION("GOOGLETRANSLATE(C687,""fr"",""en"")"),"Very satisfied with this mutual, price, responsiveness, taking into account requests. The answer provided is always up to waiting.
Loan insurance is also very well placed, do not hesitate !!!!!")</f>
        <v>Very satisfied with this mutual, price, responsiveness, taking into account requests. The answer provided is always up to waiting.
Loan insurance is also very well placed, do not hesitate !!!!!</v>
      </c>
    </row>
    <row r="688" ht="15.75" customHeight="1">
      <c r="A688" s="2">
        <v>2.0</v>
      </c>
      <c r="B688" s="2" t="s">
        <v>1946</v>
      </c>
      <c r="C688" s="2" t="s">
        <v>1947</v>
      </c>
      <c r="D688" s="2" t="s">
        <v>190</v>
      </c>
      <c r="E688" s="2" t="s">
        <v>31</v>
      </c>
      <c r="F688" s="2" t="s">
        <v>15</v>
      </c>
      <c r="G688" s="2" t="s">
        <v>337</v>
      </c>
      <c r="H688" s="2" t="s">
        <v>125</v>
      </c>
      <c r="I688" s="3" t="str">
        <f>IFERROR(__xludf.DUMMYFUNCTION("GOOGLETRANSLATE(C688,""fr"",""en"")"),"Since the start of my membership, my husband has still not had the teletransmission activated on the Ameli account
The person who took my call, Georges, was very understanding, very clear in these explanations.
I hope that the request will be made quick"&amp;"ly.")</f>
        <v>Since the start of my membership, my husband has still not had the teletransmission activated on the Ameli account
The person who took my call, Georges, was very understanding, very clear in these explanations.
I hope that the request will be made quickly.</v>
      </c>
    </row>
    <row r="689" ht="15.75" customHeight="1">
      <c r="A689" s="2">
        <v>3.0</v>
      </c>
      <c r="B689" s="2" t="s">
        <v>1948</v>
      </c>
      <c r="C689" s="2" t="s">
        <v>1949</v>
      </c>
      <c r="D689" s="2" t="s">
        <v>43</v>
      </c>
      <c r="E689" s="2" t="s">
        <v>14</v>
      </c>
      <c r="F689" s="2" t="s">
        <v>15</v>
      </c>
      <c r="G689" s="2" t="s">
        <v>1375</v>
      </c>
      <c r="H689" s="2" t="s">
        <v>54</v>
      </c>
      <c r="I689" s="3" t="str">
        <f>IFERROR(__xludf.DUMMYFUNCTION("GOOGLETRANSLATE(C689,""fr"",""en"")"),"I'm happy, the few claims I had is settled without problem and I have always been facilitated to reach them.")</f>
        <v>I'm happy, the few claims I had is settled without problem and I have always been facilitated to reach them.</v>
      </c>
    </row>
    <row r="690" ht="15.75" customHeight="1">
      <c r="A690" s="2">
        <v>4.0</v>
      </c>
      <c r="B690" s="2" t="s">
        <v>1950</v>
      </c>
      <c r="C690" s="2" t="s">
        <v>1951</v>
      </c>
      <c r="D690" s="2" t="s">
        <v>20</v>
      </c>
      <c r="E690" s="2" t="s">
        <v>14</v>
      </c>
      <c r="F690" s="2" t="s">
        <v>15</v>
      </c>
      <c r="G690" s="2" t="s">
        <v>473</v>
      </c>
      <c r="H690" s="2" t="s">
        <v>133</v>
      </c>
      <c r="I690" s="3" t="str">
        <f>IFERROR(__xludf.DUMMYFUNCTION("GOOGLETRANSLATE(C690,""fr"",""en"")"),"Satisfied with fast and serious service
I recommend direct insurance to my friends
I am waiting to receive my certificate to be able to circulate
Regards Laetitia
")</f>
        <v>Satisfied with fast and serious service
I recommend direct insurance to my friends
I am waiting to receive my certificate to be able to circulate
Regards Laetitia
</v>
      </c>
    </row>
    <row r="691" ht="15.75" customHeight="1">
      <c r="A691" s="2">
        <v>3.0</v>
      </c>
      <c r="B691" s="2" t="s">
        <v>1952</v>
      </c>
      <c r="C691" s="2" t="s">
        <v>1953</v>
      </c>
      <c r="D691" s="2" t="s">
        <v>13</v>
      </c>
      <c r="E691" s="2" t="s">
        <v>14</v>
      </c>
      <c r="F691" s="2" t="s">
        <v>15</v>
      </c>
      <c r="G691" s="2" t="s">
        <v>497</v>
      </c>
      <c r="H691" s="2" t="s">
        <v>125</v>
      </c>
      <c r="I691" s="3" t="str">
        <f>IFERROR(__xludf.DUMMYFUNCTION("GOOGLETRANSLATE(C691,""fr"",""en"")"),"I am satisfied with your service, prices suit me. I will try to do my best to be able to fulfill my contracts of contracts in the best conditions")</f>
        <v>I am satisfied with your service, prices suit me. I will try to do my best to be able to fulfill my contracts of contracts in the best conditions</v>
      </c>
    </row>
    <row r="692" ht="15.75" customHeight="1">
      <c r="A692" s="2">
        <v>3.0</v>
      </c>
      <c r="B692" s="2" t="s">
        <v>1954</v>
      </c>
      <c r="C692" s="2" t="s">
        <v>1955</v>
      </c>
      <c r="D692" s="2" t="s">
        <v>13</v>
      </c>
      <c r="E692" s="2" t="s">
        <v>14</v>
      </c>
      <c r="F692" s="2" t="s">
        <v>15</v>
      </c>
      <c r="G692" s="2" t="s">
        <v>1956</v>
      </c>
      <c r="H692" s="2" t="s">
        <v>58</v>
      </c>
      <c r="I692" s="3" t="str">
        <f>IFERROR(__xludf.DUMMYFUNCTION("GOOGLETRANSLATE(C692,""fr"",""en"")"),"I am satisfied with the online signature because it is fast and practical. On the other hand you can be improving your service for a little reminder to avoid forgetting to give you all docs.")</f>
        <v>I am satisfied with the online signature because it is fast and practical. On the other hand you can be improving your service for a little reminder to avoid forgetting to give you all docs.</v>
      </c>
    </row>
    <row r="693" ht="15.75" customHeight="1">
      <c r="A693" s="2">
        <v>2.0</v>
      </c>
      <c r="B693" s="2" t="s">
        <v>1957</v>
      </c>
      <c r="C693" s="2" t="s">
        <v>1958</v>
      </c>
      <c r="D693" s="2" t="s">
        <v>61</v>
      </c>
      <c r="E693" s="2" t="s">
        <v>14</v>
      </c>
      <c r="F693" s="2" t="s">
        <v>15</v>
      </c>
      <c r="G693" s="2" t="s">
        <v>1959</v>
      </c>
      <c r="H693" s="2" t="s">
        <v>395</v>
      </c>
      <c r="I693" s="3" t="str">
        <f>IFERROR(__xludf.DUMMYFUNCTION("GOOGLETRANSLATE(C693,""fr"",""en"")"),"Flee Maaf Auto Insurance! Following a disaster, it is impossible for me to reach my manager who is absent subscribers, unless she died. Despite a registered letter has about fifty calls on the victims management platform, I was answered every time it was "&amp;"going to remind me but I am still waiting! No one is aware of monitoring my file. My care with the approved garage was suspended on May 20, 2019 but I received no letter! I was only warned by the garage. As I have already said the manager of my disaster m"&amp;"ust be in palliative care.")</f>
        <v>Flee Maaf Auto Insurance! Following a disaster, it is impossible for me to reach my manager who is absent subscribers, unless she died. Despite a registered letter has about fifty calls on the victims management platform, I was answered every time it was going to remind me but I am still waiting! No one is aware of monitoring my file. My care with the approved garage was suspended on May 20, 2019 but I received no letter! I was only warned by the garage. As I have already said the manager of my disaster must be in palliative care.</v>
      </c>
    </row>
    <row r="694" ht="15.75" customHeight="1">
      <c r="A694" s="2">
        <v>1.0</v>
      </c>
      <c r="B694" s="2" t="s">
        <v>1960</v>
      </c>
      <c r="C694" s="2" t="s">
        <v>1961</v>
      </c>
      <c r="D694" s="2" t="s">
        <v>159</v>
      </c>
      <c r="E694" s="2" t="s">
        <v>285</v>
      </c>
      <c r="F694" s="2" t="s">
        <v>15</v>
      </c>
      <c r="G694" s="2" t="s">
        <v>1962</v>
      </c>
      <c r="H694" s="2" t="s">
        <v>114</v>
      </c>
      <c r="I694" s="3" t="str">
        <f>IFERROR(__xludf.DUMMYFUNCTION("GOOGLETRANSLATE(C694,""fr"",""en"")"),"My husband and I opened a 'allianz life generation' life insurance contract. In only 1 year we have lost 10% of our capital (the capital loss is calculated on our account by Allianz). Yet it is 'professionals' who manage the contract. At no time did we wa"&amp;"rn that we could lose so much money in such a short time (risky placement) otherwise it would have been placed elsewhere.")</f>
        <v>My husband and I opened a 'allianz life generation' life insurance contract. In only 1 year we have lost 10% of our capital (the capital loss is calculated on our account by Allianz). Yet it is 'professionals' who manage the contract. At no time did we warn that we could lose so much money in such a short time (risky placement) otherwise it would have been placed elsewhere.</v>
      </c>
    </row>
    <row r="695" ht="15.75" customHeight="1">
      <c r="A695" s="2">
        <v>4.0</v>
      </c>
      <c r="B695" s="2" t="s">
        <v>1963</v>
      </c>
      <c r="C695" s="2" t="s">
        <v>1964</v>
      </c>
      <c r="D695" s="2" t="s">
        <v>147</v>
      </c>
      <c r="E695" s="2" t="s">
        <v>31</v>
      </c>
      <c r="F695" s="2" t="s">
        <v>15</v>
      </c>
      <c r="G695" s="2" t="s">
        <v>1058</v>
      </c>
      <c r="H695" s="2" t="s">
        <v>149</v>
      </c>
      <c r="I695" s="3" t="str">
        <f>IFERROR(__xludf.DUMMYFUNCTION("GOOGLETRANSLATE(C695,""fr"",""en"")"),"I am a member of MGP since 01/01/2021, so I have little experience in this mutual. However, I received an excellent welcome and attentive listening during my 2 phone calls.")</f>
        <v>I am a member of MGP since 01/01/2021, so I have little experience in this mutual. However, I received an excellent welcome and attentive listening during my 2 phone calls.</v>
      </c>
    </row>
    <row r="696" ht="15.75" customHeight="1">
      <c r="A696" s="2">
        <v>1.0</v>
      </c>
      <c r="B696" s="2" t="s">
        <v>1965</v>
      </c>
      <c r="C696" s="2" t="s">
        <v>1966</v>
      </c>
      <c r="D696" s="2" t="s">
        <v>117</v>
      </c>
      <c r="E696" s="2" t="s">
        <v>14</v>
      </c>
      <c r="F696" s="2" t="s">
        <v>15</v>
      </c>
      <c r="G696" s="2" t="s">
        <v>265</v>
      </c>
      <c r="H696" s="2" t="s">
        <v>133</v>
      </c>
      <c r="I696" s="3" t="str">
        <f>IFERROR(__xludf.DUMMYFUNCTION("GOOGLETRANSLATE(C696,""fr"",""en"")"),"Assistance is absolutely disastrous. For a punctured tire, I had to be blocked for 2 full days. It took me 8 to 10 phone stroke to unlock the situation. Knowing that there are an average of 40 minutes of waiting per phone call, I let you calculate the gal"&amp;"ley :-(")</f>
        <v>Assistance is absolutely disastrous. For a punctured tire, I had to be blocked for 2 full days. It took me 8 to 10 phone stroke to unlock the situation. Knowing that there are an average of 40 minutes of waiting per phone call, I let you calculate the galley :-(</v>
      </c>
    </row>
    <row r="697" ht="15.75" customHeight="1">
      <c r="A697" s="2">
        <v>1.0</v>
      </c>
      <c r="B697" s="2" t="s">
        <v>1402</v>
      </c>
      <c r="C697" s="2" t="s">
        <v>1967</v>
      </c>
      <c r="D697" s="2" t="s">
        <v>101</v>
      </c>
      <c r="E697" s="2" t="s">
        <v>31</v>
      </c>
      <c r="F697" s="2" t="s">
        <v>15</v>
      </c>
      <c r="G697" s="2" t="s">
        <v>1968</v>
      </c>
      <c r="H697" s="2" t="s">
        <v>40</v>
      </c>
      <c r="I697" s="3" t="str">
        <f>IFERROR(__xludf.DUMMYFUNCTION("GOOGLETRANSLATE(C697,""fr"",""en"")"),"lamentable never responds to requests for information 6 messages since February no response from the ghosts ... The Conv 19 has a good back life continues for everyone.;")</f>
        <v>lamentable never responds to requests for information 6 messages since February no response from the ghosts ... The Conv 19 has a good back life continues for everyone.;</v>
      </c>
    </row>
    <row r="698" ht="15.75" customHeight="1">
      <c r="A698" s="2">
        <v>2.0</v>
      </c>
      <c r="B698" s="2" t="s">
        <v>1969</v>
      </c>
      <c r="C698" s="2" t="s">
        <v>1970</v>
      </c>
      <c r="D698" s="2" t="s">
        <v>1971</v>
      </c>
      <c r="E698" s="2" t="s">
        <v>91</v>
      </c>
      <c r="F698" s="2" t="s">
        <v>15</v>
      </c>
      <c r="G698" s="2" t="s">
        <v>1972</v>
      </c>
      <c r="H698" s="2" t="s">
        <v>156</v>
      </c>
      <c r="I698" s="3" t="str">
        <f>IFERROR(__xludf.DUMMYFUNCTION("GOOGLETRANSLATE(C698,""fr"",""en"")"),"I have a sinister water damage in progress for 7 years without assistance from Groupama before the courts where I was assigned following a contradictory expertise being, however, being favorable but whose conclusions were not accepted by the opposing part"&amp;"y.")</f>
        <v>I have a sinister water damage in progress for 7 years without assistance from Groupama before the courts where I was assigned following a contradictory expertise being, however, being favorable but whose conclusions were not accepted by the opposing party.</v>
      </c>
    </row>
    <row r="699" ht="15.75" customHeight="1">
      <c r="A699" s="2">
        <v>1.0</v>
      </c>
      <c r="B699" s="2" t="s">
        <v>1973</v>
      </c>
      <c r="C699" s="2" t="s">
        <v>1974</v>
      </c>
      <c r="D699" s="2" t="s">
        <v>367</v>
      </c>
      <c r="E699" s="2" t="s">
        <v>107</v>
      </c>
      <c r="F699" s="2" t="s">
        <v>15</v>
      </c>
      <c r="G699" s="2" t="s">
        <v>630</v>
      </c>
      <c r="H699" s="2" t="s">
        <v>535</v>
      </c>
      <c r="I699" s="3" t="str">
        <f>IFERROR(__xludf.DUMMYFUNCTION("GOOGLETRANSLATE(C699,""fr"",""en"")"),"Insurance to avoid absolutely !!!! It takes you in a few minutes and weeks to recover your money !!! Never the same speech and it always lacks a paper that you don't tell you to ask of course")</f>
        <v>Insurance to avoid absolutely !!!! It takes you in a few minutes and weeks to recover your money !!! Never the same speech and it always lacks a paper that you don't tell you to ask of course</v>
      </c>
    </row>
    <row r="700" ht="15.75" customHeight="1">
      <c r="A700" s="2">
        <v>4.0</v>
      </c>
      <c r="B700" s="2" t="s">
        <v>1975</v>
      </c>
      <c r="C700" s="2" t="s">
        <v>1976</v>
      </c>
      <c r="D700" s="2" t="s">
        <v>101</v>
      </c>
      <c r="E700" s="2" t="s">
        <v>31</v>
      </c>
      <c r="F700" s="2" t="s">
        <v>15</v>
      </c>
      <c r="G700" s="2" t="s">
        <v>1584</v>
      </c>
      <c r="H700" s="2" t="s">
        <v>27</v>
      </c>
      <c r="I700" s="3" t="str">
        <f>IFERROR(__xludf.DUMMYFUNCTION("GOOGLETRANSLATE(C700,""fr"",""en"")"),"Responsive and welcome. The services are good, a lot of choices in health coverage, prices are reasonable. Customer service is easy to reach")</f>
        <v>Responsive and welcome. The services are good, a lot of choices in health coverage, prices are reasonable. Customer service is easy to reach</v>
      </c>
    </row>
    <row r="701" ht="15.75" customHeight="1">
      <c r="A701" s="2">
        <v>3.0</v>
      </c>
      <c r="B701" s="2" t="s">
        <v>1977</v>
      </c>
      <c r="C701" s="2" t="s">
        <v>1978</v>
      </c>
      <c r="D701" s="2" t="s">
        <v>159</v>
      </c>
      <c r="E701" s="2" t="s">
        <v>91</v>
      </c>
      <c r="F701" s="2" t="s">
        <v>15</v>
      </c>
      <c r="G701" s="2" t="s">
        <v>1979</v>
      </c>
      <c r="H701" s="2" t="s">
        <v>54</v>
      </c>
      <c r="I701" s="3" t="str">
        <f>IFERROR(__xludf.DUMMYFUNCTION("GOOGLETRANSLATE(C701,""fr"",""en"")"),"This multinational is unable to take automatic samples in France if you have a contract in Portugal. This despite the launch of the SEPA for more than 7 years to facilitate interban exchanges in the euro space. Inadmissible, it is an old lady who is aslee"&amp;"p!")</f>
        <v>This multinational is unable to take automatic samples in France if you have a contract in Portugal. This despite the launch of the SEPA for more than 7 years to facilitate interban exchanges in the euro space. Inadmissible, it is an old lady who is asleep!</v>
      </c>
    </row>
    <row r="702" ht="15.75" customHeight="1">
      <c r="A702" s="2">
        <v>5.0</v>
      </c>
      <c r="B702" s="2" t="s">
        <v>1980</v>
      </c>
      <c r="C702" s="2" t="s">
        <v>1981</v>
      </c>
      <c r="D702" s="2" t="s">
        <v>233</v>
      </c>
      <c r="E702" s="2" t="s">
        <v>14</v>
      </c>
      <c r="F702" s="2" t="s">
        <v>15</v>
      </c>
      <c r="G702" s="2" t="s">
        <v>274</v>
      </c>
      <c r="H702" s="2" t="s">
        <v>27</v>
      </c>
      <c r="I702" s="3" t="str">
        <f>IFERROR(__xludf.DUMMYFUNCTION("GOOGLETRANSLATE(C702,""fr"",""en"")"),"I am satisfied with the service, the prices are not the most advantageous, I think there is still a little effort made on this side. Very reactive insurance.")</f>
        <v>I am satisfied with the service, the prices are not the most advantageous, I think there is still a little effort made on this side. Very reactive insurance.</v>
      </c>
    </row>
    <row r="703" ht="15.75" customHeight="1">
      <c r="A703" s="2">
        <v>3.0</v>
      </c>
      <c r="B703" s="2" t="s">
        <v>1982</v>
      </c>
      <c r="C703" s="2" t="s">
        <v>1983</v>
      </c>
      <c r="D703" s="2" t="s">
        <v>159</v>
      </c>
      <c r="E703" s="2" t="s">
        <v>14</v>
      </c>
      <c r="F703" s="2" t="s">
        <v>15</v>
      </c>
      <c r="G703" s="2" t="s">
        <v>1984</v>
      </c>
      <c r="H703" s="2" t="s">
        <v>187</v>
      </c>
      <c r="I703" s="3" t="str">
        <f>IFERROR(__xludf.DUMMYFUNCTION("GOOGLETRANSLATE(C703,""fr"",""en"")"),"After three incidents out of my responsibility, I was noted the end of my contract with this company, I believe that it is abusive, since I have been insured since 2013 and that since that date I had this year two traffic accidents outside my responsibili"&amp;"ty and a break of ice in parking last year")</f>
        <v>After three incidents out of my responsibility, I was noted the end of my contract with this company, I believe that it is abusive, since I have been insured since 2013 and that since that date I had this year two traffic accidents outside my responsibility and a break of ice in parking last year</v>
      </c>
    </row>
    <row r="704" ht="15.75" customHeight="1">
      <c r="A704" s="2">
        <v>4.0</v>
      </c>
      <c r="B704" s="2" t="s">
        <v>1985</v>
      </c>
      <c r="C704" s="2" t="s">
        <v>1986</v>
      </c>
      <c r="D704" s="2" t="s">
        <v>20</v>
      </c>
      <c r="E704" s="2" t="s">
        <v>14</v>
      </c>
      <c r="F704" s="2" t="s">
        <v>15</v>
      </c>
      <c r="G704" s="2" t="s">
        <v>1987</v>
      </c>
      <c r="H704" s="2" t="s">
        <v>133</v>
      </c>
      <c r="I704" s="3" t="str">
        <f>IFERROR(__xludf.DUMMYFUNCTION("GOOGLETRANSLATE(C704,""fr"",""en"")"),"I am satisfied with your service
The prices my suits
Simple and practical
I would like you a good continuation to your Direct-Insurance Company")</f>
        <v>I am satisfied with your service
The prices my suits
Simple and practical
I would like you a good continuation to your Direct-Insurance Company</v>
      </c>
    </row>
    <row r="705" ht="15.75" customHeight="1">
      <c r="A705" s="2">
        <v>2.0</v>
      </c>
      <c r="B705" s="2" t="s">
        <v>1988</v>
      </c>
      <c r="C705" s="2" t="s">
        <v>1989</v>
      </c>
      <c r="D705" s="2" t="s">
        <v>80</v>
      </c>
      <c r="E705" s="2" t="s">
        <v>25</v>
      </c>
      <c r="F705" s="2" t="s">
        <v>15</v>
      </c>
      <c r="G705" s="2" t="s">
        <v>1990</v>
      </c>
      <c r="H705" s="2" t="s">
        <v>341</v>
      </c>
      <c r="I705" s="3" t="str">
        <f>IFERROR(__xludf.DUMMYFUNCTION("GOOGLETRANSLATE(C705,""fr"",""en"")"),"Following sinister (theft of a vehicle), impossible to be reimbursed despite the sending of all the requested documents, impossible to know why and this has been going on for 4 and a half months.
If the reception of the service responds well, you are tol"&amp;"d that it does not depend on them.
")</f>
        <v>Following sinister (theft of a vehicle), impossible to be reimbursed despite the sending of all the requested documents, impossible to know why and this has been going on for 4 and a half months.
If the reception of the service responds well, you are told that it does not depend on them.
</v>
      </c>
    </row>
    <row r="706" ht="15.75" customHeight="1">
      <c r="A706" s="2">
        <v>3.0</v>
      </c>
      <c r="B706" s="2" t="s">
        <v>1991</v>
      </c>
      <c r="C706" s="2" t="s">
        <v>1992</v>
      </c>
      <c r="D706" s="2" t="s">
        <v>13</v>
      </c>
      <c r="E706" s="2" t="s">
        <v>14</v>
      </c>
      <c r="F706" s="2" t="s">
        <v>15</v>
      </c>
      <c r="G706" s="2" t="s">
        <v>1603</v>
      </c>
      <c r="H706" s="2" t="s">
        <v>125</v>
      </c>
      <c r="I706" s="3" t="str">
        <f>IFERROR(__xludf.DUMMYFUNCTION("GOOGLETRANSLATE(C706,""fr"",""en"")"),"The prices as well as the franchises are still substantial but I remain satisfied on the whole, I have already been insured at home in the past and I was not disappointed either.")</f>
        <v>The prices as well as the franchises are still substantial but I remain satisfied on the whole, I have already been insured at home in the past and I was not disappointed either.</v>
      </c>
    </row>
    <row r="707" ht="15.75" customHeight="1">
      <c r="A707" s="2">
        <v>4.0</v>
      </c>
      <c r="B707" s="2" t="s">
        <v>1993</v>
      </c>
      <c r="C707" s="2" t="s">
        <v>1994</v>
      </c>
      <c r="D707" s="2" t="s">
        <v>24</v>
      </c>
      <c r="E707" s="2" t="s">
        <v>25</v>
      </c>
      <c r="F707" s="2" t="s">
        <v>15</v>
      </c>
      <c r="G707" s="2" t="s">
        <v>724</v>
      </c>
      <c r="H707" s="2" t="s">
        <v>58</v>
      </c>
      <c r="I707" s="3" t="str">
        <f>IFERROR(__xludf.DUMMYFUNCTION("GOOGLETRANSLATE(C707,""fr"",""en"")"),"I am satisfied with the service, very easy navigation site. The proof: I have been a loyal client for almost 20 years !! I appreciate the ease of use of the site")</f>
        <v>I am satisfied with the service, very easy navigation site. The proof: I have been a loyal client for almost 20 years !! I appreciate the ease of use of the site</v>
      </c>
    </row>
    <row r="708" ht="15.75" customHeight="1">
      <c r="A708" s="2">
        <v>4.0</v>
      </c>
      <c r="B708" s="2" t="s">
        <v>1995</v>
      </c>
      <c r="C708" s="2" t="s">
        <v>1996</v>
      </c>
      <c r="D708" s="2" t="s">
        <v>20</v>
      </c>
      <c r="E708" s="2" t="s">
        <v>14</v>
      </c>
      <c r="F708" s="2" t="s">
        <v>15</v>
      </c>
      <c r="G708" s="2" t="s">
        <v>1997</v>
      </c>
      <c r="H708" s="2" t="s">
        <v>156</v>
      </c>
      <c r="I708" s="3" t="str">
        <f>IFERROR(__xludf.DUMMYFUNCTION("GOOGLETRANSLATE(C708,""fr"",""en"")")," I already know my partner is insured at home correct prices ..... never needed your services .... to see al use and according to the competition price")</f>
        <v> I already know my partner is insured at home correct prices ..... never needed your services .... to see al use and according to the competition price</v>
      </c>
    </row>
    <row r="709" ht="15.75" customHeight="1">
      <c r="A709" s="2">
        <v>5.0</v>
      </c>
      <c r="B709" s="2" t="s">
        <v>1998</v>
      </c>
      <c r="C709" s="2" t="s">
        <v>1999</v>
      </c>
      <c r="D709" s="2" t="s">
        <v>20</v>
      </c>
      <c r="E709" s="2" t="s">
        <v>14</v>
      </c>
      <c r="F709" s="2" t="s">
        <v>15</v>
      </c>
      <c r="G709" s="2" t="s">
        <v>1254</v>
      </c>
      <c r="H709" s="2" t="s">
        <v>172</v>
      </c>
      <c r="I709" s="3" t="str">
        <f>IFERROR(__xludf.DUMMYFUNCTION("GOOGLETRANSLATE(C709,""fr"",""en"")"),"Perfect the prices are resonable we will see in time how this deroule so I recommend level rate I make an economy of 30th per month")</f>
        <v>Perfect the prices are resonable we will see in time how this deroule so I recommend level rate I make an economy of 30th per month</v>
      </c>
    </row>
    <row r="710" ht="15.75" customHeight="1">
      <c r="A710" s="2">
        <v>4.0</v>
      </c>
      <c r="B710" s="2" t="s">
        <v>2000</v>
      </c>
      <c r="C710" s="2" t="s">
        <v>2001</v>
      </c>
      <c r="D710" s="2" t="s">
        <v>13</v>
      </c>
      <c r="E710" s="2" t="s">
        <v>14</v>
      </c>
      <c r="F710" s="2" t="s">
        <v>15</v>
      </c>
      <c r="G710" s="2" t="s">
        <v>21</v>
      </c>
      <c r="H710" s="2" t="s">
        <v>17</v>
      </c>
      <c r="I710" s="3" t="str">
        <f>IFERROR(__xludf.DUMMYFUNCTION("GOOGLETRANSLATE(C710,""fr"",""en"")"),"I am satisfied with your service and especially she was super nice hyper light and at the price level as correct thank you and good day")</f>
        <v>I am satisfied with your service and especially she was super nice hyper light and at the price level as correct thank you and good day</v>
      </c>
    </row>
    <row r="711" ht="15.75" customHeight="1">
      <c r="A711" s="2">
        <v>1.0</v>
      </c>
      <c r="B711" s="2" t="s">
        <v>2002</v>
      </c>
      <c r="C711" s="2" t="s">
        <v>2003</v>
      </c>
      <c r="D711" s="2" t="s">
        <v>48</v>
      </c>
      <c r="E711" s="2" t="s">
        <v>91</v>
      </c>
      <c r="F711" s="2" t="s">
        <v>15</v>
      </c>
      <c r="G711" s="2" t="s">
        <v>308</v>
      </c>
      <c r="H711" s="2" t="s">
        <v>309</v>
      </c>
      <c r="I711" s="3" t="str">
        <f>IFERROR(__xludf.DUMMYFUNCTION("GOOGLETRANSLATE(C711,""fr"",""en"")"),"Home insurance: coupled with driver insurance for an elderly person who no longer has a vehicle ... not appropriate product. Declaration to the insurance of the absence of a vehicle with copy of the last transfer ... without effect. Modification of the in"&amp;"surance contract: not possible: given the flexibility of the MAIF, I cannot subscribe to this commercial policy which consists in not taking into account the modifications when they lessen the samples ...")</f>
        <v>Home insurance: coupled with driver insurance for an elderly person who no longer has a vehicle ... not appropriate product. Declaration to the insurance of the absence of a vehicle with copy of the last transfer ... without effect. Modification of the insurance contract: not possible: given the flexibility of the MAIF, I cannot subscribe to this commercial policy which consists in not taking into account the modifications when they lessen the samples ...</v>
      </c>
    </row>
    <row r="712" ht="15.75" customHeight="1">
      <c r="A712" s="2">
        <v>5.0</v>
      </c>
      <c r="B712" s="2" t="s">
        <v>2004</v>
      </c>
      <c r="C712" s="2" t="s">
        <v>2005</v>
      </c>
      <c r="D712" s="2" t="s">
        <v>13</v>
      </c>
      <c r="E712" s="2" t="s">
        <v>14</v>
      </c>
      <c r="F712" s="2" t="s">
        <v>15</v>
      </c>
      <c r="G712" s="2" t="s">
        <v>2006</v>
      </c>
      <c r="H712" s="2" t="s">
        <v>172</v>
      </c>
      <c r="I712" s="3" t="str">
        <f>IFERROR(__xludf.DUMMYFUNCTION("GOOGLETRANSLATE(C712,""fr"",""en"")"),"I am satisfied with the service offer affordable insurance and which is very well organized
I am delighted to be at the Olivier Insurance this year")</f>
        <v>I am satisfied with the service offer affordable insurance and which is very well organized
I am delighted to be at the Olivier Insurance this year</v>
      </c>
    </row>
    <row r="713" ht="15.75" customHeight="1">
      <c r="A713" s="2">
        <v>5.0</v>
      </c>
      <c r="B713" s="2" t="s">
        <v>2007</v>
      </c>
      <c r="C713" s="2" t="s">
        <v>2008</v>
      </c>
      <c r="D713" s="2" t="s">
        <v>233</v>
      </c>
      <c r="E713" s="2" t="s">
        <v>14</v>
      </c>
      <c r="F713" s="2" t="s">
        <v>15</v>
      </c>
      <c r="G713" s="2" t="s">
        <v>234</v>
      </c>
      <c r="H713" s="2" t="s">
        <v>72</v>
      </c>
      <c r="I713" s="3" t="str">
        <f>IFERROR(__xludf.DUMMYFUNCTION("GOOGLETRANSLATE(C713,""fr"",""en"")"),"Very satisfied with the price and the GMF advisor since 1970 no problem even with claims self -insurance and housing roofing apes small in 1993
9")</f>
        <v>Very satisfied with the price and the GMF advisor since 1970 no problem even with claims self -insurance and housing roofing apes small in 1993
9</v>
      </c>
    </row>
    <row r="714" ht="15.75" customHeight="1">
      <c r="A714" s="2">
        <v>1.0</v>
      </c>
      <c r="B714" s="2" t="s">
        <v>2009</v>
      </c>
      <c r="C714" s="2" t="s">
        <v>2010</v>
      </c>
      <c r="D714" s="2" t="s">
        <v>90</v>
      </c>
      <c r="E714" s="2" t="s">
        <v>91</v>
      </c>
      <c r="F714" s="2" t="s">
        <v>15</v>
      </c>
      <c r="G714" s="2" t="s">
        <v>1228</v>
      </c>
      <c r="H714" s="2" t="s">
        <v>911</v>
      </c>
      <c r="I714" s="3" t="str">
        <f>IFERROR(__xludf.DUMMYFUNCTION("GOOGLETRANSLATE(C714,""fr"",""en"")"),"SOGESSUR customer service nonexistent - unworthy service of the Société Générale group
Following the passage of an insurance expert at our home (burglary), we are in vain to join the Sogessur sinister service in order to obtain the details of the reimb"&amp;"ursement made on our bank account. After a dozen attempts per day for a week, my wife and I are desperate in the face of such opacity:
 - No advisor available on 09 69 36 88 36
 - No email address available to make a simple information request
 - No wa"&amp;"y available to make a complaint
claim: SGRX45002533")</f>
        <v>SOGESSUR customer service nonexistent - unworthy service of the Société Générale group
Following the passage of an insurance expert at our home (burglary), we are in vain to join the Sogessur sinister service in order to obtain the details of the reimbursement made on our bank account. After a dozen attempts per day for a week, my wife and I are desperate in the face of such opacity:
 - No advisor available on 09 69 36 88 36
 - No email address available to make a simple information request
 - No way available to make a complaint
claim: SGRX45002533</v>
      </c>
    </row>
    <row r="715" ht="15.75" customHeight="1">
      <c r="A715" s="2">
        <v>5.0</v>
      </c>
      <c r="B715" s="2" t="s">
        <v>2011</v>
      </c>
      <c r="C715" s="2" t="s">
        <v>2012</v>
      </c>
      <c r="D715" s="2" t="s">
        <v>13</v>
      </c>
      <c r="E715" s="2" t="s">
        <v>14</v>
      </c>
      <c r="F715" s="2" t="s">
        <v>15</v>
      </c>
      <c r="G715" s="2" t="s">
        <v>1002</v>
      </c>
      <c r="H715" s="2" t="s">
        <v>58</v>
      </c>
      <c r="I715" s="3" t="str">
        <f>IFERROR(__xludf.DUMMYFUNCTION("GOOGLETRANSLATE(C715,""fr"",""en"")"),"Fast and honest with good interlocutors that are both sympathetic and helping, I renew at home min second vehicle because no worries at home!")</f>
        <v>Fast and honest with good interlocutors that are both sympathetic and helping, I renew at home min second vehicle because no worries at home!</v>
      </c>
    </row>
    <row r="716" ht="15.75" customHeight="1">
      <c r="A716" s="2">
        <v>2.0</v>
      </c>
      <c r="B716" s="2" t="s">
        <v>2013</v>
      </c>
      <c r="C716" s="2" t="s">
        <v>2014</v>
      </c>
      <c r="D716" s="2" t="s">
        <v>106</v>
      </c>
      <c r="E716" s="2" t="s">
        <v>107</v>
      </c>
      <c r="F716" s="2" t="s">
        <v>15</v>
      </c>
      <c r="G716" s="2" t="s">
        <v>2015</v>
      </c>
      <c r="H716" s="2" t="s">
        <v>77</v>
      </c>
      <c r="I716" s="3" t="str">
        <f>IFERROR(__xludf.DUMMYFUNCTION("GOOGLETRANSLATE(C716,""fr"",""en"")"),"I have been a customer for a few years, administrative management and customer monitoring is almost inexistent which generates delays and tax penalties by not benefiting from certain rights to which we have rights as for article 83.
Very good for us aske"&amp;"d for commercial and mediocre for follow -up for follow -up in facts forced to do their work by relaunching them. They will lose my wallet is on ...
Finally to see the whole of the rating on this institution it might be wise to question you otherwise you"&amp;" have to believe that it is wanted.")</f>
        <v>I have been a customer for a few years, administrative management and customer monitoring is almost inexistent which generates delays and tax penalties by not benefiting from certain rights to which we have rights as for article 83.
Very good for us asked for commercial and mediocre for follow -up for follow -up in facts forced to do their work by relaunching them. They will lose my wallet is on ...
Finally to see the whole of the rating on this institution it might be wise to question you otherwise you have to believe that it is wanted.</v>
      </c>
    </row>
    <row r="717" ht="15.75" customHeight="1">
      <c r="A717" s="2">
        <v>3.0</v>
      </c>
      <c r="B717" s="2" t="s">
        <v>2016</v>
      </c>
      <c r="C717" s="2" t="s">
        <v>2017</v>
      </c>
      <c r="D717" s="2" t="s">
        <v>48</v>
      </c>
      <c r="E717" s="2" t="s">
        <v>91</v>
      </c>
      <c r="F717" s="2" t="s">
        <v>15</v>
      </c>
      <c r="G717" s="2" t="s">
        <v>2018</v>
      </c>
      <c r="H717" s="2" t="s">
        <v>1085</v>
      </c>
      <c r="I717" s="3" t="str">
        <f>IFERROR(__xludf.DUMMYFUNCTION("GOOGLETRANSLATE(C717,""fr"",""en"")"),"Hello, after the violent thunderstorms, a huge amount of water filtered with my roof and soaked my ceiling which ended up drilling. There was no one in the room concerned fortunately because half the ceiling collapsed, Let the water pass etc ... I pass th"&amp;"e details. I immediately called the Maif, a roofer to clog at best, and for a week I have been walking swords from Maif, in the expert office who to date has an inactive number, who is fun? The expert at once has no phone? In short, apart from the calls w"&amp;"ithout follow -up, no expert has moved ... I told me to remind me at noon, then tonight, then the next day, and the situation is likely to deteriorate given the weather conditions .. member for 30 Years, I admit that I envisage after this disaster to see "&amp;"elsewhere, because they have always been very quick to claim contributions, but obviously absent in the event of a disaster. If my ceiling collapses and causes injuries I will file a complaint because I am indignant.")</f>
        <v>Hello, after the violent thunderstorms, a huge amount of water filtered with my roof and soaked my ceiling which ended up drilling. There was no one in the room concerned fortunately because half the ceiling collapsed, Let the water pass etc ... I pass the details. I immediately called the Maif, a roofer to clog at best, and for a week I have been walking swords from Maif, in the expert office who to date has an inactive number, who is fun? The expert at once has no phone? In short, apart from the calls without follow -up, no expert has moved ... I told me to remind me at noon, then tonight, then the next day, and the situation is likely to deteriorate given the weather conditions .. member for 30 Years, I admit that I envisage after this disaster to see elsewhere, because they have always been very quick to claim contributions, but obviously absent in the event of a disaster. If my ceiling collapses and causes injuries I will file a complaint because I am indignant.</v>
      </c>
    </row>
    <row r="718" ht="15.75" customHeight="1">
      <c r="A718" s="2">
        <v>3.0</v>
      </c>
      <c r="B718" s="2" t="s">
        <v>2019</v>
      </c>
      <c r="C718" s="2" t="s">
        <v>2020</v>
      </c>
      <c r="D718" s="2" t="s">
        <v>20</v>
      </c>
      <c r="E718" s="2" t="s">
        <v>14</v>
      </c>
      <c r="F718" s="2" t="s">
        <v>15</v>
      </c>
      <c r="G718" s="2" t="s">
        <v>2021</v>
      </c>
      <c r="H718" s="2" t="s">
        <v>255</v>
      </c>
      <c r="I718" s="3" t="str">
        <f>IFERROR(__xludf.DUMMYFUNCTION("GOOGLETRANSLATE(C718,""fr"",""en"")"),"I have been a Direct Auto Insurance Customer for twenty years and am satisfied with their guarantees and their services. But the only reproach I can make them, (and not the least), relates to their less and less competitive prices. This is the reason why "&amp;"I plan to change insurer.")</f>
        <v>I have been a Direct Auto Insurance Customer for twenty years and am satisfied with their guarantees and their services. But the only reproach I can make them, (and not the least), relates to their less and less competitive prices. This is the reason why I plan to change insurer.</v>
      </c>
    </row>
    <row r="719" ht="15.75" customHeight="1">
      <c r="A719" s="2">
        <v>5.0</v>
      </c>
      <c r="B719" s="2" t="s">
        <v>2022</v>
      </c>
      <c r="C719" s="2" t="s">
        <v>2023</v>
      </c>
      <c r="D719" s="2" t="s">
        <v>61</v>
      </c>
      <c r="E719" s="2" t="s">
        <v>91</v>
      </c>
      <c r="F719" s="2" t="s">
        <v>15</v>
      </c>
      <c r="G719" s="2" t="s">
        <v>2024</v>
      </c>
      <c r="H719" s="2" t="s">
        <v>172</v>
      </c>
      <c r="I719" s="3" t="str">
        <f>IFERROR(__xludf.DUMMYFUNCTION("GOOGLETRANSLATE(C719,""fr"",""en"")"),"Being the owner of several accommodation, I was able to have a lot of insurance of tenants with a lot of insurance.
I have been insured at the MAAF for years. They are available, responsive, and they pay quickly.
I can only recommend them 100 %")</f>
        <v>Being the owner of several accommodation, I was able to have a lot of insurance of tenants with a lot of insurance.
I have been insured at the MAAF for years. They are available, responsive, and they pay quickly.
I can only recommend them 100 %</v>
      </c>
    </row>
    <row r="720" ht="15.75" customHeight="1">
      <c r="A720" s="2">
        <v>2.0</v>
      </c>
      <c r="B720" s="2" t="s">
        <v>2025</v>
      </c>
      <c r="C720" s="2" t="s">
        <v>2026</v>
      </c>
      <c r="D720" s="2" t="s">
        <v>48</v>
      </c>
      <c r="E720" s="2" t="s">
        <v>91</v>
      </c>
      <c r="F720" s="2" t="s">
        <v>15</v>
      </c>
      <c r="G720" s="2" t="s">
        <v>2027</v>
      </c>
      <c r="H720" s="2" t="s">
        <v>313</v>
      </c>
      <c r="I720" s="3" t="str">
        <f>IFERROR(__xludf.DUMMYFUNCTION("GOOGLETRANSLATE(C720,""fr"",""en"")"),"I suffered 2 non -responsible water damage. The MAIF refuses to repay the entire small amount of the paint 836 euros and the deductible it had to recover. The director has not answered my LRAR of December 2, 2018")</f>
        <v>I suffered 2 non -responsible water damage. The MAIF refuses to repay the entire small amount of the paint 836 euros and the deductible it had to recover. The director has not answered my LRAR of December 2, 2018</v>
      </c>
    </row>
    <row r="721" ht="15.75" customHeight="1">
      <c r="A721" s="2">
        <v>2.0</v>
      </c>
      <c r="B721" s="2" t="s">
        <v>2028</v>
      </c>
      <c r="C721" s="2" t="s">
        <v>2029</v>
      </c>
      <c r="D721" s="2" t="s">
        <v>13</v>
      </c>
      <c r="E721" s="2" t="s">
        <v>14</v>
      </c>
      <c r="F721" s="2" t="s">
        <v>15</v>
      </c>
      <c r="G721" s="2" t="s">
        <v>2030</v>
      </c>
      <c r="H721" s="2" t="s">
        <v>27</v>
      </c>
      <c r="I721" s="3" t="str">
        <f>IFERROR(__xludf.DUMMYFUNCTION("GOOGLETRANSLATE(C721,""fr"",""en"")"),"Finally the price per month is without counting the deposit that must have to pay and which did not specify correctly at the start, which is a shame because the price is very attractive yet")</f>
        <v>Finally the price per month is without counting the deposit that must have to pay and which did not specify correctly at the start, which is a shame because the price is very attractive yet</v>
      </c>
    </row>
    <row r="722" ht="15.75" customHeight="1">
      <c r="A722" s="2">
        <v>3.0</v>
      </c>
      <c r="B722" s="2" t="s">
        <v>2031</v>
      </c>
      <c r="C722" s="2" t="s">
        <v>2032</v>
      </c>
      <c r="D722" s="2" t="s">
        <v>367</v>
      </c>
      <c r="E722" s="2" t="s">
        <v>107</v>
      </c>
      <c r="F722" s="2" t="s">
        <v>15</v>
      </c>
      <c r="G722" s="2" t="s">
        <v>1207</v>
      </c>
      <c r="H722" s="2" t="s">
        <v>114</v>
      </c>
      <c r="I722" s="3" t="str">
        <f>IFERROR(__xludf.DUMMYFUNCTION("GOOGLETRANSLATE(C722,""fr"",""en"")"),"Hello, after a 3rd recovery for a review of my contract you answer me: knowing that I am invalidity and always an employee ""after CNP examination maintains its decision to refuse.")</f>
        <v>Hello, after a 3rd recovery for a review of my contract you answer me: knowing that I am invalidity and always an employee "after CNP examination maintains its decision to refuse.</v>
      </c>
    </row>
    <row r="723" ht="15.75" customHeight="1">
      <c r="A723" s="2">
        <v>2.0</v>
      </c>
      <c r="B723" s="2" t="s">
        <v>2033</v>
      </c>
      <c r="C723" s="2" t="s">
        <v>2034</v>
      </c>
      <c r="D723" s="2" t="s">
        <v>13</v>
      </c>
      <c r="E723" s="2" t="s">
        <v>14</v>
      </c>
      <c r="F723" s="2" t="s">
        <v>15</v>
      </c>
      <c r="G723" s="2" t="s">
        <v>2035</v>
      </c>
      <c r="H723" s="2" t="s">
        <v>72</v>
      </c>
      <c r="I723" s="3" t="str">
        <f>IFERROR(__xludf.DUMMYFUNCTION("GOOGLETRANSLATE(C723,""fr"",""en"")"),"to flee !!!!!!!!!!!!!!!!!!!!!!!!!
I called for information (namely if I could take customers to bring them visiting as part of my real estate profession, something I have never done) ... I was told that I had Not the right, so ok, stupid and disciplined "&amp;"I would not do it. But I was terminated for ""risk worsening"".
Here I am without insurance, and annoyed to find another .. when you are terminated like that, it's more complicated.
Once the thing is launched they cannot go back, and don't want to hear "&amp;"anything.")</f>
        <v>to flee !!!!!!!!!!!!!!!!!!!!!!!!!
I called for information (namely if I could take customers to bring them visiting as part of my real estate profession, something I have never done) ... I was told that I had Not the right, so ok, stupid and disciplined I would not do it. But I was terminated for "risk worsening".
Here I am without insurance, and annoyed to find another .. when you are terminated like that, it's more complicated.
Once the thing is launched they cannot go back, and don't want to hear anything.</v>
      </c>
    </row>
    <row r="724" ht="15.75" customHeight="1">
      <c r="A724" s="2">
        <v>1.0</v>
      </c>
      <c r="B724" s="2" t="s">
        <v>2036</v>
      </c>
      <c r="C724" s="2" t="s">
        <v>2037</v>
      </c>
      <c r="D724" s="2" t="s">
        <v>30</v>
      </c>
      <c r="E724" s="2" t="s">
        <v>31</v>
      </c>
      <c r="F724" s="2" t="s">
        <v>15</v>
      </c>
      <c r="G724" s="2" t="s">
        <v>2038</v>
      </c>
      <c r="H724" s="2" t="s">
        <v>152</v>
      </c>
      <c r="I724" s="3" t="str">
        <f>IFERROR(__xludf.DUMMYFUNCTION("GOOGLETRANSLATE(C724,""fr"",""en"")"),"Serious breach of the duty of information! I had barely subscribed to this complementary, as part of my company, that I was taken from the sums for contributions ... having not been warned, the sums taken led to agios and to significant budget problems;
"&amp;"I called to share my dissatisfaction and ask for the termination of the contract ... Las you have to wait a year (?)")</f>
        <v>Serious breach of the duty of information! I had barely subscribed to this complementary, as part of my company, that I was taken from the sums for contributions ... having not been warned, the sums taken led to agios and to significant budget problems;
I called to share my dissatisfaction and ask for the termination of the contract ... Las you have to wait a year (?)</v>
      </c>
    </row>
    <row r="725" ht="15.75" customHeight="1">
      <c r="A725" s="2">
        <v>4.0</v>
      </c>
      <c r="B725" s="2" t="s">
        <v>2039</v>
      </c>
      <c r="C725" s="2" t="s">
        <v>2040</v>
      </c>
      <c r="D725" s="2" t="s">
        <v>280</v>
      </c>
      <c r="E725" s="2" t="s">
        <v>14</v>
      </c>
      <c r="F725" s="2" t="s">
        <v>15</v>
      </c>
      <c r="G725" s="2" t="s">
        <v>2041</v>
      </c>
      <c r="H725" s="2" t="s">
        <v>309</v>
      </c>
      <c r="I725" s="3" t="str">
        <f>IFERROR(__xludf.DUMMYFUNCTION("GOOGLETRANSLATE(C725,""fr"",""en"")"),"Very welcome at the Dax agency and the advice are suitable, relevant and judicious. Warm, fast and efficient intervention. Attentive and attentive staff. thanks again")</f>
        <v>Very welcome at the Dax agency and the advice are suitable, relevant and judicious. Warm, fast and efficient intervention. Attentive and attentive staff. thanks again</v>
      </c>
    </row>
    <row r="726" ht="15.75" customHeight="1">
      <c r="A726" s="2">
        <v>5.0</v>
      </c>
      <c r="B726" s="2" t="s">
        <v>2042</v>
      </c>
      <c r="C726" s="2" t="s">
        <v>2043</v>
      </c>
      <c r="D726" s="2" t="s">
        <v>233</v>
      </c>
      <c r="E726" s="2" t="s">
        <v>14</v>
      </c>
      <c r="F726" s="2" t="s">
        <v>15</v>
      </c>
      <c r="G726" s="2" t="s">
        <v>2044</v>
      </c>
      <c r="H726" s="2" t="s">
        <v>27</v>
      </c>
      <c r="I726" s="3" t="str">
        <f>IFERROR(__xludf.DUMMYFUNCTION("GOOGLETRANSLATE(C726,""fr"",""en"")"),"I am satisfied thank you. By the history by the present and by the encouraging future. On the other hand, I am in the misunderstanding of not being able to put stars by checking on it ??
Here I hope everyone is fine.
Regards Dominique Slingue")</f>
        <v>I am satisfied thank you. By the history by the present and by the encouraging future. On the other hand, I am in the misunderstanding of not being able to put stars by checking on it ??
Here I hope everyone is fine.
Regards Dominique Slingue</v>
      </c>
    </row>
    <row r="727" ht="15.75" customHeight="1">
      <c r="A727" s="2">
        <v>4.0</v>
      </c>
      <c r="B727" s="2" t="s">
        <v>2045</v>
      </c>
      <c r="C727" s="2" t="s">
        <v>2046</v>
      </c>
      <c r="D727" s="2" t="s">
        <v>513</v>
      </c>
      <c r="E727" s="2" t="s">
        <v>14</v>
      </c>
      <c r="F727" s="2" t="s">
        <v>15</v>
      </c>
      <c r="G727" s="2" t="s">
        <v>2047</v>
      </c>
      <c r="H727" s="2" t="s">
        <v>504</v>
      </c>
      <c r="I727" s="3" t="str">
        <f>IFERROR(__xludf.DUMMYFUNCTION("GOOGLETRANSLATE(C727,""fr"",""en"")"),"Very good insurance
They know how to take care of the customer in the wrong time.
From the moment they have all the incident information to pass they do their jobs and you have news a faith that all is ok")</f>
        <v>Very good insurance
They know how to take care of the customer in the wrong time.
From the moment they have all the incident information to pass they do their jobs and you have news a faith that all is ok</v>
      </c>
    </row>
    <row r="728" ht="15.75" customHeight="1">
      <c r="A728" s="2">
        <v>4.0</v>
      </c>
      <c r="B728" s="2" t="s">
        <v>2048</v>
      </c>
      <c r="C728" s="2" t="s">
        <v>2049</v>
      </c>
      <c r="D728" s="2" t="s">
        <v>513</v>
      </c>
      <c r="E728" s="2" t="s">
        <v>91</v>
      </c>
      <c r="F728" s="2" t="s">
        <v>15</v>
      </c>
      <c r="G728" s="2" t="s">
        <v>1716</v>
      </c>
      <c r="H728" s="2" t="s">
        <v>313</v>
      </c>
      <c r="I728" s="3" t="str">
        <f>IFERROR(__xludf.DUMMYFUNCTION("GOOGLETRANSLATE(C728,""fr"",""en"")"),"Very good quick reimbursement service good telephone relationship with customers very good insurance for home and healthy healthy car very satisfied")</f>
        <v>Very good quick reimbursement service good telephone relationship with customers very good insurance for home and healthy healthy car very satisfied</v>
      </c>
    </row>
    <row r="729" ht="15.75" customHeight="1">
      <c r="A729" s="2">
        <v>1.0</v>
      </c>
      <c r="B729" s="2" t="s">
        <v>2050</v>
      </c>
      <c r="C729" s="2" t="s">
        <v>2051</v>
      </c>
      <c r="D729" s="2" t="s">
        <v>13</v>
      </c>
      <c r="E729" s="2" t="s">
        <v>14</v>
      </c>
      <c r="F729" s="2" t="s">
        <v>15</v>
      </c>
      <c r="G729" s="2" t="s">
        <v>1837</v>
      </c>
      <c r="H729" s="2" t="s">
        <v>87</v>
      </c>
      <c r="I729" s="3" t="str">
        <f>IFERROR(__xludf.DUMMYFUNCTION("GOOGLETRANSLATE(C729,""fr"",""en"")"),"I took provisional insurance for my vehicle and when I had the interlocutor of the olive tree, he absolutely wanted my contract, he told me that if my documents are not registered before the end of the month, My contract will be terminated and suddenly I "&amp;"sold my car, it puts me in the bailiff procedure, frankly they are not expensive, but I do not recommend you to make sure you.")</f>
        <v>I took provisional insurance for my vehicle and when I had the interlocutor of the olive tree, he absolutely wanted my contract, he told me that if my documents are not registered before the end of the month, My contract will be terminated and suddenly I sold my car, it puts me in the bailiff procedure, frankly they are not expensive, but I do not recommend you to make sure you.</v>
      </c>
    </row>
    <row r="730" ht="15.75" customHeight="1">
      <c r="A730" s="2">
        <v>4.0</v>
      </c>
      <c r="B730" s="2" t="s">
        <v>2052</v>
      </c>
      <c r="C730" s="2" t="s">
        <v>2053</v>
      </c>
      <c r="D730" s="2" t="s">
        <v>20</v>
      </c>
      <c r="E730" s="2" t="s">
        <v>14</v>
      </c>
      <c r="F730" s="2" t="s">
        <v>15</v>
      </c>
      <c r="G730" s="2" t="s">
        <v>2054</v>
      </c>
      <c r="H730" s="2" t="s">
        <v>133</v>
      </c>
      <c r="I730" s="3" t="str">
        <f>IFERROR(__xludf.DUMMYFUNCTION("GOOGLETRANSLATE(C730,""fr"",""en"")"),"For the moment I am satisfied with the service, to be seen over time and in the event of a disaster.
Simple and quick subscription and attractive price.
Everything is clear.")</f>
        <v>For the moment I am satisfied with the service, to be seen over time and in the event of a disaster.
Simple and quick subscription and attractive price.
Everything is clear.</v>
      </c>
    </row>
    <row r="731" ht="15.75" customHeight="1">
      <c r="A731" s="2">
        <v>2.0</v>
      </c>
      <c r="B731" s="2" t="s">
        <v>2055</v>
      </c>
      <c r="C731" s="2" t="s">
        <v>2056</v>
      </c>
      <c r="D731" s="2" t="s">
        <v>80</v>
      </c>
      <c r="E731" s="2" t="s">
        <v>25</v>
      </c>
      <c r="F731" s="2" t="s">
        <v>15</v>
      </c>
      <c r="G731" s="2" t="s">
        <v>2057</v>
      </c>
      <c r="H731" s="2" t="s">
        <v>968</v>
      </c>
      <c r="I731" s="3" t="str">
        <f>IFERROR(__xludf.DUMMYFUNCTION("GOOGLETRANSLATE(C731,""fr"",""en"")"),"Insured to third party +. I was the victim of an accident with a third party, I was declared not responsible for this accident. And I am abandoned because I have not had any news for 2 months.")</f>
        <v>Insured to third party +. I was the victim of an accident with a third party, I was declared not responsible for this accident. And I am abandoned because I have not had any news for 2 months.</v>
      </c>
    </row>
    <row r="732" ht="15.75" customHeight="1">
      <c r="A732" s="2">
        <v>5.0</v>
      </c>
      <c r="B732" s="2" t="s">
        <v>2058</v>
      </c>
      <c r="C732" s="2" t="s">
        <v>2059</v>
      </c>
      <c r="D732" s="2" t="s">
        <v>13</v>
      </c>
      <c r="E732" s="2" t="s">
        <v>14</v>
      </c>
      <c r="F732" s="2" t="s">
        <v>15</v>
      </c>
      <c r="G732" s="2" t="s">
        <v>1555</v>
      </c>
      <c r="H732" s="2" t="s">
        <v>149</v>
      </c>
      <c r="I732" s="3" t="str">
        <f>IFERROR(__xludf.DUMMYFUNCTION("GOOGLETRANSLATE(C732,""fr"",""en"")"),"Olive Tree
The ease of obtaining a quote
the speed of your advisor to advise and confirm the quote and payment at once
With your advisers we exchanged by phone and I received the emails
Personal space that is easy to use and fluid
I recommend them")</f>
        <v>Olive Tree
The ease of obtaining a quote
the speed of your advisor to advise and confirm the quote and payment at once
With your advisers we exchanged by phone and I received the emails
Personal space that is easy to use and fluid
I recommend them</v>
      </c>
    </row>
    <row r="733" ht="15.75" customHeight="1">
      <c r="A733" s="2">
        <v>3.0</v>
      </c>
      <c r="B733" s="2" t="s">
        <v>2060</v>
      </c>
      <c r="C733" s="2" t="s">
        <v>2061</v>
      </c>
      <c r="D733" s="2" t="s">
        <v>13</v>
      </c>
      <c r="E733" s="2" t="s">
        <v>14</v>
      </c>
      <c r="F733" s="2" t="s">
        <v>15</v>
      </c>
      <c r="G733" s="2" t="s">
        <v>812</v>
      </c>
      <c r="H733" s="2" t="s">
        <v>58</v>
      </c>
      <c r="I733" s="3" t="str">
        <f>IFERROR(__xludf.DUMMYFUNCTION("GOOGLETRANSLATE(C733,""fr"",""en"")"),"Correct at the price level but impossible to change deductible for ice cream you should see this with your management and after that will be good")</f>
        <v>Correct at the price level but impossible to change deductible for ice cream you should see this with your management and after that will be good</v>
      </c>
    </row>
    <row r="734" ht="15.75" customHeight="1">
      <c r="A734" s="2">
        <v>4.0</v>
      </c>
      <c r="B734" s="2" t="s">
        <v>2062</v>
      </c>
      <c r="C734" s="2" t="s">
        <v>2063</v>
      </c>
      <c r="D734" s="2" t="s">
        <v>13</v>
      </c>
      <c r="E734" s="2" t="s">
        <v>14</v>
      </c>
      <c r="F734" s="2" t="s">
        <v>15</v>
      </c>
      <c r="G734" s="2" t="s">
        <v>1254</v>
      </c>
      <c r="H734" s="2" t="s">
        <v>172</v>
      </c>
      <c r="I734" s="3" t="str">
        <f>IFERROR(__xludf.DUMMYFUNCTION("GOOGLETRANSLATE(C734,""fr"",""en"")"),"Correct prices, ease of membership via the site. I will communicate on my satisfaction of the services offered when I call on them during a possible claim.")</f>
        <v>Correct prices, ease of membership via the site. I will communicate on my satisfaction of the services offered when I call on them during a possible claim.</v>
      </c>
    </row>
    <row r="735" ht="15.75" customHeight="1">
      <c r="A735" s="2">
        <v>2.0</v>
      </c>
      <c r="B735" s="2" t="s">
        <v>2064</v>
      </c>
      <c r="C735" s="2" t="s">
        <v>2065</v>
      </c>
      <c r="D735" s="2" t="s">
        <v>43</v>
      </c>
      <c r="E735" s="2" t="s">
        <v>91</v>
      </c>
      <c r="F735" s="2" t="s">
        <v>15</v>
      </c>
      <c r="G735" s="2" t="s">
        <v>2066</v>
      </c>
      <c r="H735" s="2" t="s">
        <v>144</v>
      </c>
      <c r="I735" s="3" t="str">
        <f>IFERROR(__xludf.DUMMYFUNCTION("GOOGLETRANSLATE(C735,""fr"",""en"")"),"I have a water damage in my house I am assured at the Macif which undergoes part of Imh Housing as much to say that for more than a month that the file is open no news I am obliged to fight not only to have Someone on the phone and after making him say th"&amp;"at they will not manage my problem
In any case to pay the contributions on the other hand there is no problem")</f>
        <v>I have a water damage in my house I am assured at the Macif which undergoes part of Imh Housing as much to say that for more than a month that the file is open no news I am obliged to fight not only to have Someone on the phone and after making him say that they will not manage my problem
In any case to pay the contributions on the other hand there is no problem</v>
      </c>
    </row>
    <row r="736" ht="15.75" customHeight="1">
      <c r="A736" s="2">
        <v>5.0</v>
      </c>
      <c r="B736" s="2" t="s">
        <v>2067</v>
      </c>
      <c r="C736" s="2" t="s">
        <v>2068</v>
      </c>
      <c r="D736" s="2" t="s">
        <v>43</v>
      </c>
      <c r="E736" s="2" t="s">
        <v>14</v>
      </c>
      <c r="F736" s="2" t="s">
        <v>15</v>
      </c>
      <c r="G736" s="2" t="s">
        <v>2069</v>
      </c>
      <c r="H736" s="2" t="s">
        <v>77</v>
      </c>
      <c r="I736" s="3" t="str">
        <f>IFERROR(__xludf.DUMMYFUNCTION("GOOGLETRANSLATE(C736,""fr"",""en"")"),"Availability of client's advisers: O.K
Insurance price ""any risk without deductible"". K.M unlimited. Unbeatable price .
Risk evaluation: O.K
Sinister intervention: O.K
Amount of reimbursements: O.K
Tips: O.K
Relationships: O.K
Freedom to have rep"&amp;"aired in the garage of your choice: O.K")</f>
        <v>Availability of client's advisers: O.K
Insurance price "any risk without deductible". K.M unlimited. Unbeatable price .
Risk evaluation: O.K
Sinister intervention: O.K
Amount of reimbursements: O.K
Tips: O.K
Relationships: O.K
Freedom to have repaired in the garage of your choice: O.K</v>
      </c>
    </row>
    <row r="737" ht="15.75" customHeight="1">
      <c r="A737" s="2">
        <v>3.0</v>
      </c>
      <c r="B737" s="2" t="s">
        <v>2070</v>
      </c>
      <c r="C737" s="2" t="s">
        <v>2071</v>
      </c>
      <c r="D737" s="2" t="s">
        <v>233</v>
      </c>
      <c r="E737" s="2" t="s">
        <v>14</v>
      </c>
      <c r="F737" s="2" t="s">
        <v>15</v>
      </c>
      <c r="G737" s="2" t="s">
        <v>2072</v>
      </c>
      <c r="H737" s="2" t="s">
        <v>27</v>
      </c>
      <c r="I737" s="3" t="str">
        <f>IFERROR(__xludf.DUMMYFUNCTION("GOOGLETRANSLATE(C737,""fr"",""en"")"),"I am satisfied with the service;
I would have liked to reduce insurance costs a little for our loyalty.
As I am deaf, I would like to know if you have implemented accessibility in LSF?
Thanking you in advance for your answer.
Regards Ms. Rabuel Planti"&amp;"n Florence")</f>
        <v>I am satisfied with the service;
I would have liked to reduce insurance costs a little for our loyalty.
As I am deaf, I would like to know if you have implemented accessibility in LSF?
Thanking you in advance for your answer.
Regards Ms. Rabuel Plantin Florence</v>
      </c>
    </row>
    <row r="738" ht="15.75" customHeight="1">
      <c r="A738" s="2">
        <v>2.0</v>
      </c>
      <c r="B738" s="2" t="s">
        <v>2073</v>
      </c>
      <c r="C738" s="2" t="s">
        <v>2074</v>
      </c>
      <c r="D738" s="2" t="s">
        <v>20</v>
      </c>
      <c r="E738" s="2" t="s">
        <v>14</v>
      </c>
      <c r="F738" s="2" t="s">
        <v>15</v>
      </c>
      <c r="G738" s="2" t="s">
        <v>2075</v>
      </c>
      <c r="H738" s="2" t="s">
        <v>208</v>
      </c>
      <c r="I738" s="3" t="str">
        <f>IFERROR(__xludf.DUMMYFUNCTION("GOOGLETRANSLATE(C738,""fr"",""en"")"),"customer service in no way listening. An accident in early June not resolved without any DA involvement. I have to contact the ER Garage experts myself if I want my file to advance .....")</f>
        <v>customer service in no way listening. An accident in early June not resolved without any DA involvement. I have to contact the ER Garage experts myself if I want my file to advance .....</v>
      </c>
    </row>
    <row r="739" ht="15.75" customHeight="1">
      <c r="A739" s="2">
        <v>1.0</v>
      </c>
      <c r="B739" s="2" t="s">
        <v>2076</v>
      </c>
      <c r="C739" s="2" t="s">
        <v>2077</v>
      </c>
      <c r="D739" s="2" t="s">
        <v>513</v>
      </c>
      <c r="E739" s="2" t="s">
        <v>14</v>
      </c>
      <c r="F739" s="2" t="s">
        <v>15</v>
      </c>
      <c r="G739" s="2" t="s">
        <v>2078</v>
      </c>
      <c r="H739" s="2" t="s">
        <v>1094</v>
      </c>
      <c r="I739" s="3" t="str">
        <f>IFERROR(__xludf.DUMMYFUNCTION("GOOGLETRANSLATE(C739,""fr"",""en"")"),"This insurance deploys all its financial and contractual means in order to avoid taking care of your vehicle. They will do everything to do as little as possible. Repatriation to the most rotten garage (close) from you if you do not explain for 3 hours th"&amp;"at your vehicle must go to the concession of its brand!")</f>
        <v>This insurance deploys all its financial and contractual means in order to avoid taking care of your vehicle. They will do everything to do as little as possible. Repatriation to the most rotten garage (close) from you if you do not explain for 3 hours that your vehicle must go to the concession of its brand!</v>
      </c>
    </row>
    <row r="740" ht="15.75" customHeight="1">
      <c r="A740" s="2">
        <v>4.0</v>
      </c>
      <c r="B740" s="2" t="s">
        <v>2079</v>
      </c>
      <c r="C740" s="2" t="s">
        <v>2080</v>
      </c>
      <c r="D740" s="2" t="s">
        <v>13</v>
      </c>
      <c r="E740" s="2" t="s">
        <v>14</v>
      </c>
      <c r="F740" s="2" t="s">
        <v>15</v>
      </c>
      <c r="G740" s="2" t="s">
        <v>492</v>
      </c>
      <c r="H740" s="2" t="s">
        <v>125</v>
      </c>
      <c r="I740" s="3" t="str">
        <f>IFERROR(__xludf.DUMMYFUNCTION("GOOGLETRANSLATE(C740,""fr"",""en"")"),"Simple and quick online subscription service. Clear and complete answers to my questions. Advice and proposals adapted to my expectations, thank you.")</f>
        <v>Simple and quick online subscription service. Clear and complete answers to my questions. Advice and proposals adapted to my expectations, thank you.</v>
      </c>
    </row>
    <row r="741" ht="15.75" customHeight="1">
      <c r="A741" s="2">
        <v>5.0</v>
      </c>
      <c r="B741" s="2" t="s">
        <v>2081</v>
      </c>
      <c r="C741" s="2" t="s">
        <v>2082</v>
      </c>
      <c r="D741" s="2" t="s">
        <v>128</v>
      </c>
      <c r="E741" s="2" t="s">
        <v>97</v>
      </c>
      <c r="F741" s="2" t="s">
        <v>15</v>
      </c>
      <c r="G741" s="2" t="s">
        <v>940</v>
      </c>
      <c r="H741" s="2" t="s">
        <v>72</v>
      </c>
      <c r="I741" s="3" t="str">
        <f>IFERROR(__xludf.DUMMYFUNCTION("GOOGLETRANSLATE(C741,""fr"",""en"")"),"I am very satisfied with the service.
Our interlocutor is patient, sympathetic, good advice and very professional.
Thank you, I highly recommend.
")</f>
        <v>I am very satisfied with the service.
Our interlocutor is patient, sympathetic, good advice and very professional.
Thank you, I highly recommend.
</v>
      </c>
    </row>
    <row r="742" ht="15.75" customHeight="1">
      <c r="A742" s="2">
        <v>5.0</v>
      </c>
      <c r="B742" s="2" t="s">
        <v>2083</v>
      </c>
      <c r="C742" s="2" t="s">
        <v>2084</v>
      </c>
      <c r="D742" s="2" t="s">
        <v>13</v>
      </c>
      <c r="E742" s="2" t="s">
        <v>14</v>
      </c>
      <c r="F742" s="2" t="s">
        <v>15</v>
      </c>
      <c r="G742" s="2" t="s">
        <v>875</v>
      </c>
      <c r="H742" s="2" t="s">
        <v>27</v>
      </c>
      <c r="I742" s="3" t="str">
        <f>IFERROR(__xludf.DUMMYFUNCTION("GOOGLETRANSLATE(C742,""fr"",""en"")"),"I am satisfied with my insurance contract which took me 5 minutes to do, and very simple to fill even to sign the documents and the price level and I recommend it")</f>
        <v>I am satisfied with my insurance contract which took me 5 minutes to do, and very simple to fill even to sign the documents and the price level and I recommend it</v>
      </c>
    </row>
    <row r="743" ht="15.75" customHeight="1">
      <c r="A743" s="2">
        <v>1.0</v>
      </c>
      <c r="B743" s="2" t="s">
        <v>2085</v>
      </c>
      <c r="C743" s="2" t="s">
        <v>2086</v>
      </c>
      <c r="D743" s="2" t="s">
        <v>20</v>
      </c>
      <c r="E743" s="2" t="s">
        <v>14</v>
      </c>
      <c r="F743" s="2" t="s">
        <v>15</v>
      </c>
      <c r="G743" s="2" t="s">
        <v>2087</v>
      </c>
      <c r="H743" s="2" t="s">
        <v>50</v>
      </c>
      <c r="I743" s="3" t="str">
        <f>IFERROR(__xludf.DUMMYFUNCTION("GOOGLETRANSLATE(C743,""fr"",""en"")"),"customer for 4 years. Back to back insurance. A claim in 2016 100% without responsibility, an increase of 128.45 euros !! Bravo direct insurance !! I will surely terminate")</f>
        <v>customer for 4 years. Back to back insurance. A claim in 2016 100% without responsibility, an increase of 128.45 euros !! Bravo direct insurance !! I will surely terminate</v>
      </c>
    </row>
    <row r="744" ht="15.75" customHeight="1">
      <c r="A744" s="2">
        <v>5.0</v>
      </c>
      <c r="B744" s="2" t="s">
        <v>2088</v>
      </c>
      <c r="C744" s="2" t="s">
        <v>2089</v>
      </c>
      <c r="D744" s="2" t="s">
        <v>80</v>
      </c>
      <c r="E744" s="2" t="s">
        <v>25</v>
      </c>
      <c r="F744" s="2" t="s">
        <v>15</v>
      </c>
      <c r="G744" s="2" t="s">
        <v>2090</v>
      </c>
      <c r="H744" s="2" t="s">
        <v>17</v>
      </c>
      <c r="I744" s="3" t="str">
        <f>IFERROR(__xludf.DUMMYFUNCTION("GOOGLETRANSLATE(C744,""fr"",""en"")"),"I am satisfied with this service
Simple and quick online subscription
A way to be insured within the minute
I am delighted I already have 2 contracts")</f>
        <v>I am satisfied with this service
Simple and quick online subscription
A way to be insured within the minute
I am delighted I already have 2 contracts</v>
      </c>
    </row>
    <row r="745" ht="15.75" customHeight="1">
      <c r="A745" s="2">
        <v>1.0</v>
      </c>
      <c r="B745" s="2" t="s">
        <v>2091</v>
      </c>
      <c r="C745" s="2" t="s">
        <v>2092</v>
      </c>
      <c r="D745" s="2" t="s">
        <v>75</v>
      </c>
      <c r="E745" s="2" t="s">
        <v>31</v>
      </c>
      <c r="F745" s="2" t="s">
        <v>15</v>
      </c>
      <c r="G745" s="2" t="s">
        <v>1888</v>
      </c>
      <c r="H745" s="2" t="s">
        <v>528</v>
      </c>
      <c r="I745" s="3" t="str">
        <f>IFERROR(__xludf.DUMMYFUNCTION("GOOGLETRANSLATE(C745,""fr"",""en"")"),"Frankly disappointed with reimbursements despite a fairly high contract
And when we go to an agency you have the impression that we do it ch !;*r ... r ...")</f>
        <v>Frankly disappointed with reimbursements despite a fairly high contract
And when we go to an agency you have the impression that we do it ch !;*r ... r ...</v>
      </c>
    </row>
    <row r="746" ht="15.75" customHeight="1">
      <c r="A746" s="2">
        <v>3.0</v>
      </c>
      <c r="B746" s="2" t="s">
        <v>2093</v>
      </c>
      <c r="C746" s="2" t="s">
        <v>2094</v>
      </c>
      <c r="D746" s="2" t="s">
        <v>513</v>
      </c>
      <c r="E746" s="2" t="s">
        <v>14</v>
      </c>
      <c r="F746" s="2" t="s">
        <v>15</v>
      </c>
      <c r="G746" s="2" t="s">
        <v>1956</v>
      </c>
      <c r="H746" s="2" t="s">
        <v>58</v>
      </c>
      <c r="I746" s="3" t="str">
        <f>IFERROR(__xludf.DUMMYFUNCTION("GOOGLETRANSLATE(C746,""fr"",""en"")"),"I believe that after x years of contribution to 0.50, that should be definitively acquired as is done in a lot of insurance. I intend to change it")</f>
        <v>I believe that after x years of contribution to 0.50, that should be definitively acquired as is done in a lot of insurance. I intend to change it</v>
      </c>
    </row>
    <row r="747" ht="15.75" customHeight="1">
      <c r="A747" s="2">
        <v>1.0</v>
      </c>
      <c r="B747" s="2" t="s">
        <v>2095</v>
      </c>
      <c r="C747" s="2" t="s">
        <v>2096</v>
      </c>
      <c r="D747" s="2" t="s">
        <v>13</v>
      </c>
      <c r="E747" s="2" t="s">
        <v>14</v>
      </c>
      <c r="F747" s="2" t="s">
        <v>15</v>
      </c>
      <c r="G747" s="2" t="s">
        <v>1317</v>
      </c>
      <c r="H747" s="2" t="s">
        <v>93</v>
      </c>
      <c r="I747" s="3" t="str">
        <f>IFERROR(__xludf.DUMMYFUNCTION("GOOGLETRANSLATE(C747,""fr"",""en"")"),"Following a request for a quote; I have less than 1 year of license, my vehicle has not been insured for 3 months because in repair in my neighbor's personal garage, I was insured as a secondary driver on another vehicle for 5 months. My b/m is therefore "&amp;"1. Quote intermediate formula at € 686. Interesting so, but ... after telephone contact I am told that I did not chew the right boxes !!! Vehicle not insured for 3 months so can only be insured in third party formula !!! In addition it leads to penalties "&amp;"on the subscription ... We arrive at € 1040 + 52% and in third party formula only !!! Exponential price !!! They make a lot of advertising on TV, difficult to assume it financially, no doubt.
No, it's not serious. To flee absolutely!")</f>
        <v>Following a request for a quote; I have less than 1 year of license, my vehicle has not been insured for 3 months because in repair in my neighbor's personal garage, I was insured as a secondary driver on another vehicle for 5 months. My b/m is therefore 1. Quote intermediate formula at € 686. Interesting so, but ... after telephone contact I am told that I did not chew the right boxes !!! Vehicle not insured for 3 months so can only be insured in third party formula !!! In addition it leads to penalties on the subscription ... We arrive at € 1040 + 52% and in third party formula only !!! Exponential price !!! They make a lot of advertising on TV, difficult to assume it financially, no doubt.
No, it's not serious. To flee absolutely!</v>
      </c>
    </row>
    <row r="748" ht="15.75" customHeight="1">
      <c r="A748" s="2">
        <v>1.0</v>
      </c>
      <c r="B748" s="2" t="s">
        <v>2097</v>
      </c>
      <c r="C748" s="2" t="s">
        <v>2098</v>
      </c>
      <c r="D748" s="2" t="s">
        <v>117</v>
      </c>
      <c r="E748" s="2" t="s">
        <v>14</v>
      </c>
      <c r="F748" s="2" t="s">
        <v>15</v>
      </c>
      <c r="G748" s="2" t="s">
        <v>2099</v>
      </c>
      <c r="H748" s="2" t="s">
        <v>358</v>
      </c>
      <c r="I748" s="3" t="str">
        <f>IFERROR(__xludf.DUMMYFUNCTION("GOOGLETRANSLATE(C748,""fr"",""en"")"),"We have our car insurance at the AXA agency in Lille. Since May, we have been trying to terminate our insurance because we have found a better price for the same guarantees.
We have sent a registered insurer to the Central Agency (postal address indicate"&amp;"d on our insurance papers) sent by our new insurer. Our insurance was not terminated because the mail was not sent to the Lille agency (it must be believed that the Central Agency does not communicate with the Lille agency).
So we have re-entered a reque"&amp;"st by recommended to the Lille agency. The agency director did not go and seek the recommended and therefore did not terminate the contract.
We again made a request politely by email, by scanning our registered mail and requesting the reimbursement of th"&amp;"e drafts paid wrongly. We received an answer from the director by email ""necessary"" (no ""hello"" obviously). The drafts were reimbursed.
Surprise, the following month we were again taken from our insurance account. And this time, no response to our em"&amp;"ails.
Until now, we had had no problem with AXA. I find this opposition unfortunate to terminate our contract, especially since we are in our law. Not sure that we can say as much of them.
I redid one last attempt by phone today. Too busy, they have to "&amp;"contact me today. If this is not done and the situation continues, we will be obliged to start judicial procedures to close our contract, have a refund of our drafts and request financial compensation.")</f>
        <v>We have our car insurance at the AXA agency in Lille. Since May, we have been trying to terminate our insurance because we have found a better price for the same guarantees.
We have sent a registered insurer to the Central Agency (postal address indicated on our insurance papers) sent by our new insurer. Our insurance was not terminated because the mail was not sent to the Lille agency (it must be believed that the Central Agency does not communicate with the Lille agency).
So we have re-entered a request by recommended to the Lille agency. The agency director did not go and seek the recommended and therefore did not terminate the contract.
We again made a request politely by email, by scanning our registered mail and requesting the reimbursement of the drafts paid wrongly. We received an answer from the director by email "necessary" (no "hello" obviously). The drafts were reimbursed.
Surprise, the following month we were again taken from our insurance account. And this time, no response to our emails.
Until now, we had had no problem with AXA. I find this opposition unfortunate to terminate our contract, especially since we are in our law. Not sure that we can say as much of them.
I redid one last attempt by phone today. Too busy, they have to contact me today. If this is not done and the situation continues, we will be obliged to start judicial procedures to close our contract, have a refund of our drafts and request financial compensation.</v>
      </c>
    </row>
    <row r="749" ht="15.75" customHeight="1">
      <c r="A749" s="2">
        <v>1.0</v>
      </c>
      <c r="B749" s="2" t="s">
        <v>2100</v>
      </c>
      <c r="C749" s="2" t="s">
        <v>2101</v>
      </c>
      <c r="D749" s="2" t="s">
        <v>75</v>
      </c>
      <c r="E749" s="2" t="s">
        <v>31</v>
      </c>
      <c r="F749" s="2" t="s">
        <v>15</v>
      </c>
      <c r="G749" s="2" t="s">
        <v>2102</v>
      </c>
      <c r="H749" s="2" t="s">
        <v>262</v>
      </c>
      <c r="I749" s="3" t="str">
        <f>IFERROR(__xludf.DUMMYFUNCTION("GOOGLETRANSLATE(C749,""fr"",""en"")"),"Mutual Harmonie does not reimburse me ................................................ ..............")</f>
        <v>Mutual Harmonie does not reimburse me ................................................ ..............</v>
      </c>
    </row>
    <row r="750" ht="15.75" customHeight="1">
      <c r="A750" s="2">
        <v>5.0</v>
      </c>
      <c r="B750" s="2" t="s">
        <v>2103</v>
      </c>
      <c r="C750" s="2" t="s">
        <v>2104</v>
      </c>
      <c r="D750" s="2" t="s">
        <v>20</v>
      </c>
      <c r="E750" s="2" t="s">
        <v>14</v>
      </c>
      <c r="F750" s="2" t="s">
        <v>15</v>
      </c>
      <c r="G750" s="2" t="s">
        <v>838</v>
      </c>
      <c r="H750" s="2" t="s">
        <v>27</v>
      </c>
      <c r="I750" s="3" t="str">
        <f>IFERROR(__xludf.DUMMYFUNCTION("GOOGLETRANSLATE(C750,""fr"",""en"")"),"Very attractive and competition prices; Very intuitive and ergonomic internet platform. I am very satisfied with their service. Very easy to use")</f>
        <v>Very attractive and competition prices; Very intuitive and ergonomic internet platform. I am very satisfied with their service. Very easy to use</v>
      </c>
    </row>
    <row r="751" ht="15.75" customHeight="1">
      <c r="A751" s="2">
        <v>1.0</v>
      </c>
      <c r="B751" s="2" t="s">
        <v>2105</v>
      </c>
      <c r="C751" s="2" t="s">
        <v>2106</v>
      </c>
      <c r="D751" s="2" t="s">
        <v>112</v>
      </c>
      <c r="E751" s="2" t="s">
        <v>14</v>
      </c>
      <c r="F751" s="2" t="s">
        <v>15</v>
      </c>
      <c r="G751" s="2" t="s">
        <v>2107</v>
      </c>
      <c r="H751" s="2" t="s">
        <v>528</v>
      </c>
      <c r="I751" s="3" t="str">
        <f>IFERROR(__xludf.DUMMYFUNCTION("GOOGLETRANSLATE(C751,""fr"",""en"")"),"I found this insurer on the internet to ensure my daughter's first vehicle. I provided all the requested documents including photocopy of the provisional permit and the gray card coupon. Seeing the fateful date of the month arriving during which the insur"&amp;"ance certificate is temporary I decide to call the surcharging number to prevent them that the final documents (permit and gray card) are late and that I will not be able to send them to time. The person on the phone seems very understanding and tells me "&amp;"that there is no problem, I ask him once again if there is no risk of termination and the answer is very reassuring.
Having finally received the precious final permit I wish to connect to my customer account to send a copy: impossible.
I therefore call "&amp;"them once again on the surcharged number to hear me say that insurance has been terminated after a month because not all documents were sent.
My daughter therefore rolled almost 2 weeks without insurance because she was never warned of termination. I do "&amp;"not find the words to say the irresponsibility shown by this insurance. I assimilate it to endangering others.
What was to be an economy on a first insurance turns into a nightmare ...
Customer number 381162")</f>
        <v>I found this insurer on the internet to ensure my daughter's first vehicle. I provided all the requested documents including photocopy of the provisional permit and the gray card coupon. Seeing the fateful date of the month arriving during which the insurance certificate is temporary I decide to call the surcharging number to prevent them that the final documents (permit and gray card) are late and that I will not be able to send them to time. The person on the phone seems very understanding and tells me that there is no problem, I ask him once again if there is no risk of termination and the answer is very reassuring.
Having finally received the precious final permit I wish to connect to my customer account to send a copy: impossible.
I therefore call them once again on the surcharged number to hear me say that insurance has been terminated after a month because not all documents were sent.
My daughter therefore rolled almost 2 weeks without insurance because she was never warned of termination. I do not find the words to say the irresponsibility shown by this insurance. I assimilate it to endangering others.
What was to be an economy on a first insurance turns into a nightmare ...
Customer number 381162</v>
      </c>
    </row>
    <row r="752" ht="15.75" customHeight="1">
      <c r="A752" s="2">
        <v>4.0</v>
      </c>
      <c r="B752" s="2" t="s">
        <v>2108</v>
      </c>
      <c r="C752" s="2" t="s">
        <v>2109</v>
      </c>
      <c r="D752" s="2" t="s">
        <v>13</v>
      </c>
      <c r="E752" s="2" t="s">
        <v>14</v>
      </c>
      <c r="F752" s="2" t="s">
        <v>15</v>
      </c>
      <c r="G752" s="2" t="s">
        <v>751</v>
      </c>
      <c r="H752" s="2" t="s">
        <v>125</v>
      </c>
      <c r="I752" s="3" t="str">
        <f>IFERROR(__xludf.DUMMYFUNCTION("GOOGLETRANSLATE(C752,""fr"",""en"")"),"At the top, fast and efficient! Hoping to pay less next year.
Customer service is also responsive which allows an optimal subscription.")</f>
        <v>At the top, fast and efficient! Hoping to pay less next year.
Customer service is also responsive which allows an optimal subscription.</v>
      </c>
    </row>
    <row r="753" ht="15.75" customHeight="1">
      <c r="A753" s="2">
        <v>5.0</v>
      </c>
      <c r="B753" s="2" t="s">
        <v>2110</v>
      </c>
      <c r="C753" s="2" t="s">
        <v>2111</v>
      </c>
      <c r="D753" s="2" t="s">
        <v>13</v>
      </c>
      <c r="E753" s="2" t="s">
        <v>14</v>
      </c>
      <c r="F753" s="2" t="s">
        <v>15</v>
      </c>
      <c r="G753" s="2" t="s">
        <v>2112</v>
      </c>
      <c r="H753" s="2" t="s">
        <v>334</v>
      </c>
      <c r="I753" s="3" t="str">
        <f>IFERROR(__xludf.DUMMYFUNCTION("GOOGLETRANSLATE(C753,""fr"",""en"")"),"I am completely satisfied with the service and professionalism of my interlocutor. In addition, the conditions and prices are in line with my expectations")</f>
        <v>I am completely satisfied with the service and professionalism of my interlocutor. In addition, the conditions and prices are in line with my expectations</v>
      </c>
    </row>
    <row r="754" ht="15.75" customHeight="1">
      <c r="A754" s="2">
        <v>1.0</v>
      </c>
      <c r="B754" s="2" t="s">
        <v>2113</v>
      </c>
      <c r="C754" s="2" t="s">
        <v>2114</v>
      </c>
      <c r="D754" s="2" t="s">
        <v>190</v>
      </c>
      <c r="E754" s="2" t="s">
        <v>31</v>
      </c>
      <c r="F754" s="2" t="s">
        <v>15</v>
      </c>
      <c r="G754" s="2" t="s">
        <v>2027</v>
      </c>
      <c r="H754" s="2" t="s">
        <v>313</v>
      </c>
      <c r="I754" s="3" t="str">
        <f>IFERROR(__xludf.DUMMYFUNCTION("GOOGLETRANSLATE(C754,""fr"",""en"")"),"Please note: broker who make you sign at a price then higher price on the contract (2 unjustified increases). No solution offered. To avoid")</f>
        <v>Please note: broker who make you sign at a price then higher price on the contract (2 unjustified increases). No solution offered. To avoid</v>
      </c>
    </row>
    <row r="755" ht="15.75" customHeight="1">
      <c r="A755" s="2">
        <v>1.0</v>
      </c>
      <c r="B755" s="2" t="s">
        <v>2115</v>
      </c>
      <c r="C755" s="2" t="s">
        <v>2116</v>
      </c>
      <c r="D755" s="2" t="s">
        <v>106</v>
      </c>
      <c r="E755" s="2" t="s">
        <v>107</v>
      </c>
      <c r="F755" s="2" t="s">
        <v>15</v>
      </c>
      <c r="G755" s="2" t="s">
        <v>2117</v>
      </c>
      <c r="H755" s="2" t="s">
        <v>1214</v>
      </c>
      <c r="I755" s="3" t="str">
        <f>IFERROR(__xludf.DUMMYFUNCTION("GOOGLETRANSLATE(C755,""fr"",""en"")"),"Pay when they see fit and especially without keeping the insured informed")</f>
        <v>Pay when they see fit and especially without keeping the insured informed</v>
      </c>
    </row>
    <row r="756" ht="15.75" customHeight="1">
      <c r="A756" s="2">
        <v>4.0</v>
      </c>
      <c r="B756" s="2" t="s">
        <v>2118</v>
      </c>
      <c r="C756" s="2" t="s">
        <v>2119</v>
      </c>
      <c r="D756" s="2" t="s">
        <v>13</v>
      </c>
      <c r="E756" s="2" t="s">
        <v>14</v>
      </c>
      <c r="F756" s="2" t="s">
        <v>15</v>
      </c>
      <c r="G756" s="2" t="s">
        <v>605</v>
      </c>
      <c r="H756" s="2" t="s">
        <v>172</v>
      </c>
      <c r="I756" s="3" t="str">
        <f>IFERROR(__xludf.DUMMYFUNCTION("GOOGLETRANSLATE(C756,""fr"",""en"")"),"The offer I obtained was clear and easy to understand.
Optional packs are well established.
Assistance 0 km + cumulative extensive driver warranty, it's perfect.
")</f>
        <v>The offer I obtained was clear and easy to understand.
Optional packs are well established.
Assistance 0 km + cumulative extensive driver warranty, it's perfect.
</v>
      </c>
    </row>
    <row r="757" ht="15.75" customHeight="1">
      <c r="A757" s="2">
        <v>5.0</v>
      </c>
      <c r="B757" s="2" t="s">
        <v>2120</v>
      </c>
      <c r="C757" s="2" t="s">
        <v>2121</v>
      </c>
      <c r="D757" s="2" t="s">
        <v>13</v>
      </c>
      <c r="E757" s="2" t="s">
        <v>14</v>
      </c>
      <c r="F757" s="2" t="s">
        <v>15</v>
      </c>
      <c r="G757" s="2" t="s">
        <v>2122</v>
      </c>
      <c r="H757" s="2" t="s">
        <v>172</v>
      </c>
      <c r="I757" s="3" t="str">
        <f>IFERROR(__xludf.DUMMYFUNCTION("GOOGLETRANSLATE(C757,""fr"",""en"")"),"Very satisfied with the telephone exchange. The prices are reasonable and a very simple contract to understand with an immediate effect I highly recommend the Olivier Insurance.")</f>
        <v>Very satisfied with the telephone exchange. The prices are reasonable and a very simple contract to understand with an immediate effect I highly recommend the Olivier Insurance.</v>
      </c>
    </row>
    <row r="758" ht="15.75" customHeight="1">
      <c r="A758" s="2">
        <v>1.0</v>
      </c>
      <c r="B758" s="2" t="s">
        <v>2123</v>
      </c>
      <c r="C758" s="2" t="s">
        <v>2124</v>
      </c>
      <c r="D758" s="2" t="s">
        <v>43</v>
      </c>
      <c r="E758" s="2" t="s">
        <v>14</v>
      </c>
      <c r="F758" s="2" t="s">
        <v>15</v>
      </c>
      <c r="G758" s="2" t="s">
        <v>2125</v>
      </c>
      <c r="H758" s="2" t="s">
        <v>535</v>
      </c>
      <c r="I758" s="3" t="str">
        <f>IFERROR(__xludf.DUMMYFUNCTION("GOOGLETRANSLATE(C758,""fr"",""en"")"),"Practices that I find doubtful. She does everything not to reimburse me even if I am in my right. The Macif will prefer a trial rather than playing its role. She will never advise you in your interest. Small clarification The complaint service can only be"&amp;" joined in writing! This clearly demonstrates the attention she pays for their members ... worse she erases and blocks the comments that bother her on the networks ... Bravo beautiful societary spirit ... After 20 years I say goodbye")</f>
        <v>Practices that I find doubtful. She does everything not to reimburse me even if I am in my right. The Macif will prefer a trial rather than playing its role. She will never advise you in your interest. Small clarification The complaint service can only be joined in writing! This clearly demonstrates the attention she pays for their members ... worse she erases and blocks the comments that bother her on the networks ... Bravo beautiful societary spirit ... After 20 years I say goodbye</v>
      </c>
    </row>
    <row r="759" ht="15.75" customHeight="1">
      <c r="A759" s="2">
        <v>1.0</v>
      </c>
      <c r="B759" s="2" t="s">
        <v>2126</v>
      </c>
      <c r="C759" s="2" t="s">
        <v>2127</v>
      </c>
      <c r="D759" s="2" t="s">
        <v>13</v>
      </c>
      <c r="E759" s="2" t="s">
        <v>14</v>
      </c>
      <c r="F759" s="2" t="s">
        <v>15</v>
      </c>
      <c r="G759" s="2" t="s">
        <v>2128</v>
      </c>
      <c r="H759" s="2" t="s">
        <v>40</v>
      </c>
      <c r="I759" s="3" t="str">
        <f>IFERROR(__xludf.DUMMYFUNCTION("GOOGLETRANSLATE(C759,""fr"",""en"")"),"Problem on problem. Error on error. Price, non -compliance of the contract. Revaluation of the tariffs as they please. Never subscribe to them ...............")</f>
        <v>Problem on problem. Error on error. Price, non -compliance of the contract. Revaluation of the tariffs as they please. Never subscribe to them ...............</v>
      </c>
    </row>
    <row r="760" ht="15.75" customHeight="1">
      <c r="A760" s="2">
        <v>5.0</v>
      </c>
      <c r="B760" s="2" t="s">
        <v>2129</v>
      </c>
      <c r="C760" s="2" t="s">
        <v>2130</v>
      </c>
      <c r="D760" s="2" t="s">
        <v>24</v>
      </c>
      <c r="E760" s="2" t="s">
        <v>25</v>
      </c>
      <c r="F760" s="2" t="s">
        <v>15</v>
      </c>
      <c r="G760" s="2" t="s">
        <v>347</v>
      </c>
      <c r="H760" s="2" t="s">
        <v>133</v>
      </c>
      <c r="I760" s="3" t="str">
        <f>IFERROR(__xludf.DUMMYFUNCTION("GOOGLETRANSLATE(C760,""fr"",""en"")"),"I am satisfied with the service The prices suit me very well the reading of the quotes is easy and clear and the possibilities of regulation well balanced")</f>
        <v>I am satisfied with the service The prices suit me very well the reading of the quotes is easy and clear and the possibilities of regulation well balanced</v>
      </c>
    </row>
    <row r="761" ht="15.75" customHeight="1">
      <c r="A761" s="2">
        <v>2.0</v>
      </c>
      <c r="B761" s="2" t="s">
        <v>2131</v>
      </c>
      <c r="C761" s="2" t="s">
        <v>2132</v>
      </c>
      <c r="D761" s="2" t="s">
        <v>233</v>
      </c>
      <c r="E761" s="2" t="s">
        <v>14</v>
      </c>
      <c r="F761" s="2" t="s">
        <v>15</v>
      </c>
      <c r="G761" s="2" t="s">
        <v>27</v>
      </c>
      <c r="H761" s="2" t="s">
        <v>27</v>
      </c>
      <c r="I761" s="3" t="str">
        <f>IFERROR(__xludf.DUMMYFUNCTION("GOOGLETRANSLATE(C761,""fr"",""en"")"),"hello;
Regarding GMF I am assured for three vehicles and liability insurance as well as legal protection!
I will go to competition because I am very unhappy for the following reasons;
Non -responsible disaster following an accident since 07/07/2017 not"&amp;" set to date due to the derisory sum proposed! not being compensated for the fair value! Already 4 years instead of Huits Mois according to my contract
And many more !!!
cheers!
")</f>
        <v>hello;
Regarding GMF I am assured for three vehicles and liability insurance as well as legal protection!
I will go to competition because I am very unhappy for the following reasons;
Non -responsible disaster following an accident since 07/07/2017 not set to date due to the derisory sum proposed! not being compensated for the fair value! Already 4 years instead of Huits Mois according to my contract
And many more !!!
cheers!
</v>
      </c>
    </row>
    <row r="762" ht="15.75" customHeight="1">
      <c r="A762" s="2">
        <v>2.0</v>
      </c>
      <c r="B762" s="2" t="s">
        <v>2133</v>
      </c>
      <c r="C762" s="2" t="s">
        <v>2134</v>
      </c>
      <c r="D762" s="2" t="s">
        <v>13</v>
      </c>
      <c r="E762" s="2" t="s">
        <v>14</v>
      </c>
      <c r="F762" s="2" t="s">
        <v>15</v>
      </c>
      <c r="G762" s="2" t="s">
        <v>2135</v>
      </c>
      <c r="H762" s="2" t="s">
        <v>195</v>
      </c>
      <c r="I762" s="3" t="str">
        <f>IFERROR(__xludf.DUMMYFUNCTION("GOOGLETRANSLATE(C762,""fr"",""en"")"),"Assured in all risks and 3 months after a non -responsible and still settlement loss. Everything is a pretext not to compensate you!
lamentable to flee !! It's not even the cheapest")</f>
        <v>Assured in all risks and 3 months after a non -responsible and still settlement loss. Everything is a pretext not to compensate you!
lamentable to flee !! It's not even the cheapest</v>
      </c>
    </row>
    <row r="763" ht="15.75" customHeight="1">
      <c r="A763" s="2">
        <v>5.0</v>
      </c>
      <c r="B763" s="2" t="s">
        <v>2136</v>
      </c>
      <c r="C763" s="2" t="s">
        <v>2137</v>
      </c>
      <c r="D763" s="2" t="s">
        <v>24</v>
      </c>
      <c r="E763" s="2" t="s">
        <v>25</v>
      </c>
      <c r="F763" s="2" t="s">
        <v>15</v>
      </c>
      <c r="G763" s="2" t="s">
        <v>2024</v>
      </c>
      <c r="H763" s="2" t="s">
        <v>172</v>
      </c>
      <c r="I763" s="3" t="str">
        <f>IFERROR(__xludf.DUMMYFUNCTION("GOOGLETRANSLATE(C763,""fr"",""en"")"),"For 40 years of motorbike I can tell you that I was very lucky, not for my father who left him !!!! In Mobylette at 35 I was 5 years old needless to tell you that thereafter my mother during all my youth prohibits bicycle and other. I took revenge because"&amp;" I have been able to spend my permits, all my life I had a lot of motorcycles at almost 70 years old I am still doing. I have avenge my father. To come back to insurance I Know a radius and I can say with AMV I made terminals it is a good insurance for si"&amp;"mplicity speed and the prices.
To all the bikers good roads, protect yourself and ride cool.
The old biker than ever.")</f>
        <v>For 40 years of motorbike I can tell you that I was very lucky, not for my father who left him !!!! In Mobylette at 35 I was 5 years old needless to tell you that thereafter my mother during all my youth prohibits bicycle and other. I took revenge because I have been able to spend my permits, all my life I had a lot of motorcycles at almost 70 years old I am still doing. I have avenge my father. To come back to insurance I Know a radius and I can say with AMV I made terminals it is a good insurance for simplicity speed and the prices.
To all the bikers good roads, protect yourself and ride cool.
The old biker than ever.</v>
      </c>
    </row>
    <row r="764" ht="15.75" customHeight="1">
      <c r="A764" s="2">
        <v>1.0</v>
      </c>
      <c r="B764" s="2" t="s">
        <v>2138</v>
      </c>
      <c r="C764" s="2" t="s">
        <v>2139</v>
      </c>
      <c r="D764" s="2" t="s">
        <v>43</v>
      </c>
      <c r="E764" s="2" t="s">
        <v>91</v>
      </c>
      <c r="F764" s="2" t="s">
        <v>15</v>
      </c>
      <c r="G764" s="2" t="s">
        <v>1851</v>
      </c>
      <c r="H764" s="2" t="s">
        <v>341</v>
      </c>
      <c r="I764" s="3" t="str">
        <f>IFERROR(__xludf.DUMMYFUNCTION("GOOGLETRANSLATE(C764,""fr"",""en"")"),"No listening from the customer. Deaf ear on the phone and mail.")</f>
        <v>No listening from the customer. Deaf ear on the phone and mail.</v>
      </c>
    </row>
    <row r="765" ht="15.75" customHeight="1">
      <c r="A765" s="2">
        <v>1.0</v>
      </c>
      <c r="B765" s="2" t="s">
        <v>2140</v>
      </c>
      <c r="C765" s="2" t="s">
        <v>2141</v>
      </c>
      <c r="D765" s="2" t="s">
        <v>117</v>
      </c>
      <c r="E765" s="2" t="s">
        <v>91</v>
      </c>
      <c r="F765" s="2" t="s">
        <v>15</v>
      </c>
      <c r="G765" s="2" t="s">
        <v>255</v>
      </c>
      <c r="H765" s="2" t="s">
        <v>255</v>
      </c>
      <c r="I765" s="3" t="str">
        <f>IFERROR(__xludf.DUMMYFUNCTION("GOOGLETRANSLATE(C765,""fr"",""en"")"),"Member of the union council of a Parisian building insured at AXA for many years, we have been victims of a fire in the street in February 2019 and we have currently received a compensation proposal which is not satisfactory.
The amount of quotes we pres"&amp;"ented has been largely undermined (it is not a minoration due to dilapidation), and there is an error on taking into account a quote, but the trustee tells us thatxa refuses to rectify it.
In addition, the expert who had been mandated had said that it wo"&amp;"uld be necessary to add a cleaning of the metal parts (balconies and garden) due to the specific problem of the soot. He had to send a specialized company for a quote. It has never been done.
In short, the contributions are expensive and we are very badl"&amp;"y compensated! To flee !")</f>
        <v>Member of the union council of a Parisian building insured at AXA for many years, we have been victims of a fire in the street in February 2019 and we have currently received a compensation proposal which is not satisfactory.
The amount of quotes we presented has been largely undermined (it is not a minoration due to dilapidation), and there is an error on taking into account a quote, but the trustee tells us thatxa refuses to rectify it.
In addition, the expert who had been mandated had said that it would be necessary to add a cleaning of the metal parts (balconies and garden) due to the specific problem of the soot. He had to send a specialized company for a quote. It has never been done.
In short, the contributions are expensive and we are very badly compensated! To flee !</v>
      </c>
    </row>
    <row r="766" ht="15.75" customHeight="1">
      <c r="A766" s="2">
        <v>1.0</v>
      </c>
      <c r="B766" s="2" t="s">
        <v>2142</v>
      </c>
      <c r="C766" s="2" t="s">
        <v>2143</v>
      </c>
      <c r="D766" s="2" t="s">
        <v>280</v>
      </c>
      <c r="E766" s="2" t="s">
        <v>91</v>
      </c>
      <c r="F766" s="2" t="s">
        <v>15</v>
      </c>
      <c r="G766" s="2" t="s">
        <v>2144</v>
      </c>
      <c r="H766" s="2" t="s">
        <v>341</v>
      </c>
      <c r="I766" s="3" t="str">
        <f>IFERROR(__xludf.DUMMYFUNCTION("GOOGLETRANSLATE(C766,""fr"",""en"")"),"Following claims with owner insurance not occupying the expert from the Matmut coming on the spot and showing bad times I dispute expertise. The new expert confirmed water damage unlike the first incompetent matmut expert but the Matmut offers me 300 euro"&amp;" compensation when there are several thousand euros !!! I'll see a lawyer next week. Insurer to flee because in bad faith and does not apply the guarantees of the contract.")</f>
        <v>Following claims with owner insurance not occupying the expert from the Matmut coming on the spot and showing bad times I dispute expertise. The new expert confirmed water damage unlike the first incompetent matmut expert but the Matmut offers me 300 euro compensation when there are several thousand euros !!! I'll see a lawyer next week. Insurer to flee because in bad faith and does not apply the guarantees of the contract.</v>
      </c>
    </row>
    <row r="767" ht="15.75" customHeight="1">
      <c r="A767" s="2">
        <v>2.0</v>
      </c>
      <c r="B767" s="2" t="s">
        <v>2145</v>
      </c>
      <c r="C767" s="2" t="s">
        <v>2146</v>
      </c>
      <c r="D767" s="2" t="s">
        <v>101</v>
      </c>
      <c r="E767" s="2" t="s">
        <v>31</v>
      </c>
      <c r="F767" s="2" t="s">
        <v>15</v>
      </c>
      <c r="G767" s="2" t="s">
        <v>337</v>
      </c>
      <c r="H767" s="2" t="s">
        <v>125</v>
      </c>
      <c r="I767" s="3" t="str">
        <f>IFERROR(__xludf.DUMMYFUNCTION("GOOGLETRANSLATE(C767,""fr"",""en"")"),"Need information I was served by Khadidiatou ... very lovable and attentive. I am very satisfied with the service. Thank you much better greetings")</f>
        <v>Need information I was served by Khadidiatou ... very lovable and attentive. I am very satisfied with the service. Thank you much better greetings</v>
      </c>
    </row>
    <row r="768" ht="15.75" customHeight="1">
      <c r="A768" s="2">
        <v>3.0</v>
      </c>
      <c r="B768" s="2" t="s">
        <v>2147</v>
      </c>
      <c r="C768" s="2" t="s">
        <v>2148</v>
      </c>
      <c r="D768" s="2" t="s">
        <v>20</v>
      </c>
      <c r="E768" s="2" t="s">
        <v>14</v>
      </c>
      <c r="F768" s="2" t="s">
        <v>15</v>
      </c>
      <c r="G768" s="2" t="s">
        <v>2149</v>
      </c>
      <c r="H768" s="2" t="s">
        <v>54</v>
      </c>
      <c r="I768" s="3" t="str">
        <f>IFERROR(__xludf.DUMMYFUNCTION("GOOGLETRANSLATE(C768,""fr"",""en"")"),"Not recomable as assirarance. Really not up to it. Go to competitors at least you will be listened to a minimum.")</f>
        <v>Not recomable as assirarance. Really not up to it. Go to competitors at least you will be listened to a minimum.</v>
      </c>
    </row>
    <row r="769" ht="15.75" customHeight="1">
      <c r="A769" s="2">
        <v>1.0</v>
      </c>
      <c r="B769" s="2" t="s">
        <v>2150</v>
      </c>
      <c r="C769" s="2" t="s">
        <v>2151</v>
      </c>
      <c r="D769" s="2" t="s">
        <v>373</v>
      </c>
      <c r="E769" s="2" t="s">
        <v>31</v>
      </c>
      <c r="F769" s="2" t="s">
        <v>15</v>
      </c>
      <c r="G769" s="2" t="s">
        <v>2152</v>
      </c>
      <c r="H769" s="2" t="s">
        <v>187</v>
      </c>
      <c r="I769" s="3" t="str">
        <f>IFERROR(__xludf.DUMMYFUNCTION("GOOGLETRANSLATE(C769,""fr"",""en"")"),"I have subscribed to the CEGEMA insurance, insurance which poses various termination problems (following several disputes). The documents requested were sent to Cegema who refuses to take them into account, after several manuscript letters stipulating the"&amp;"m with the laws relating to the termination in France they make the deaf ear and ignore these documents. In dispute with Cegema for 6 months, I don't know how to do it with them. I strongly advise against calling on this insurance structure!")</f>
        <v>I have subscribed to the CEGEMA insurance, insurance which poses various termination problems (following several disputes). The documents requested were sent to Cegema who refuses to take them into account, after several manuscript letters stipulating them with the laws relating to the termination in France they make the deaf ear and ignore these documents. In dispute with Cegema for 6 months, I don't know how to do it with them. I strongly advise against calling on this insurance structure!</v>
      </c>
    </row>
    <row r="770" ht="15.75" customHeight="1">
      <c r="A770" s="2">
        <v>3.0</v>
      </c>
      <c r="B770" s="2" t="s">
        <v>2153</v>
      </c>
      <c r="C770" s="2" t="s">
        <v>2154</v>
      </c>
      <c r="D770" s="2" t="s">
        <v>13</v>
      </c>
      <c r="E770" s="2" t="s">
        <v>14</v>
      </c>
      <c r="F770" s="2" t="s">
        <v>15</v>
      </c>
      <c r="G770" s="2" t="s">
        <v>2155</v>
      </c>
      <c r="H770" s="2" t="s">
        <v>125</v>
      </c>
      <c r="I770" s="3" t="str">
        <f>IFERROR(__xludf.DUMMYFUNCTION("GOOGLETRANSLATE(C770,""fr"",""en"")"),"What I find a little disturbing is that we are forced to pay all for the year instead of giving us a monthly monthly monthly monthly payment")</f>
        <v>What I find a little disturbing is that we are forced to pay all for the year instead of giving us a monthly monthly monthly monthly payment</v>
      </c>
    </row>
    <row r="771" ht="15.75" customHeight="1">
      <c r="A771" s="2">
        <v>3.0</v>
      </c>
      <c r="B771" s="2" t="s">
        <v>2156</v>
      </c>
      <c r="C771" s="2" t="s">
        <v>2157</v>
      </c>
      <c r="D771" s="2" t="s">
        <v>117</v>
      </c>
      <c r="E771" s="2" t="s">
        <v>285</v>
      </c>
      <c r="F771" s="2" t="s">
        <v>15</v>
      </c>
      <c r="G771" s="2" t="s">
        <v>2158</v>
      </c>
      <c r="H771" s="2" t="s">
        <v>911</v>
      </c>
      <c r="I771" s="3" t="str">
        <f>IFERROR(__xludf.DUMMYFUNCTION("GOOGLETRANSLATE(C771,""fr"",""en"")"),"Null")</f>
        <v>Null</v>
      </c>
    </row>
    <row r="772" ht="15.75" customHeight="1">
      <c r="A772" s="2">
        <v>3.0</v>
      </c>
      <c r="B772" s="2" t="s">
        <v>2159</v>
      </c>
      <c r="C772" s="2" t="s">
        <v>2160</v>
      </c>
      <c r="D772" s="2" t="s">
        <v>20</v>
      </c>
      <c r="E772" s="2" t="s">
        <v>14</v>
      </c>
      <c r="F772" s="2" t="s">
        <v>15</v>
      </c>
      <c r="G772" s="2" t="s">
        <v>1067</v>
      </c>
      <c r="H772" s="2" t="s">
        <v>156</v>
      </c>
      <c r="I772" s="3" t="str">
        <f>IFERROR(__xludf.DUMMYFUNCTION("GOOGLETRANSLATE(C772,""fr"",""en"")"),"Quick and efficient quote request. You will surely be my next insurance.
The franchises are substantial but you have to know what you want.")</f>
        <v>Quick and efficient quote request. You will surely be my next insurance.
The franchises are substantial but you have to know what you want.</v>
      </c>
    </row>
    <row r="773" ht="15.75" customHeight="1">
      <c r="A773" s="2">
        <v>3.0</v>
      </c>
      <c r="B773" s="2" t="s">
        <v>2161</v>
      </c>
      <c r="C773" s="2" t="s">
        <v>2162</v>
      </c>
      <c r="D773" s="2" t="s">
        <v>20</v>
      </c>
      <c r="E773" s="2" t="s">
        <v>14</v>
      </c>
      <c r="F773" s="2" t="s">
        <v>15</v>
      </c>
      <c r="G773" s="2" t="s">
        <v>980</v>
      </c>
      <c r="H773" s="2" t="s">
        <v>149</v>
      </c>
      <c r="I773" s="3" t="str">
        <f>IFERROR(__xludf.DUMMYFUNCTION("GOOGLETRANSLATE(C773,""fr"",""en"")"),"I note an increase of 6 % over last year. It's a lot. What is the justification of this increase (car unchanged, no loss recorded)")</f>
        <v>I note an increase of 6 % over last year. It's a lot. What is the justification of this increase (car unchanged, no loss recorded)</v>
      </c>
    </row>
    <row r="774" ht="15.75" customHeight="1">
      <c r="A774" s="2">
        <v>1.0</v>
      </c>
      <c r="B774" s="2" t="s">
        <v>2163</v>
      </c>
      <c r="C774" s="2" t="s">
        <v>2164</v>
      </c>
      <c r="D774" s="2" t="s">
        <v>1052</v>
      </c>
      <c r="E774" s="2" t="s">
        <v>285</v>
      </c>
      <c r="F774" s="2" t="s">
        <v>15</v>
      </c>
      <c r="G774" s="2" t="s">
        <v>1153</v>
      </c>
      <c r="H774" s="2" t="s">
        <v>172</v>
      </c>
      <c r="I774" s="3" t="str">
        <f>IFERROR(__xludf.DUMMYFUNCTION("GOOGLETRANSLATE(C774,""fr"",""en"")"),"I have retirement life insurance: rosewood at home, and I have the same type of insurance at 3 different insurers where the other insurers take less than a month to make a buyout take a little more than 3 months. Not to mention the difficulties to join th"&amp;"em, time of telephone waiting that can go up to more than half an hour and without being able to have them I had to remember !!! The bank when she does not know anything so there is no need to ask them anything to proscribe absolutely I will obviously ask"&amp;" for interest in late payment")</f>
        <v>I have retirement life insurance: rosewood at home, and I have the same type of insurance at 3 different insurers where the other insurers take less than a month to make a buyout take a little more than 3 months. Not to mention the difficulties to join them, time of telephone waiting that can go up to more than half an hour and without being able to have them I had to remember !!! The bank when she does not know anything so there is no need to ask them anything to proscribe absolutely I will obviously ask for interest in late payment</v>
      </c>
    </row>
    <row r="775" ht="15.75" customHeight="1">
      <c r="A775" s="2">
        <v>1.0</v>
      </c>
      <c r="B775" s="2" t="s">
        <v>2165</v>
      </c>
      <c r="C775" s="2" t="s">
        <v>2166</v>
      </c>
      <c r="D775" s="2" t="s">
        <v>101</v>
      </c>
      <c r="E775" s="2" t="s">
        <v>31</v>
      </c>
      <c r="F775" s="2" t="s">
        <v>15</v>
      </c>
      <c r="G775" s="2" t="s">
        <v>2167</v>
      </c>
      <c r="H775" s="2" t="s">
        <v>1010</v>
      </c>
      <c r="I775" s="3" t="str">
        <f>IFERROR(__xludf.DUMMYFUNCTION("GOOGLETRANSLATE(C775,""fr"",""en"")"),"I've been trying to terminate a contract taken for one of my employees and nothing to do despite the resignation of this one for more than year I have been paying for the year ago")</f>
        <v>I've been trying to terminate a contract taken for one of my employees and nothing to do despite the resignation of this one for more than year I have been paying for the year ago</v>
      </c>
    </row>
    <row r="776" ht="15.75" customHeight="1">
      <c r="A776" s="2">
        <v>5.0</v>
      </c>
      <c r="B776" s="2" t="s">
        <v>2168</v>
      </c>
      <c r="C776" s="2" t="s">
        <v>2169</v>
      </c>
      <c r="D776" s="2" t="s">
        <v>24</v>
      </c>
      <c r="E776" s="2" t="s">
        <v>25</v>
      </c>
      <c r="F776" s="2" t="s">
        <v>15</v>
      </c>
      <c r="G776" s="2" t="s">
        <v>1119</v>
      </c>
      <c r="H776" s="2" t="s">
        <v>172</v>
      </c>
      <c r="I776" s="3" t="str">
        <f>IFERROR(__xludf.DUMMYFUNCTION("GOOGLETRANSLATE(C776,""fr"",""en"")"),"Great professionalism and a precise, reactive reaction and very good advice.
I am sure to keep this insurer in the future because rare and exemplary.")</f>
        <v>Great professionalism and a precise, reactive reaction and very good advice.
I am sure to keep this insurer in the future because rare and exemplary.</v>
      </c>
    </row>
    <row r="777" ht="15.75" customHeight="1">
      <c r="A777" s="2">
        <v>5.0</v>
      </c>
      <c r="B777" s="2" t="s">
        <v>2170</v>
      </c>
      <c r="C777" s="2" t="s">
        <v>2171</v>
      </c>
      <c r="D777" s="2" t="s">
        <v>43</v>
      </c>
      <c r="E777" s="2" t="s">
        <v>14</v>
      </c>
      <c r="F777" s="2" t="s">
        <v>15</v>
      </c>
      <c r="G777" s="2" t="s">
        <v>2172</v>
      </c>
      <c r="H777" s="2" t="s">
        <v>1450</v>
      </c>
      <c r="I777" s="3" t="str">
        <f>IFERROR(__xludf.DUMMYFUNCTION("GOOGLETRANSLATE(C777,""fr"",""en"")"),"For 25 years at the Macif I have nothing to complain about. For me, it is the best insurance. Sinisterchase has been treated without any problems. Very responsive and very professional as we expect from a mutual.")</f>
        <v>For 25 years at the Macif I have nothing to complain about. For me, it is the best insurance. Sinisterchase has been treated without any problems. Very responsive and very professional as we expect from a mutual.</v>
      </c>
    </row>
    <row r="778" ht="15.75" customHeight="1">
      <c r="A778" s="2">
        <v>2.0</v>
      </c>
      <c r="B778" s="2" t="s">
        <v>2173</v>
      </c>
      <c r="C778" s="2" t="s">
        <v>2174</v>
      </c>
      <c r="D778" s="2" t="s">
        <v>61</v>
      </c>
      <c r="E778" s="2" t="s">
        <v>14</v>
      </c>
      <c r="F778" s="2" t="s">
        <v>15</v>
      </c>
      <c r="G778" s="2" t="s">
        <v>2175</v>
      </c>
      <c r="H778" s="2" t="s">
        <v>477</v>
      </c>
      <c r="I778" s="3" t="str">
        <f>IFERROR(__xludf.DUMMYFUNCTION("GOOGLETRANSLATE(C778,""fr"",""en"")"),"They saw me after 2 years with a maximum bonus and no responsible accident.")</f>
        <v>They saw me after 2 years with a maximum bonus and no responsible accident.</v>
      </c>
    </row>
    <row r="779" ht="15.75" customHeight="1">
      <c r="A779" s="2">
        <v>4.0</v>
      </c>
      <c r="B779" s="2" t="s">
        <v>2176</v>
      </c>
      <c r="C779" s="2" t="s">
        <v>2177</v>
      </c>
      <c r="D779" s="2" t="s">
        <v>147</v>
      </c>
      <c r="E779" s="2" t="s">
        <v>31</v>
      </c>
      <c r="F779" s="2" t="s">
        <v>15</v>
      </c>
      <c r="G779" s="2" t="s">
        <v>2178</v>
      </c>
      <c r="H779" s="2" t="s">
        <v>77</v>
      </c>
      <c r="I779" s="3" t="str">
        <f>IFERROR(__xludf.DUMMYFUNCTION("GOOGLETRANSLATE(C779,""fr"",""en"")"),"Following my telephone call, the advisor helped me very well and informs the creation of my personal account and a refund.
Very effective.")</f>
        <v>Following my telephone call, the advisor helped me very well and informs the creation of my personal account and a refund.
Very effective.</v>
      </c>
    </row>
    <row r="780" ht="15.75" customHeight="1">
      <c r="A780" s="2">
        <v>1.0</v>
      </c>
      <c r="B780" s="2" t="s">
        <v>2179</v>
      </c>
      <c r="C780" s="2" t="s">
        <v>2180</v>
      </c>
      <c r="D780" s="2" t="s">
        <v>328</v>
      </c>
      <c r="E780" s="2" t="s">
        <v>329</v>
      </c>
      <c r="F780" s="2" t="s">
        <v>15</v>
      </c>
      <c r="G780" s="2" t="s">
        <v>2181</v>
      </c>
      <c r="H780" s="2" t="s">
        <v>313</v>
      </c>
      <c r="I780" s="3" t="str">
        <f>IFERROR(__xludf.DUMMYFUNCTION("GOOGLETRANSLATE(C780,""fr"",""en"")"),"Our contribution from Assur O'Poil (animal insurance) increased by 17 euros to 28 euros without prior notice. We have not received any email or mail concerning this increase in subscription. Obviously we are not the only ones in this case. Anso O'Poil ass"&amp;"ures us (but yes!) That he sent this email that we did not receive and therefore that he does not accept to terminate the contract.
The chat on their site is only dedicated to the sale and the opinions on Trustpilot are not reliable because it is impossi"&amp;"ble to post an unfavorable opinion. Behavior to say the least. To avoid.")</f>
        <v>Our contribution from Assur O'Poil (animal insurance) increased by 17 euros to 28 euros without prior notice. We have not received any email or mail concerning this increase in subscription. Obviously we are not the only ones in this case. Anso O'Poil assures us (but yes!) That he sent this email that we did not receive and therefore that he does not accept to terminate the contract.
The chat on their site is only dedicated to the sale and the opinions on Trustpilot are not reliable because it is impossible to post an unfavorable opinion. Behavior to say the least. To avoid.</v>
      </c>
    </row>
    <row r="781" ht="15.75" customHeight="1">
      <c r="A781" s="2">
        <v>1.0</v>
      </c>
      <c r="B781" s="2" t="s">
        <v>2182</v>
      </c>
      <c r="C781" s="2" t="s">
        <v>2183</v>
      </c>
      <c r="D781" s="2" t="s">
        <v>75</v>
      </c>
      <c r="E781" s="2" t="s">
        <v>31</v>
      </c>
      <c r="F781" s="2" t="s">
        <v>15</v>
      </c>
      <c r="G781" s="2" t="s">
        <v>2184</v>
      </c>
      <c r="H781" s="2" t="s">
        <v>458</v>
      </c>
      <c r="I781" s="3" t="str">
        <f>IFERROR(__xludf.DUMMYFUNCTION("GOOGLETRANSLATE(C781,""fr"",""en"")"),"Mutual who despises his members I terminate 06.12.2019 by registered mail and 07.02.2020 by registered law chatel because my contract was renewed without my being informed of his tacit renewal and my possibility of changing mutual at 15.10. 2019. Today I "&amp;"receive threats from this mutual and I am reimbursed for my care while my request is simple to terminate my contract.")</f>
        <v>Mutual who despises his members I terminate 06.12.2019 by registered mail and 07.02.2020 by registered law chatel because my contract was renewed without my being informed of his tacit renewal and my possibility of changing mutual at 15.10. 2019. Today I receive threats from this mutual and I am reimbursed for my care while my request is simple to terminate my contract.</v>
      </c>
    </row>
    <row r="782" ht="15.75" customHeight="1">
      <c r="A782" s="2">
        <v>5.0</v>
      </c>
      <c r="B782" s="2" t="s">
        <v>2185</v>
      </c>
      <c r="C782" s="2" t="s">
        <v>2186</v>
      </c>
      <c r="D782" s="2" t="s">
        <v>80</v>
      </c>
      <c r="E782" s="2" t="s">
        <v>25</v>
      </c>
      <c r="F782" s="2" t="s">
        <v>15</v>
      </c>
      <c r="G782" s="2" t="s">
        <v>615</v>
      </c>
      <c r="H782" s="2" t="s">
        <v>72</v>
      </c>
      <c r="I782" s="3" t="str">
        <f>IFERROR(__xludf.DUMMYFUNCTION("GOOGLETRANSLATE(C782,""fr"",""en"")"),"Very good value for money. I wanted to opt for my usual insurance but on the advice of Lys Moto which sells my vehicle to me, I went to make a quote which turns out to be more interesting than my precede insurer.")</f>
        <v>Very good value for money. I wanted to opt for my usual insurance but on the advice of Lys Moto which sells my vehicle to me, I went to make a quote which turns out to be more interesting than my precede insurer.</v>
      </c>
    </row>
    <row r="783" ht="15.75" customHeight="1">
      <c r="A783" s="2">
        <v>2.0</v>
      </c>
      <c r="B783" s="2" t="s">
        <v>2187</v>
      </c>
      <c r="C783" s="2" t="s">
        <v>2188</v>
      </c>
      <c r="D783" s="2" t="s">
        <v>20</v>
      </c>
      <c r="E783" s="2" t="s">
        <v>14</v>
      </c>
      <c r="F783" s="2" t="s">
        <v>15</v>
      </c>
      <c r="G783" s="2" t="s">
        <v>1122</v>
      </c>
      <c r="H783" s="2" t="s">
        <v>140</v>
      </c>
      <c r="I783" s="3" t="str">
        <f>IFERROR(__xludf.DUMMYFUNCTION("GOOGLETRANSLATE(C783,""fr"",""en"")"),"I would see next year because having a 50% bonus for 4 years; I noticed that other insurance is cheaper with the same guarantees (Assurland comparator)")</f>
        <v>I would see next year because having a 50% bonus for 4 years; I noticed that other insurance is cheaper with the same guarantees (Assurland comparator)</v>
      </c>
    </row>
    <row r="784" ht="15.75" customHeight="1">
      <c r="A784" s="2">
        <v>4.0</v>
      </c>
      <c r="B784" s="2" t="s">
        <v>2189</v>
      </c>
      <c r="C784" s="2" t="s">
        <v>2190</v>
      </c>
      <c r="D784" s="2" t="s">
        <v>24</v>
      </c>
      <c r="E784" s="2" t="s">
        <v>25</v>
      </c>
      <c r="F784" s="2" t="s">
        <v>15</v>
      </c>
      <c r="G784" s="2" t="s">
        <v>2191</v>
      </c>
      <c r="H784" s="2" t="s">
        <v>77</v>
      </c>
      <c r="I784" s="3" t="str">
        <f>IFERROR(__xludf.DUMMYFUNCTION("GOOGLETRANSLATE(C784,""fr"",""en"")"),"Customer for many years, I have been very satisfied with the pricing which takes into account for example the health situation by practicing a reduction in the insurance premium.
")</f>
        <v>Customer for many years, I have been very satisfied with the pricing which takes into account for example the health situation by practicing a reduction in the insurance premium.
</v>
      </c>
    </row>
    <row r="785" ht="15.75" customHeight="1">
      <c r="A785" s="2">
        <v>1.0</v>
      </c>
      <c r="B785" s="2" t="s">
        <v>2192</v>
      </c>
      <c r="C785" s="2" t="s">
        <v>2193</v>
      </c>
      <c r="D785" s="2" t="s">
        <v>469</v>
      </c>
      <c r="E785" s="2" t="s">
        <v>285</v>
      </c>
      <c r="F785" s="2" t="s">
        <v>15</v>
      </c>
      <c r="G785" s="2" t="s">
        <v>2194</v>
      </c>
      <c r="H785" s="2" t="s">
        <v>528</v>
      </c>
      <c r="I785" s="3" t="str">
        <f>IFERROR(__xludf.DUMMYFUNCTION("GOOGLETRANSLATE(C785,""fr"",""en"")"),"AFER: We take your money from your own free will. To get it on the other hand, when you ask for a total repurchase, AFER is absent subscribers !!! No response to my recommended letters with acknowledgment of receipt, legal deadline of two months not respe"&amp;"cted, on the phone at this famous Parisian number We leave you on hold and finally hang up on the nose, we tell you for any answer when you remember X times and That you end up falling on a standardist: ""wait"" ""wait you will receive a regulation"". Kno"&amp;"w, small or big savers, that the only solution with this organization is to move to Paris, 36 rue de Chateaudun. It is a shame in the 21st century !!!")</f>
        <v>AFER: We take your money from your own free will. To get it on the other hand, when you ask for a total repurchase, AFER is absent subscribers !!! No response to my recommended letters with acknowledgment of receipt, legal deadline of two months not respected, on the phone at this famous Parisian number We leave you on hold and finally hang up on the nose, we tell you for any answer when you remember X times and That you end up falling on a standardist: "wait" "wait you will receive a regulation". Know, small or big savers, that the only solution with this organization is to move to Paris, 36 rue de Chateaudun. It is a shame in the 21st century !!!</v>
      </c>
    </row>
    <row r="786" ht="15.75" customHeight="1">
      <c r="A786" s="2">
        <v>5.0</v>
      </c>
      <c r="B786" s="2" t="s">
        <v>2195</v>
      </c>
      <c r="C786" s="2" t="s">
        <v>2196</v>
      </c>
      <c r="D786" s="2" t="s">
        <v>13</v>
      </c>
      <c r="E786" s="2" t="s">
        <v>14</v>
      </c>
      <c r="F786" s="2" t="s">
        <v>15</v>
      </c>
      <c r="G786" s="2" t="s">
        <v>464</v>
      </c>
      <c r="H786" s="2" t="s">
        <v>27</v>
      </c>
      <c r="I786" s="3" t="str">
        <f>IFERROR(__xludf.DUMMYFUNCTION("GOOGLETRANSLATE(C786,""fr"",""en"")"),"Satisfied for the moment but since I have not yet had to use your services as part of a disaster we will see on time, cordially")</f>
        <v>Satisfied for the moment but since I have not yet had to use your services as part of a disaster we will see on time, cordially</v>
      </c>
    </row>
    <row r="787" ht="15.75" customHeight="1">
      <c r="A787" s="2">
        <v>2.0</v>
      </c>
      <c r="B787" s="2" t="s">
        <v>2197</v>
      </c>
      <c r="C787" s="2" t="s">
        <v>2198</v>
      </c>
      <c r="D787" s="2" t="s">
        <v>24</v>
      </c>
      <c r="E787" s="2" t="s">
        <v>25</v>
      </c>
      <c r="F787" s="2" t="s">
        <v>15</v>
      </c>
      <c r="G787" s="2" t="s">
        <v>2199</v>
      </c>
      <c r="H787" s="2" t="s">
        <v>152</v>
      </c>
      <c r="I787" s="3" t="str">
        <f>IFERROR(__xludf.DUMMYFUNCTION("GOOGLETRANSLATE(C787,""fr"",""en"")"),"It's not bad and easy to ensure at home, but ..... You have to add options to do well, something that other insurers in general include in any risk, I am assured of any risk for my motorcycle, And one day I had a puncture in the open countryside, I call t"&amp;"he audience and I learn that I have no breakdown assistance. Surprised, I manage as I can to reinding at home and I look on the site, yes it is an option assistance, even in any risk, just like accessories on the motorcycle, clothes, helmet, etc. part of "&amp;"an additional option. In the end, if we ensure any risk without option, the price is well placed Mas if we add the options, it becomes an expensive insurance !!! On the other hand following an identified third -party accident which dropped my motorcycle, "&amp;"insurance did the job, fast and efficient.")</f>
        <v>It's not bad and easy to ensure at home, but ..... You have to add options to do well, something that other insurers in general include in any risk, I am assured of any risk for my motorcycle, And one day I had a puncture in the open countryside, I call the audience and I learn that I have no breakdown assistance. Surprised, I manage as I can to reinding at home and I look on the site, yes it is an option assistance, even in any risk, just like accessories on the motorcycle, clothes, helmet, etc. part of an additional option. In the end, if we ensure any risk without option, the price is well placed Mas if we add the options, it becomes an expensive insurance !!! On the other hand following an identified third -party accident which dropped my motorcycle, insurance did the job, fast and efficient.</v>
      </c>
    </row>
    <row r="788" ht="15.75" customHeight="1">
      <c r="A788" s="2">
        <v>1.0</v>
      </c>
      <c r="B788" s="2" t="s">
        <v>2200</v>
      </c>
      <c r="C788" s="2" t="s">
        <v>2201</v>
      </c>
      <c r="D788" s="2" t="s">
        <v>1971</v>
      </c>
      <c r="E788" s="2" t="s">
        <v>91</v>
      </c>
      <c r="F788" s="2" t="s">
        <v>15</v>
      </c>
      <c r="G788" s="2" t="s">
        <v>445</v>
      </c>
      <c r="H788" s="2" t="s">
        <v>445</v>
      </c>
      <c r="I788" s="3" t="str">
        <f>IFERROR(__xludf.DUMMYFUNCTION("GOOGLETRANSLATE(C788,""fr"",""en"")"),"If I had been able to put 0, I would have done it. Indeed I have just received a unilateral opinion of termination of a housing contract !! Under the pretext of the too large number of claims when I have never been responsible. These are trucks that strik"&amp;"e my gutter because they are too big and moreover, they are not allowed to take this street, and in most of the time, they are identified and it is therefore the opposing insurance which settles the claim. Bravo to Groupama ....")</f>
        <v>If I had been able to put 0, I would have done it. Indeed I have just received a unilateral opinion of termination of a housing contract !! Under the pretext of the too large number of claims when I have never been responsible. These are trucks that strike my gutter because they are too big and moreover, they are not allowed to take this street, and in most of the time, they are identified and it is therefore the opposing insurance which settles the claim. Bravo to Groupama ....</v>
      </c>
    </row>
    <row r="789" ht="15.75" customHeight="1">
      <c r="A789" s="2">
        <v>2.0</v>
      </c>
      <c r="B789" s="2" t="s">
        <v>2202</v>
      </c>
      <c r="C789" s="2" t="s">
        <v>2203</v>
      </c>
      <c r="D789" s="2" t="s">
        <v>20</v>
      </c>
      <c r="E789" s="2" t="s">
        <v>14</v>
      </c>
      <c r="F789" s="2" t="s">
        <v>15</v>
      </c>
      <c r="G789" s="2" t="s">
        <v>148</v>
      </c>
      <c r="H789" s="2" t="s">
        <v>149</v>
      </c>
      <c r="I789" s="3" t="str">
        <f>IFERROR(__xludf.DUMMYFUNCTION("GOOGLETRANSLATE(C789,""fr"",""en"")"),"The site is rather well designed but problems arise when it comes to modifying information on the main and secondary driver (to name only that) more, no telephone number is offered in order to subscribe by this average. Result: two hours spent to ensure a"&amp;" vehicle and still lacks information. By the way, I want to specify that I called the number proposed in the event of a disaster in despair and that the person I explained my concern was not of great support. Many parameters to review.")</f>
        <v>The site is rather well designed but problems arise when it comes to modifying information on the main and secondary driver (to name only that) more, no telephone number is offered in order to subscribe by this average. Result: two hours spent to ensure a vehicle and still lacks information. By the way, I want to specify that I called the number proposed in the event of a disaster in despair and that the person I explained my concern was not of great support. Many parameters to review.</v>
      </c>
    </row>
    <row r="790" ht="15.75" customHeight="1">
      <c r="A790" s="2">
        <v>3.0</v>
      </c>
      <c r="B790" s="2" t="s">
        <v>2204</v>
      </c>
      <c r="C790" s="2" t="s">
        <v>2205</v>
      </c>
      <c r="D790" s="2" t="s">
        <v>20</v>
      </c>
      <c r="E790" s="2" t="s">
        <v>14</v>
      </c>
      <c r="F790" s="2" t="s">
        <v>15</v>
      </c>
      <c r="G790" s="2" t="s">
        <v>204</v>
      </c>
      <c r="H790" s="2" t="s">
        <v>149</v>
      </c>
      <c r="I790" s="3" t="str">
        <f>IFERROR(__xludf.DUMMYFUNCTION("GOOGLETRANSLATE(C790,""fr"",""en"")"),"I am satisfied with the service and the price damage that the delay is so long to obtain an acceptable bonus good quality of your telephone assistance")</f>
        <v>I am satisfied with the service and the price damage that the delay is so long to obtain an acceptable bonus good quality of your telephone assistance</v>
      </c>
    </row>
    <row r="791" ht="15.75" customHeight="1">
      <c r="A791" s="2">
        <v>1.0</v>
      </c>
      <c r="B791" s="2" t="s">
        <v>2206</v>
      </c>
      <c r="C791" s="2" t="s">
        <v>2207</v>
      </c>
      <c r="D791" s="2" t="s">
        <v>1219</v>
      </c>
      <c r="E791" s="2" t="s">
        <v>97</v>
      </c>
      <c r="F791" s="2" t="s">
        <v>15</v>
      </c>
      <c r="G791" s="2" t="s">
        <v>2208</v>
      </c>
      <c r="H791" s="2" t="s">
        <v>77</v>
      </c>
      <c r="I791" s="3" t="str">
        <f>IFERROR(__xludf.DUMMYFUNCTION("GOOGLETRANSLATE(C791,""fr"",""en"")"),"To flee to flee to flee, you should not be sick because they will make sure you pay or will constantly relaunch despite the sending documents claiming that they examine the file they have already examined 50 times and the documents that 'They received in "&amp;"triple that they lose or do not see I do not know how they work but they must not be in the 21st centuries that is sure married to the LCL so do not ask them above all nothing is no or so they will make sure to leave the backrest. If I could put zero star"&amp;" I would do it")</f>
        <v>To flee to flee to flee, you should not be sick because they will make sure you pay or will constantly relaunch despite the sending documents claiming that they examine the file they have already examined 50 times and the documents that 'They received in triple that they lose or do not see I do not know how they work but they must not be in the 21st centuries that is sure married to the LCL so do not ask them above all nothing is no or so they will make sure to leave the backrest. If I could put zero star I would do it</v>
      </c>
    </row>
    <row r="792" ht="15.75" customHeight="1">
      <c r="A792" s="2">
        <v>5.0</v>
      </c>
      <c r="B792" s="2" t="s">
        <v>2209</v>
      </c>
      <c r="C792" s="2" t="s">
        <v>2210</v>
      </c>
      <c r="D792" s="2" t="s">
        <v>101</v>
      </c>
      <c r="E792" s="2" t="s">
        <v>31</v>
      </c>
      <c r="F792" s="2" t="s">
        <v>15</v>
      </c>
      <c r="G792" s="2" t="s">
        <v>2044</v>
      </c>
      <c r="H792" s="2" t="s">
        <v>27</v>
      </c>
      <c r="I792" s="3" t="str">
        <f>IFERROR(__xludf.DUMMYFUNCTION("GOOGLETRANSLATE(C792,""fr"",""en"")"),"hello
future customer at Neoliane, my contact Tel. With Emeline was very pleasant with clear explanations and reception lets present good relations.
Cordially")</f>
        <v>hello
future customer at Neoliane, my contact Tel. With Emeline was very pleasant with clear explanations and reception lets present good relations.
Cordially</v>
      </c>
    </row>
    <row r="793" ht="15.75" customHeight="1">
      <c r="A793" s="2">
        <v>4.0</v>
      </c>
      <c r="B793" s="2" t="s">
        <v>2211</v>
      </c>
      <c r="C793" s="2" t="s">
        <v>2212</v>
      </c>
      <c r="D793" s="2" t="s">
        <v>24</v>
      </c>
      <c r="E793" s="2" t="s">
        <v>25</v>
      </c>
      <c r="F793" s="2" t="s">
        <v>15</v>
      </c>
      <c r="G793" s="2" t="s">
        <v>612</v>
      </c>
      <c r="H793" s="2" t="s">
        <v>58</v>
      </c>
      <c r="I793" s="3" t="str">
        <f>IFERROR(__xludf.DUMMYFUNCTION("GOOGLETRANSLATE(C793,""fr"",""en"")"),"Well so far! The subscription is easy even for neophytes!
I hope that in the event of a problem you will also perform?
I will not fail to share it with those who have a scooter to insure!")</f>
        <v>Well so far! The subscription is easy even for neophytes!
I hope that in the event of a problem you will also perform?
I will not fail to share it with those who have a scooter to insure!</v>
      </c>
    </row>
    <row r="794" ht="15.75" customHeight="1">
      <c r="A794" s="2">
        <v>5.0</v>
      </c>
      <c r="B794" s="2" t="s">
        <v>2213</v>
      </c>
      <c r="C794" s="2" t="s">
        <v>2214</v>
      </c>
      <c r="D794" s="2" t="s">
        <v>13</v>
      </c>
      <c r="E794" s="2" t="s">
        <v>14</v>
      </c>
      <c r="F794" s="2" t="s">
        <v>15</v>
      </c>
      <c r="G794" s="2" t="s">
        <v>2215</v>
      </c>
      <c r="H794" s="2" t="s">
        <v>58</v>
      </c>
      <c r="I794" s="3" t="str">
        <f>IFERROR(__xludf.DUMMYFUNCTION("GOOGLETRANSLATE(C794,""fr"",""en"")"),"I am very satisfied with the service and the price I recommend this insurance I hope in the future that I can always say good thank you again")</f>
        <v>I am very satisfied with the service and the price I recommend this insurance I hope in the future that I can always say good thank you again</v>
      </c>
    </row>
    <row r="795" ht="15.75" customHeight="1">
      <c r="A795" s="2">
        <v>3.0</v>
      </c>
      <c r="B795" s="2" t="s">
        <v>2216</v>
      </c>
      <c r="C795" s="2" t="s">
        <v>2217</v>
      </c>
      <c r="D795" s="2" t="s">
        <v>20</v>
      </c>
      <c r="E795" s="2" t="s">
        <v>14</v>
      </c>
      <c r="F795" s="2" t="s">
        <v>15</v>
      </c>
      <c r="G795" s="2" t="s">
        <v>2006</v>
      </c>
      <c r="H795" s="2" t="s">
        <v>172</v>
      </c>
      <c r="I795" s="3" t="str">
        <f>IFERROR(__xludf.DUMMYFUNCTION("GOOGLETRANSLATE(C795,""fr"",""en"")"),"The service is clear and concise, but the price is too high for young driver despite being lower than competition. While waiting to see the after -sales service.")</f>
        <v>The service is clear and concise, but the price is too high for young driver despite being lower than competition. While waiting to see the after -sales service.</v>
      </c>
    </row>
    <row r="796" ht="15.75" customHeight="1">
      <c r="A796" s="2">
        <v>3.0</v>
      </c>
      <c r="B796" s="2" t="s">
        <v>2218</v>
      </c>
      <c r="C796" s="2" t="s">
        <v>2219</v>
      </c>
      <c r="D796" s="2" t="s">
        <v>80</v>
      </c>
      <c r="E796" s="2" t="s">
        <v>25</v>
      </c>
      <c r="F796" s="2" t="s">
        <v>15</v>
      </c>
      <c r="G796" s="2" t="s">
        <v>898</v>
      </c>
      <c r="H796" s="2" t="s">
        <v>152</v>
      </c>
      <c r="I796" s="3" t="str">
        <f>IFERROR(__xludf.DUMMYFUNCTION("GOOGLETRANSLATE(C796,""fr"",""en"")"),"insurance 2 drivers for a motorcycle")</f>
        <v>insurance 2 drivers for a motorcycle</v>
      </c>
    </row>
    <row r="797" ht="15.75" customHeight="1">
      <c r="A797" s="2">
        <v>5.0</v>
      </c>
      <c r="B797" s="2" t="s">
        <v>2220</v>
      </c>
      <c r="C797" s="2" t="s">
        <v>2221</v>
      </c>
      <c r="D797" s="2" t="s">
        <v>20</v>
      </c>
      <c r="E797" s="2" t="s">
        <v>14</v>
      </c>
      <c r="F797" s="2" t="s">
        <v>15</v>
      </c>
      <c r="G797" s="2" t="s">
        <v>133</v>
      </c>
      <c r="H797" s="2" t="s">
        <v>133</v>
      </c>
      <c r="I797" s="3" t="str">
        <f>IFERROR(__xludf.DUMMYFUNCTION("GOOGLETRANSLATE(C797,""fr"",""en"")"),"Correct price and correct franchises compared to my old insurance.
I am very satisfied, thank you direct insurance for your prices and your well -appointed contracts with each of us")</f>
        <v>Correct price and correct franchises compared to my old insurance.
I am very satisfied, thank you direct insurance for your prices and your well -appointed contracts with each of us</v>
      </c>
    </row>
    <row r="798" ht="15.75" customHeight="1">
      <c r="A798" s="2">
        <v>5.0</v>
      </c>
      <c r="B798" s="2" t="s">
        <v>2222</v>
      </c>
      <c r="C798" s="2" t="s">
        <v>2223</v>
      </c>
      <c r="D798" s="2" t="s">
        <v>20</v>
      </c>
      <c r="E798" s="2" t="s">
        <v>14</v>
      </c>
      <c r="F798" s="2" t="s">
        <v>15</v>
      </c>
      <c r="G798" s="2" t="s">
        <v>299</v>
      </c>
      <c r="H798" s="2" t="s">
        <v>149</v>
      </c>
      <c r="I798" s="3" t="str">
        <f>IFERROR(__xludf.DUMMYFUNCTION("GOOGLETRANSLATE(C798,""fr"",""en"")"),"The prices offered and the conditions suit me perfectly. The reception and advice of the interlocutor were very clear and very precise.")</f>
        <v>The prices offered and the conditions suit me perfectly. The reception and advice of the interlocutor were very clear and very precise.</v>
      </c>
    </row>
    <row r="799" ht="15.75" customHeight="1">
      <c r="A799" s="2">
        <v>4.0</v>
      </c>
      <c r="B799" s="2" t="s">
        <v>2224</v>
      </c>
      <c r="C799" s="2" t="s">
        <v>2225</v>
      </c>
      <c r="D799" s="2" t="s">
        <v>20</v>
      </c>
      <c r="E799" s="2" t="s">
        <v>14</v>
      </c>
      <c r="F799" s="2" t="s">
        <v>15</v>
      </c>
      <c r="G799" s="2" t="s">
        <v>2006</v>
      </c>
      <c r="H799" s="2" t="s">
        <v>172</v>
      </c>
      <c r="I799" s="3" t="str">
        <f>IFERROR(__xludf.DUMMYFUNCTION("GOOGLETRANSLATE(C799,""fr"",""en"")"),"Satisfied for the moment to see in time, just a little complicated so that they take the documents into account quickly. can be taken over after a year to see if it remains positive !!")</f>
        <v>Satisfied for the moment to see in time, just a little complicated so that they take the documents into account quickly. can be taken over after a year to see if it remains positive !!</v>
      </c>
    </row>
    <row r="800" ht="15.75" customHeight="1">
      <c r="A800" s="2">
        <v>5.0</v>
      </c>
      <c r="B800" s="2" t="s">
        <v>2226</v>
      </c>
      <c r="C800" s="2" t="s">
        <v>2227</v>
      </c>
      <c r="D800" s="2" t="s">
        <v>20</v>
      </c>
      <c r="E800" s="2" t="s">
        <v>14</v>
      </c>
      <c r="F800" s="2" t="s">
        <v>15</v>
      </c>
      <c r="G800" s="2" t="s">
        <v>36</v>
      </c>
      <c r="H800" s="2" t="s">
        <v>27</v>
      </c>
      <c r="I800" s="3" t="str">
        <f>IFERROR(__xludf.DUMMYFUNCTION("GOOGLETRANSLATE(C800,""fr"",""en"")"),"I am satisfied with the rapid quote and clear explanations. Accompany it to subscribe to vehicle insurance in question allows you to use the vehicle in any security")</f>
        <v>I am satisfied with the rapid quote and clear explanations. Accompany it to subscribe to vehicle insurance in question allows you to use the vehicle in any security</v>
      </c>
    </row>
    <row r="801" ht="15.75" customHeight="1">
      <c r="A801" s="2">
        <v>1.0</v>
      </c>
      <c r="B801" s="2" t="s">
        <v>2228</v>
      </c>
      <c r="C801" s="2" t="s">
        <v>2229</v>
      </c>
      <c r="D801" s="2" t="s">
        <v>112</v>
      </c>
      <c r="E801" s="2" t="s">
        <v>14</v>
      </c>
      <c r="F801" s="2" t="s">
        <v>15</v>
      </c>
      <c r="G801" s="2" t="s">
        <v>2172</v>
      </c>
      <c r="H801" s="2" t="s">
        <v>1450</v>
      </c>
      <c r="I801" s="3" t="str">
        <f>IFERROR(__xludf.DUMMYFUNCTION("GOOGLETRANSLATE(C801,""fr"",""en"")"),"To be flea !! To be flea !! To be flea !! To be flea !! To be flea !!
Exorbitant prices!
We are harassment of emails (I sometimes received more than 10 emails in less than 5 minutes). In addition, I returned all the documents requested on the quote."&amp;" I paid the two months of provisional green card. I was several times asked for the documents ... to finally terminate my contract for ""not having returned the documents"" ... while it was done!
In addition, 69 euros in termination fees !!!
")</f>
        <v>To be flea !! To be flea !! To be flea !! To be flea !! To be flea !!
Exorbitant prices!
We are harassment of emails (I sometimes received more than 10 emails in less than 5 minutes). In addition, I returned all the documents requested on the quote. I paid the two months of provisional green card. I was several times asked for the documents ... to finally terminate my contract for "not having returned the documents" ... while it was done!
In addition, 69 euros in termination fees !!!
</v>
      </c>
    </row>
    <row r="802" ht="15.75" customHeight="1">
      <c r="A802" s="2">
        <v>1.0</v>
      </c>
      <c r="B802" s="2" t="s">
        <v>2230</v>
      </c>
      <c r="C802" s="2" t="s">
        <v>2231</v>
      </c>
      <c r="D802" s="2" t="s">
        <v>48</v>
      </c>
      <c r="E802" s="2" t="s">
        <v>91</v>
      </c>
      <c r="F802" s="2" t="s">
        <v>15</v>
      </c>
      <c r="G802" s="2" t="s">
        <v>313</v>
      </c>
      <c r="H802" s="2" t="s">
        <v>313</v>
      </c>
      <c r="I802" s="3" t="str">
        <f>IFERROR(__xludf.DUMMYFUNCTION("GOOGLETRANSLATE(C802,""fr"",""en"")"),"Customer loyal for a long time of the maif I always said to myself that despite the fact that I pay more expensive than the average of the competitors I was sure that the day when I would need they would be up to the task unfortunately I was heavily mista"&amp;"ken I have my house which has cracked during a drought the town was declared in a natural disaster state my damage was therefore done after my declaration I have cracks on several exterior walls and inside also Sautéed tiles The expert did not do any geot"&amp;"echnical study He only offers me to cover the current coating by a waterproof and elastic reveal after having opened and rebuilt the cracks. My plaster is recent and cost me very expensive.
This reverse does not suit me because it is inertic and would ca"&amp;"use value to my house it would only have for the sole use of being elastic and therefore to hide the future cracks a misery cache so it refuses to put a traditional coating By telling me that the house will no longer be guaranteed I therefore have no solu"&amp;"tion then forced to take an insured expert and in addition at the start they had told me that they would pay me 90 percent of the sum of the work and now They tell me to pay 1,500 euros and I would have the money for the work in only 24 months I am really"&amp;" disgusted and I can no longer see their shamers' militant insurers they militate only for them")</f>
        <v>Customer loyal for a long time of the maif I always said to myself that despite the fact that I pay more expensive than the average of the competitors I was sure that the day when I would need they would be up to the task unfortunately I was heavily mistaken I have my house which has cracked during a drought the town was declared in a natural disaster state my damage was therefore done after my declaration I have cracks on several exterior walls and inside also Sautéed tiles The expert did not do any geotechnical study He only offers me to cover the current coating by a waterproof and elastic reveal after having opened and rebuilt the cracks. My plaster is recent and cost me very expensive.
This reverse does not suit me because it is inertic and would cause value to my house it would only have for the sole use of being elastic and therefore to hide the future cracks a misery cache so it refuses to put a traditional coating By telling me that the house will no longer be guaranteed I therefore have no solution then forced to take an insured expert and in addition at the start they had told me that they would pay me 90 percent of the sum of the work and now They tell me to pay 1,500 euros and I would have the money for the work in only 24 months I am really disgusted and I can no longer see their shamers' militant insurers they militate only for them</v>
      </c>
    </row>
    <row r="803" ht="15.75" customHeight="1">
      <c r="A803" s="2">
        <v>2.0</v>
      </c>
      <c r="B803" s="2" t="s">
        <v>2232</v>
      </c>
      <c r="C803" s="2" t="s">
        <v>2233</v>
      </c>
      <c r="D803" s="2" t="s">
        <v>147</v>
      </c>
      <c r="E803" s="2" t="s">
        <v>31</v>
      </c>
      <c r="F803" s="2" t="s">
        <v>15</v>
      </c>
      <c r="G803" s="2" t="s">
        <v>1603</v>
      </c>
      <c r="H803" s="2" t="s">
        <v>133</v>
      </c>
      <c r="I803" s="3" t="str">
        <f>IFERROR(__xludf.DUMMYFUNCTION("GOOGLETRANSLATE(C803,""fr"",""en"")"),"Mutual cheap - October 2020 - October 2021 I had an increase of 22.25 euros in a month (for a year 267 euros more) why stay ..... I have been adhered for 49 years with a complementary capital if I leave, I lose everything - mutual interest for young peopl"&amp;"e (and still to see) but not if you are aged. I do not understand why besides, very often with an ALD and even several so 100 %reimbursement, the mutual does not occur - Parcontre the contributions increase.")</f>
        <v>Mutual cheap - October 2020 - October 2021 I had an increase of 22.25 euros in a month (for a year 267 euros more) why stay ..... I have been adhered for 49 years with a complementary capital if I leave, I lose everything - mutual interest for young people (and still to see) but not if you are aged. I do not understand why besides, very often with an ALD and even several so 100 %reimbursement, the mutual does not occur - Parcontre the contributions increase.</v>
      </c>
    </row>
    <row r="804" ht="15.75" customHeight="1">
      <c r="A804" s="2">
        <v>1.0</v>
      </c>
      <c r="B804" s="2" t="s">
        <v>2234</v>
      </c>
      <c r="C804" s="2" t="s">
        <v>2235</v>
      </c>
      <c r="D804" s="2" t="s">
        <v>20</v>
      </c>
      <c r="E804" s="2" t="s">
        <v>91</v>
      </c>
      <c r="F804" s="2" t="s">
        <v>15</v>
      </c>
      <c r="G804" s="2" t="s">
        <v>1300</v>
      </c>
      <c r="H804" s="2" t="s">
        <v>149</v>
      </c>
      <c r="I804" s="3" t="str">
        <f>IFERROR(__xludf.DUMMYFUNCTION("GOOGLETRANSLATE(C804,""fr"",""en"")"),"Contribution which increases from year to year without having had any claim for 6 years. I do not understand why I pay a blind for minimum guarantees.")</f>
        <v>Contribution which increases from year to year without having had any claim for 6 years. I do not understand why I pay a blind for minimum guarantees.</v>
      </c>
    </row>
    <row r="805" ht="15.75" customHeight="1">
      <c r="A805" s="2">
        <v>5.0</v>
      </c>
      <c r="B805" s="2" t="s">
        <v>2236</v>
      </c>
      <c r="C805" s="2" t="s">
        <v>2237</v>
      </c>
      <c r="D805" s="2" t="s">
        <v>233</v>
      </c>
      <c r="E805" s="2" t="s">
        <v>14</v>
      </c>
      <c r="F805" s="2" t="s">
        <v>15</v>
      </c>
      <c r="G805" s="2" t="s">
        <v>1785</v>
      </c>
      <c r="H805" s="2" t="s">
        <v>172</v>
      </c>
      <c r="I805" s="3" t="str">
        <f>IFERROR(__xludf.DUMMYFUNCTION("GOOGLETRANSLATE(C805,""fr"",""en"")"),"Very satisfied to take out a car insurance contract on the phone; The fact remains that the call is long, but no more appointment, no more trip, thank you to the unlimited package.")</f>
        <v>Very satisfied to take out a car insurance contract on the phone; The fact remains that the call is long, but no more appointment, no more trip, thank you to the unlimited package.</v>
      </c>
    </row>
    <row r="806" ht="15.75" customHeight="1">
      <c r="A806" s="2">
        <v>1.0</v>
      </c>
      <c r="B806" s="2" t="s">
        <v>2238</v>
      </c>
      <c r="C806" s="2" t="s">
        <v>2239</v>
      </c>
      <c r="D806" s="2" t="s">
        <v>101</v>
      </c>
      <c r="E806" s="2" t="s">
        <v>31</v>
      </c>
      <c r="F806" s="2" t="s">
        <v>15</v>
      </c>
      <c r="G806" s="2" t="s">
        <v>132</v>
      </c>
      <c r="H806" s="2" t="s">
        <v>133</v>
      </c>
      <c r="I806" s="3" t="str">
        <f>IFERROR(__xludf.DUMMYFUNCTION("GOOGLETRANSLATE(C806,""fr"",""en"")"),"I was shist by phone I paid 22 € supposedly in 2018 they resume the torch by updating the. Dossiers they do not try to sell they impose
He sends me an SMS for Hospitalization IJ but they do not know if I need it or not if I want a lot will be fucked up i"&amp;"s very very limited as a method.")</f>
        <v>I was shist by phone I paid 22 € supposedly in 2018 they resume the torch by updating the. Dossiers they do not try to sell they impose
He sends me an SMS for Hospitalization IJ but they do not know if I need it or not if I want a lot will be fucked up is very very limited as a method.</v>
      </c>
    </row>
    <row r="807" ht="15.75" customHeight="1">
      <c r="A807" s="2">
        <v>3.0</v>
      </c>
      <c r="B807" s="2" t="s">
        <v>2240</v>
      </c>
      <c r="C807" s="2" t="s">
        <v>2241</v>
      </c>
      <c r="D807" s="2" t="s">
        <v>30</v>
      </c>
      <c r="E807" s="2" t="s">
        <v>31</v>
      </c>
      <c r="F807" s="2" t="s">
        <v>15</v>
      </c>
      <c r="G807" s="2" t="s">
        <v>2242</v>
      </c>
      <c r="H807" s="2" t="s">
        <v>445</v>
      </c>
      <c r="I807" s="3" t="str">
        <f>IFERROR(__xludf.DUMMYFUNCTION("GOOGLETRANSLATE(C807,""fr"",""en"")"),"I had a very good telephone contact today. The person has taken the time to do the necessary research to give me a clear and precise response.")</f>
        <v>I had a very good telephone contact today. The person has taken the time to do the necessary research to give me a clear and precise response.</v>
      </c>
    </row>
    <row r="808" ht="15.75" customHeight="1">
      <c r="A808" s="2">
        <v>2.0</v>
      </c>
      <c r="B808" s="2" t="s">
        <v>2243</v>
      </c>
      <c r="C808" s="2" t="s">
        <v>2244</v>
      </c>
      <c r="D808" s="2" t="s">
        <v>117</v>
      </c>
      <c r="E808" s="2" t="s">
        <v>91</v>
      </c>
      <c r="F808" s="2" t="s">
        <v>15</v>
      </c>
      <c r="G808" s="2" t="s">
        <v>2245</v>
      </c>
      <c r="H808" s="2" t="s">
        <v>1450</v>
      </c>
      <c r="I808" s="3" t="str">
        <f>IFERROR(__xludf.DUMMYFUNCTION("GOOGLETRANSLATE(C808,""fr"",""en"")"),"I underwent a claim following a climate event (recognized as a natural disaster by decree).
The water dripping with a subdivision It is engulfed in my neighbor's garage (adjoining garage), it crossed the stone wall and I had around 40 cms of water at hom"&amp;"e.
The walls being joined with lime and the floor with terracotta stoves, the damage is considerable.
Following this event and a letter that I carried out at my town hall, the municipality has undertaken work, which in my opinion means that it recognize"&amp;"d its responsibility.
The joinery having also worked with humidity, the damage is considerable.
Despite the photos, I have no invoices for material goods.
A large number of stoves are crumbling, lime dislocates,
While I made a slab flow (supported in "&amp;"support) with insulation on an already existing slab, they tell me that the soil is not isolated.
Also say that the walls are not isolated? The goal of lime joined stones is precisely to let the walls breathe ...
Brief, confusion, dishonesty.
Is it fol"&amp;"lowing the advice of Mr. Fillon's company (for an amount of 200,000 euros) that this insurance company established its repayment charter.
It is true that when I see articles like the following, nothing is surprised!
http://www.lemonde.fr/societe/article"&amp;"/2007/03/02/amnesty-international-et-handicap-intentional-boycoper-axa_878072_3224.html
")</f>
        <v>I underwent a claim following a climate event (recognized as a natural disaster by decree).
The water dripping with a subdivision It is engulfed in my neighbor's garage (adjoining garage), it crossed the stone wall and I had around 40 cms of water at home.
The walls being joined with lime and the floor with terracotta stoves, the damage is considerable.
Following this event and a letter that I carried out at my town hall, the municipality has undertaken work, which in my opinion means that it recognized its responsibility.
The joinery having also worked with humidity, the damage is considerable.
Despite the photos, I have no invoices for material goods.
A large number of stoves are crumbling, lime dislocates,
While I made a slab flow (supported in support) with insulation on an already existing slab, they tell me that the soil is not isolated.
Also say that the walls are not isolated? The goal of lime joined stones is precisely to let the walls breathe ...
Brief, confusion, dishonesty.
Is it following the advice of Mr. Fillon's company (for an amount of 200,000 euros) that this insurance company established its repayment charter.
It is true that when I see articles like the following, nothing is surprised!
http://www.lemonde.fr/societe/article/2007/03/02/amnesty-international-et-handicap-intentional-boycoper-axa_878072_3224.html
</v>
      </c>
    </row>
    <row r="809" ht="15.75" customHeight="1">
      <c r="A809" s="2">
        <v>2.0</v>
      </c>
      <c r="B809" s="2" t="s">
        <v>2246</v>
      </c>
      <c r="C809" s="2" t="s">
        <v>2247</v>
      </c>
      <c r="D809" s="2" t="s">
        <v>280</v>
      </c>
      <c r="E809" s="2" t="s">
        <v>91</v>
      </c>
      <c r="F809" s="2" t="s">
        <v>15</v>
      </c>
      <c r="G809" s="2" t="s">
        <v>2248</v>
      </c>
      <c r="H809" s="2" t="s">
        <v>262</v>
      </c>
      <c r="I809" s="3" t="str">
        <f>IFERROR(__xludf.DUMMYFUNCTION("GOOGLETRANSLATE(C809,""fr"",""en"")"),"Very complicated to be compensated despite the passages of the expert more news for several months for several months, however, a request of 3,500 euros by the latter to continue the procedure after I was flooded by the Société des Eaux a third party, how"&amp;"ever easily identifiable...!? My file following a declaration of a claim following the drought of 2016 also seems to have passed by the hatch and the pompom my daughter who backfill to park the car in parking behind her is refused the care of ""repairs"" "&amp;"by the insurer. If I have 3 cars 2 motorcycles and 12 apartments and a villa insured with them it is soon from the past because in September I remove all the contracts.")</f>
        <v>Very complicated to be compensated despite the passages of the expert more news for several months for several months, however, a request of 3,500 euros by the latter to continue the procedure after I was flooded by the Société des Eaux a third party, however easily identifiable...!? My file following a declaration of a claim following the drought of 2016 also seems to have passed by the hatch and the pompom my daughter who backfill to park the car in parking behind her is refused the care of "repairs" by the insurer. If I have 3 cars 2 motorcycles and 12 apartments and a villa insured with them it is soon from the past because in September I remove all the contracts.</v>
      </c>
    </row>
    <row r="810" ht="15.75" customHeight="1">
      <c r="A810" s="2">
        <v>4.0</v>
      </c>
      <c r="B810" s="2" t="s">
        <v>2249</v>
      </c>
      <c r="C810" s="2" t="s">
        <v>2250</v>
      </c>
      <c r="D810" s="2" t="s">
        <v>128</v>
      </c>
      <c r="E810" s="2" t="s">
        <v>97</v>
      </c>
      <c r="F810" s="2" t="s">
        <v>15</v>
      </c>
      <c r="G810" s="2" t="s">
        <v>940</v>
      </c>
      <c r="H810" s="2" t="s">
        <v>72</v>
      </c>
      <c r="I810" s="3" t="str">
        <f>IFERROR(__xludf.DUMMYFUNCTION("GOOGLETRANSLATE(C810,""fr"",""en"")"),"I am very satisfied with the performance of Zen Up which allows me to achieve significant savings. I will recommend Zen Up to my loved ones. Thanks to the whole team !")</f>
        <v>I am very satisfied with the performance of Zen Up which allows me to achieve significant savings. I will recommend Zen Up to my loved ones. Thanks to the whole team !</v>
      </c>
    </row>
    <row r="811" ht="15.75" customHeight="1">
      <c r="A811" s="2">
        <v>3.0</v>
      </c>
      <c r="B811" s="2" t="s">
        <v>2251</v>
      </c>
      <c r="C811" s="2" t="s">
        <v>2252</v>
      </c>
      <c r="D811" s="2" t="s">
        <v>20</v>
      </c>
      <c r="E811" s="2" t="s">
        <v>14</v>
      </c>
      <c r="F811" s="2" t="s">
        <v>15</v>
      </c>
      <c r="G811" s="2" t="s">
        <v>762</v>
      </c>
      <c r="H811" s="2" t="s">
        <v>149</v>
      </c>
      <c r="I811" s="3" t="str">
        <f>IFERROR(__xludf.DUMMYFUNCTION("GOOGLETRANSLATE(C811,""fr"",""en"")"),"I am satisfied with the service. I recommend direct insurance to my friends. I would like to finalize my contract and sign it. Well, cordially. Didier Blocquel")</f>
        <v>I am satisfied with the service. I recommend direct insurance to my friends. I would like to finalize my contract and sign it. Well, cordially. Didier Blocquel</v>
      </c>
    </row>
    <row r="812" ht="15.75" customHeight="1">
      <c r="A812" s="2">
        <v>3.0</v>
      </c>
      <c r="B812" s="2" t="s">
        <v>2253</v>
      </c>
      <c r="C812" s="2" t="s">
        <v>2254</v>
      </c>
      <c r="D812" s="2" t="s">
        <v>147</v>
      </c>
      <c r="E812" s="2" t="s">
        <v>31</v>
      </c>
      <c r="F812" s="2" t="s">
        <v>15</v>
      </c>
      <c r="G812" s="2" t="s">
        <v>2255</v>
      </c>
      <c r="H812" s="2" t="s">
        <v>535</v>
      </c>
      <c r="I812" s="3" t="str">
        <f>IFERROR(__xludf.DUMMYFUNCTION("GOOGLETRANSLATE(C812,""fr"",""en"")"),"In comparison to other insurers, the price is also high, but the services are better reimbursed for example for teeth and glasses, also the waiting days are supported while this is not the case with the MGP. However, the telephone reception and the inform"&amp;"ation given is always excellent.")</f>
        <v>In comparison to other insurers, the price is also high, but the services are better reimbursed for example for teeth and glasses, also the waiting days are supported while this is not the case with the MGP. However, the telephone reception and the information given is always excellent.</v>
      </c>
    </row>
    <row r="813" ht="15.75" customHeight="1">
      <c r="A813" s="2">
        <v>1.0</v>
      </c>
      <c r="B813" s="2" t="s">
        <v>2256</v>
      </c>
      <c r="C813" s="2" t="s">
        <v>2257</v>
      </c>
      <c r="D813" s="2" t="s">
        <v>101</v>
      </c>
      <c r="E813" s="2" t="s">
        <v>31</v>
      </c>
      <c r="F813" s="2" t="s">
        <v>15</v>
      </c>
      <c r="G813" s="2" t="s">
        <v>2258</v>
      </c>
      <c r="H813" s="2" t="s">
        <v>149</v>
      </c>
      <c r="I813" s="3" t="str">
        <f>IFERROR(__xludf.DUMMYFUNCTION("GOOGLETRANSLATE(C813,""fr"",""en"")"),"My stepfather sent you his dental quote by mail dated 26/01/2021, no response.
As of March 5, 2021, you sent the dental quote by email.
What a bad surprise then, we discover that the dental quote has been treated but no attachment.
We are releasing you"&amp;" once the umpteenth time because my stepfather suffers horribly. He must have a complete stellite installed.
Please process his request")</f>
        <v>My stepfather sent you his dental quote by mail dated 26/01/2021, no response.
As of March 5, 2021, you sent the dental quote by email.
What a bad surprise then, we discover that the dental quote has been treated but no attachment.
We are releasing you once the umpteenth time because my stepfather suffers horribly. He must have a complete stellite installed.
Please process his request</v>
      </c>
    </row>
    <row r="814" ht="15.75" customHeight="1">
      <c r="A814" s="2">
        <v>4.0</v>
      </c>
      <c r="B814" s="2" t="s">
        <v>2259</v>
      </c>
      <c r="C814" s="2" t="s">
        <v>2260</v>
      </c>
      <c r="D814" s="2" t="s">
        <v>20</v>
      </c>
      <c r="E814" s="2" t="s">
        <v>14</v>
      </c>
      <c r="F814" s="2" t="s">
        <v>15</v>
      </c>
      <c r="G814" s="2" t="s">
        <v>1058</v>
      </c>
      <c r="H814" s="2" t="s">
        <v>149</v>
      </c>
      <c r="I814" s="3" t="str">
        <f>IFERROR(__xludf.DUMMYFUNCTION("GOOGLETRANSLATE(C814,""fr"",""en"")"),"Satisfied by the price as well as for simplicity, I hope I have no worries with this insurance during a disaster. I expect this insurance to reactivity and good care! Glad to be one of your new customers.")</f>
        <v>Satisfied by the price as well as for simplicity, I hope I have no worries with this insurance during a disaster. I expect this insurance to reactivity and good care! Glad to be one of your new customers.</v>
      </c>
    </row>
    <row r="815" ht="15.75" customHeight="1">
      <c r="A815" s="2">
        <v>4.0</v>
      </c>
      <c r="B815" s="2" t="s">
        <v>2261</v>
      </c>
      <c r="C815" s="2" t="s">
        <v>2262</v>
      </c>
      <c r="D815" s="2" t="s">
        <v>24</v>
      </c>
      <c r="E815" s="2" t="s">
        <v>25</v>
      </c>
      <c r="F815" s="2" t="s">
        <v>15</v>
      </c>
      <c r="G815" s="2" t="s">
        <v>735</v>
      </c>
      <c r="H815" s="2" t="s">
        <v>27</v>
      </c>
      <c r="I815" s="3" t="str">
        <f>IFERROR(__xludf.DUMMYFUNCTION("GOOGLETRANSLATE(C815,""fr"",""en"")"),"I am satisfied with my insurance in general. The prices are interesting, there is good responsiveness in the event of concerns and the advisers are listening to us.")</f>
        <v>I am satisfied with my insurance in general. The prices are interesting, there is good responsiveness in the event of concerns and the advisers are listening to us.</v>
      </c>
    </row>
    <row r="816" ht="15.75" customHeight="1">
      <c r="A816" s="2">
        <v>4.0</v>
      </c>
      <c r="B816" s="2" t="s">
        <v>2263</v>
      </c>
      <c r="C816" s="2" t="s">
        <v>2264</v>
      </c>
      <c r="D816" s="2" t="s">
        <v>13</v>
      </c>
      <c r="E816" s="2" t="s">
        <v>14</v>
      </c>
      <c r="F816" s="2" t="s">
        <v>15</v>
      </c>
      <c r="G816" s="2" t="s">
        <v>959</v>
      </c>
      <c r="H816" s="2" t="s">
        <v>528</v>
      </c>
      <c r="I816" s="3" t="str">
        <f>IFERROR(__xludf.DUMMYFUNCTION("GOOGLETRANSLATE(C816,""fr"",""en"")"),"I just changed insurance the prices are great and we are well accompanied
I can't say anything yet to take care of a claim because it's all recent
")</f>
        <v>I just changed insurance the prices are great and we are well accompanied
I can't say anything yet to take care of a claim because it's all recent
</v>
      </c>
    </row>
    <row r="817" ht="15.75" customHeight="1">
      <c r="A817" s="2">
        <v>2.0</v>
      </c>
      <c r="B817" s="2" t="s">
        <v>2265</v>
      </c>
      <c r="C817" s="2" t="s">
        <v>2266</v>
      </c>
      <c r="D817" s="2" t="s">
        <v>43</v>
      </c>
      <c r="E817" s="2" t="s">
        <v>91</v>
      </c>
      <c r="F817" s="2" t="s">
        <v>15</v>
      </c>
      <c r="G817" s="2" t="s">
        <v>2267</v>
      </c>
      <c r="H817" s="2" t="s">
        <v>103</v>
      </c>
      <c r="I817" s="3" t="str">
        <f>IFERROR(__xludf.DUMMYFUNCTION("GOOGLETRANSLATE(C817,""fr"",""en"")"),"For the past year, I have my wall that broke out following the wall of the neighbor's neighbor who was removed without authorization. The Macif does not keep me posted on anything, I asked the expert's report 4 times, I have never been able to get it. I h"&amp;"ave been a client since 1995, a priori it's the last year. I do not recommend subscribing to this insurer.")</f>
        <v>For the past year, I have my wall that broke out following the wall of the neighbor's neighbor who was removed without authorization. The Macif does not keep me posted on anything, I asked the expert's report 4 times, I have never been able to get it. I have been a client since 1995, a priori it's the last year. I do not recommend subscribing to this insurer.</v>
      </c>
    </row>
    <row r="818" ht="15.75" customHeight="1">
      <c r="A818" s="2">
        <v>4.0</v>
      </c>
      <c r="B818" s="2" t="s">
        <v>2268</v>
      </c>
      <c r="C818" s="2" t="s">
        <v>2269</v>
      </c>
      <c r="D818" s="2" t="s">
        <v>20</v>
      </c>
      <c r="E818" s="2" t="s">
        <v>14</v>
      </c>
      <c r="F818" s="2" t="s">
        <v>15</v>
      </c>
      <c r="G818" s="2" t="s">
        <v>558</v>
      </c>
      <c r="H818" s="2" t="s">
        <v>133</v>
      </c>
      <c r="I818" s="3" t="str">
        <f>IFERROR(__xludf.DUMMYFUNCTION("GOOGLETRANSLATE(C818,""fr"",""en"")"),"Hello
I am satisfied with the service., fast and practical
I will advise my friends
I hope if there are problems you can solve it quickly because some friends say that the deadlines to intervene at home are longer
Cordially")</f>
        <v>Hello
I am satisfied with the service., fast and practical
I will advise my friends
I hope if there are problems you can solve it quickly because some friends say that the deadlines to intervene at home are longer
Cordially</v>
      </c>
    </row>
    <row r="819" ht="15.75" customHeight="1">
      <c r="A819" s="2">
        <v>3.0</v>
      </c>
      <c r="B819" s="2" t="s">
        <v>2270</v>
      </c>
      <c r="C819" s="2" t="s">
        <v>2271</v>
      </c>
      <c r="D819" s="2" t="s">
        <v>43</v>
      </c>
      <c r="E819" s="2" t="s">
        <v>14</v>
      </c>
      <c r="F819" s="2" t="s">
        <v>15</v>
      </c>
      <c r="G819" s="2" t="s">
        <v>2272</v>
      </c>
      <c r="H819" s="2" t="s">
        <v>218</v>
      </c>
      <c r="I819" s="3" t="str">
        <f>IFERROR(__xludf.DUMMYFUNCTION("GOOGLETRANSLATE(C819,""fr"",""en"")"),"On June 16, 2020, let's try to obtain an insurance certificate. Waiting for several minutes to at the end to announce that everyone is busy and that no one can answer us.
We leave a message to request this certificate. Call of the Macif which hangs up fr"&amp;"om the first ring. Waiting for a new call.
Finally after several calls we manage to obtain an advisor who sends the document to us in a few minutes.
In 2018 Question on vehicle flight insurance without trace of break -ins (Mouse Jacking): answer by an a"&amp;"dvisor ""We are changing contracts""
On June 6, 2020 after finding that the contract was not modified, but in addition aggravated on this subject, written question on internal messaging.
And in a second message requires adding a secondary driver.
No an"&amp;"swer and call on the laptop hung up after a ringtone. New question on July 1, no answer.
A request for a quote on July 7, the Macif calls and hangs up with the first ringing and then sends an SMS asking to call or go to an agency for an info supplement. "&amp;"We leave a message by explaining the phenomenon and asking to recall by leaving. Radio silence.
Insurance is in the name of my partner who is very understanding, but that does not serve the Macif, because the request for quotes that the Macif does not se"&amp;"ek to honor will be followed by one contract to another insurance and I will make requests for quotes for my vehicle, that of my son and my homes etc.
Too bad, my mutualist mind takes a hit!
")</f>
        <v>On June 16, 2020, let's try to obtain an insurance certificate. Waiting for several minutes to at the end to announce that everyone is busy and that no one can answer us.
We leave a message to request this certificate. Call of the Macif which hangs up from the first ring. Waiting for a new call.
Finally after several calls we manage to obtain an advisor who sends the document to us in a few minutes.
In 2018 Question on vehicle flight insurance without trace of break -ins (Mouse Jacking): answer by an advisor "We are changing contracts"
On June 6, 2020 after finding that the contract was not modified, but in addition aggravated on this subject, written question on internal messaging.
And in a second message requires adding a secondary driver.
No answer and call on the laptop hung up after a ringtone. New question on July 1, no answer.
A request for a quote on July 7, the Macif calls and hangs up with the first ringing and then sends an SMS asking to call or go to an agency for an info supplement. We leave a message by explaining the phenomenon and asking to recall by leaving. Radio silence.
Insurance is in the name of my partner who is very understanding, but that does not serve the Macif, because the request for quotes that the Macif does not seek to honor will be followed by one contract to another insurance and I will make requests for quotes for my vehicle, that of my son and my homes etc.
Too bad, my mutualist mind takes a hit!
</v>
      </c>
    </row>
    <row r="820" ht="15.75" customHeight="1">
      <c r="A820" s="2">
        <v>5.0</v>
      </c>
      <c r="B820" s="2" t="s">
        <v>2273</v>
      </c>
      <c r="C820" s="2" t="s">
        <v>2274</v>
      </c>
      <c r="D820" s="2" t="s">
        <v>13</v>
      </c>
      <c r="E820" s="2" t="s">
        <v>14</v>
      </c>
      <c r="F820" s="2" t="s">
        <v>15</v>
      </c>
      <c r="G820" s="2" t="s">
        <v>2275</v>
      </c>
      <c r="H820" s="2" t="s">
        <v>968</v>
      </c>
      <c r="I820" s="3" t="str">
        <f>IFERROR(__xludf.DUMMYFUNCTION("GOOGLETRANSLATE(C820,""fr"",""en"")"),"Insurance very accessible in terms of price and offer. The advisers are very competent, attentive and friendly.")</f>
        <v>Insurance very accessible in terms of price and offer. The advisers are very competent, attentive and friendly.</v>
      </c>
    </row>
    <row r="821" ht="15.75" customHeight="1">
      <c r="A821" s="2">
        <v>1.0</v>
      </c>
      <c r="B821" s="2" t="s">
        <v>2276</v>
      </c>
      <c r="C821" s="2" t="s">
        <v>2277</v>
      </c>
      <c r="D821" s="2" t="s">
        <v>513</v>
      </c>
      <c r="E821" s="2" t="s">
        <v>91</v>
      </c>
      <c r="F821" s="2" t="s">
        <v>15</v>
      </c>
      <c r="G821" s="2" t="s">
        <v>1515</v>
      </c>
      <c r="H821" s="2" t="s">
        <v>354</v>
      </c>
      <c r="I821" s="3" t="str">
        <f>IFERROR(__xludf.DUMMYFUNCTION("GOOGLETRANSLATE(C821,""fr"",""en"")"),"Read this comment well and run away this ""insurer"" now !!!
Water damage not taken care of after 5 months or it is necessary to permanently do follow -up.
""I was going to contact you"", that's what you are told every 3 weeks when you call.
Obviously,"&amp;" you are announced by mail that nothing will be taken care of while you live in a disaster place recognized by the Regional Health Agency ...
Their ""expert"" from Cunningham and Lindsey should make comic films ... at the tragic outcome.
What incompeten"&amp;"ce, lack of professionalism and disrespectful attitude !!!
Do not go to Pacifica even if it's free !!! And if you are there, advice: run away !!!")</f>
        <v>Read this comment well and run away this "insurer" now !!!
Water damage not taken care of after 5 months or it is necessary to permanently do follow -up.
"I was going to contact you", that's what you are told every 3 weeks when you call.
Obviously, you are announced by mail that nothing will be taken care of while you live in a disaster place recognized by the Regional Health Agency ...
Their "expert" from Cunningham and Lindsey should make comic films ... at the tragic outcome.
What incompetence, lack of professionalism and disrespectful attitude !!!
Do not go to Pacifica even if it's free !!! And if you are there, advice: run away !!!</v>
      </c>
    </row>
    <row r="822" ht="15.75" customHeight="1">
      <c r="A822" s="2">
        <v>1.0</v>
      </c>
      <c r="B822" s="2" t="s">
        <v>2278</v>
      </c>
      <c r="C822" s="2" t="s">
        <v>2279</v>
      </c>
      <c r="D822" s="2" t="s">
        <v>117</v>
      </c>
      <c r="E822" s="2" t="s">
        <v>91</v>
      </c>
      <c r="F822" s="2" t="s">
        <v>15</v>
      </c>
      <c r="G822" s="2" t="s">
        <v>2280</v>
      </c>
      <c r="H822" s="2" t="s">
        <v>358</v>
      </c>
      <c r="I822" s="3" t="str">
        <f>IFERROR(__xludf.DUMMYFUNCTION("GOOGLETRANSLATE(C822,""fr"",""en"")"),"We bought an old house to renovate entirely. A corner of the wall of our house collapsed + low walls following the bad weather of the start of the year (after a few days of abundant rain that hung on the wall directly ...). No care, reason: no/bad mainten"&amp;"ance. We had already advanced well in the work, the slab was sunk, and the roof/frame redone, and the joinery would arrive the next day !! The wall had no danger at that time! 1. The craftsmen would never have taken the risk of remaking the roof if the wa"&amp;"ll was not healthy, it would be too dangerous. 2. We would not have taken the risk of losing so much money in the work if the wall threatened to collapse! And in addition to all that, no one was able to give us an answer for this file, we have received no"&amp;" mail or email of refusal ... Nothing! And when we called our AXA agency some time after the expert's visit, oddly everyone refers the ball. The expert tells you that it is up to you to inform you of the (or not) dossier, AXA's care, tells you that it is "&amp;"the expert ... in short, to date we still have no Report or other concerning our file, we do not even know where it is! So since we have put all our insurance contracts at AXA, or approximately a 10 -contract (housing, truck, cars, motorcycles, tractor, m"&amp;"obile home, death insurance, accident insurance ...) and that we have been Very disappointed with this experience, we are looking for a new serious insurance company to use all our contracts.")</f>
        <v>We bought an old house to renovate entirely. A corner of the wall of our house collapsed + low walls following the bad weather of the start of the year (after a few days of abundant rain that hung on the wall directly ...). No care, reason: no/bad maintenance. We had already advanced well in the work, the slab was sunk, and the roof/frame redone, and the joinery would arrive the next day !! The wall had no danger at that time! 1. The craftsmen would never have taken the risk of remaking the roof if the wall was not healthy, it would be too dangerous. 2. We would not have taken the risk of losing so much money in the work if the wall threatened to collapse! And in addition to all that, no one was able to give us an answer for this file, we have received no mail or email of refusal ... Nothing! And when we called our AXA agency some time after the expert's visit, oddly everyone refers the ball. The expert tells you that it is up to you to inform you of the (or not) dossier, AXA's care, tells you that it is the expert ... in short, to date we still have no Report or other concerning our file, we do not even know where it is! So since we have put all our insurance contracts at AXA, or approximately a 10 -contract (housing, truck, cars, motorcycles, tractor, mobile home, death insurance, accident insurance ...) and that we have been Very disappointed with this experience, we are looking for a new serious insurance company to use all our contracts.</v>
      </c>
    </row>
    <row r="823" ht="15.75" customHeight="1">
      <c r="A823" s="2">
        <v>2.0</v>
      </c>
      <c r="B823" s="2" t="s">
        <v>2281</v>
      </c>
      <c r="C823" s="2" t="s">
        <v>2282</v>
      </c>
      <c r="D823" s="2" t="s">
        <v>185</v>
      </c>
      <c r="E823" s="2" t="s">
        <v>97</v>
      </c>
      <c r="F823" s="2" t="s">
        <v>15</v>
      </c>
      <c r="G823" s="2" t="s">
        <v>2283</v>
      </c>
      <c r="H823" s="2" t="s">
        <v>458</v>
      </c>
      <c r="I823" s="3" t="str">
        <f>IFERROR(__xludf.DUMMYFUNCTION("GOOGLETRANSLATE(C823,""fr"",""en"")"),"I have been a customer for 15 years, without incident of the course.
After the early payment of my bank loan, I come up against a wall to put an end to the deduction of insurance despite the banking documents attesting to the end of the loan, it is a sha"&amp;"me on how to do with their customers!")</f>
        <v>I have been a customer for 15 years, without incident of the course.
After the early payment of my bank loan, I come up against a wall to put an end to the deduction of insurance despite the banking documents attesting to the end of the loan, it is a shame on how to do with their customers!</v>
      </c>
    </row>
    <row r="824" ht="15.75" customHeight="1">
      <c r="A824" s="2">
        <v>5.0</v>
      </c>
      <c r="B824" s="2" t="s">
        <v>2284</v>
      </c>
      <c r="C824" s="2" t="s">
        <v>2285</v>
      </c>
      <c r="D824" s="2" t="s">
        <v>80</v>
      </c>
      <c r="E824" s="2" t="s">
        <v>25</v>
      </c>
      <c r="F824" s="2" t="s">
        <v>15</v>
      </c>
      <c r="G824" s="2" t="s">
        <v>16</v>
      </c>
      <c r="H824" s="2" t="s">
        <v>17</v>
      </c>
      <c r="I824" s="3" t="str">
        <f>IFERROR(__xludf.DUMMYFUNCTION("GOOGLETRANSLATE(C824,""fr"",""en"")"),"Fast, simple and efficient! The prices are very competitive and à la carte. We are free to add options such as driver protection, mechanical breakage, breakdown, etc ... and at nice prices! This is my first experience at April Moto ... To follow!")</f>
        <v>Fast, simple and efficient! The prices are very competitive and à la carte. We are free to add options such as driver protection, mechanical breakage, breakdown, etc ... and at nice prices! This is my first experience at April Moto ... To follow!</v>
      </c>
    </row>
    <row r="825" ht="15.75" customHeight="1">
      <c r="A825" s="2">
        <v>4.0</v>
      </c>
      <c r="B825" s="2" t="s">
        <v>2286</v>
      </c>
      <c r="C825" s="2" t="s">
        <v>2287</v>
      </c>
      <c r="D825" s="2" t="s">
        <v>147</v>
      </c>
      <c r="E825" s="2" t="s">
        <v>31</v>
      </c>
      <c r="F825" s="2" t="s">
        <v>15</v>
      </c>
      <c r="G825" s="2" t="s">
        <v>681</v>
      </c>
      <c r="H825" s="2" t="s">
        <v>535</v>
      </c>
      <c r="I825" s="3" t="str">
        <f>IFERROR(__xludf.DUMMYFUNCTION("GOOGLETRANSLATE(C825,""fr"",""en"")"),"I have read a lot of comments and I realize that my feelings are a bit the same as a lot of members. The monthly subscription is a little expensive but compared to that of my wife who is younger than me and who does not have exactly the same blanket I thi"&amp;"nk that the MGP is in the high quality/price for range. The management of this organization seems serious to me and I have never had a particular care problem. I have always had advice enlightened by competent and welcoming staff. A little waiting sometim"&amp;"es but I do not remember waiting for very long and having been forced to recall. Admittedly the reimbursements of certain services and drugs are not or more at 100% but the comparisons with other mutuals can be misleading. I remain overall quite satisfied"&amp;" with my choice.")</f>
        <v>I have read a lot of comments and I realize that my feelings are a bit the same as a lot of members. The monthly subscription is a little expensive but compared to that of my wife who is younger than me and who does not have exactly the same blanket I think that the MGP is in the high quality/price for range. The management of this organization seems serious to me and I have never had a particular care problem. I have always had advice enlightened by competent and welcoming staff. A little waiting sometimes but I do not remember waiting for very long and having been forced to recall. Admittedly the reimbursements of certain services and drugs are not or more at 100% but the comparisons with other mutuals can be misleading. I remain overall quite satisfied with my choice.</v>
      </c>
    </row>
    <row r="826" ht="15.75" customHeight="1">
      <c r="A826" s="2">
        <v>1.0</v>
      </c>
      <c r="B826" s="2" t="s">
        <v>1923</v>
      </c>
      <c r="C826" s="2" t="s">
        <v>2288</v>
      </c>
      <c r="D826" s="2" t="s">
        <v>159</v>
      </c>
      <c r="E826" s="2" t="s">
        <v>91</v>
      </c>
      <c r="F826" s="2" t="s">
        <v>15</v>
      </c>
      <c r="G826" s="2" t="s">
        <v>2289</v>
      </c>
      <c r="H826" s="2" t="s">
        <v>458</v>
      </c>
      <c r="I826" s="3" t="str">
        <f>IFERROR(__xludf.DUMMYFUNCTION("GOOGLETRANSLATE(C826,""fr"",""en"")"),"Allianz Insurance Attention if you expect nothing other than a company of a great incompetence
 Welcome to Allianz the number 1 of L has almost the insurance
It does not happen to others")</f>
        <v>Allianz Insurance Attention if you expect nothing other than a company of a great incompetence
 Welcome to Allianz the number 1 of L has almost the insurance
It does not happen to others</v>
      </c>
    </row>
    <row r="827" ht="15.75" customHeight="1">
      <c r="A827" s="2">
        <v>2.0</v>
      </c>
      <c r="B827" s="2" t="s">
        <v>2290</v>
      </c>
      <c r="C827" s="2" t="s">
        <v>2291</v>
      </c>
      <c r="D827" s="2" t="s">
        <v>43</v>
      </c>
      <c r="E827" s="2" t="s">
        <v>91</v>
      </c>
      <c r="F827" s="2" t="s">
        <v>15</v>
      </c>
      <c r="G827" s="2" t="s">
        <v>732</v>
      </c>
      <c r="H827" s="2" t="s">
        <v>140</v>
      </c>
      <c r="I827" s="3" t="str">
        <f>IFERROR(__xludf.DUMMYFUNCTION("GOOGLETRANSLATE(C827,""fr"",""en"")"),"A shame, water damage of 2015 always unresolved. We are made to do a whole bunch of intervention because supposedly the leak was not repaired and now that they are proven on a silver set that there is no longer a leak they refuse to intervene !! It's inhu"&amp;"man to treat your members in this way!")</f>
        <v>A shame, water damage of 2015 always unresolved. We are made to do a whole bunch of intervention because supposedly the leak was not repaired and now that they are proven on a silver set that there is no longer a leak they refuse to intervene !! It's inhuman to treat your members in this way!</v>
      </c>
    </row>
    <row r="828" ht="15.75" customHeight="1">
      <c r="A828" s="2">
        <v>5.0</v>
      </c>
      <c r="B828" s="2" t="s">
        <v>2292</v>
      </c>
      <c r="C828" s="2" t="s">
        <v>2293</v>
      </c>
      <c r="D828" s="2" t="s">
        <v>80</v>
      </c>
      <c r="E828" s="2" t="s">
        <v>25</v>
      </c>
      <c r="F828" s="2" t="s">
        <v>15</v>
      </c>
      <c r="G828" s="2" t="s">
        <v>2294</v>
      </c>
      <c r="H828" s="2" t="s">
        <v>125</v>
      </c>
      <c r="I828" s="3" t="str">
        <f>IFERROR(__xludf.DUMMYFUNCTION("GOOGLETRANSLATE(C828,""fr"",""en"")"),"OK for me, we will see later how it will go May for the moment all is good in terms of guarantee and monthly price, remains to be seen in the year")</f>
        <v>OK for me, we will see later how it will go May for the moment all is good in terms of guarantee and monthly price, remains to be seen in the year</v>
      </c>
    </row>
    <row r="829" ht="15.75" customHeight="1">
      <c r="A829" s="2">
        <v>2.0</v>
      </c>
      <c r="B829" s="2" t="s">
        <v>2295</v>
      </c>
      <c r="C829" s="2" t="s">
        <v>2296</v>
      </c>
      <c r="D829" s="2" t="s">
        <v>147</v>
      </c>
      <c r="E829" s="2" t="s">
        <v>31</v>
      </c>
      <c r="F829" s="2" t="s">
        <v>15</v>
      </c>
      <c r="G829" s="2" t="s">
        <v>2297</v>
      </c>
      <c r="H829" s="2" t="s">
        <v>255</v>
      </c>
      <c r="I829" s="3" t="str">
        <f>IFERROR(__xludf.DUMMYFUNCTION("GOOGLETRANSLATE(C829,""fr"",""en"")"),"An increasingly elevated mutual insurance person despite the number of years of presence, since 1968, it does not make any particularity for couples if we want to have the peculiarity as the death capital must be taken each their mutual. For our retiremen"&amp;"t we pay for two € 320 of mutual insurance per month for reimbursements which are not excellent.")</f>
        <v>An increasingly elevated mutual insurance person despite the number of years of presence, since 1968, it does not make any particularity for couples if we want to have the peculiarity as the death capital must be taken each their mutual. For our retirement we pay for two € 320 of mutual insurance per month for reimbursements which are not excellent.</v>
      </c>
    </row>
    <row r="830" ht="15.75" customHeight="1">
      <c r="A830" s="2">
        <v>3.0</v>
      </c>
      <c r="B830" s="2" t="s">
        <v>2298</v>
      </c>
      <c r="C830" s="2" t="s">
        <v>2299</v>
      </c>
      <c r="D830" s="2" t="s">
        <v>20</v>
      </c>
      <c r="E830" s="2" t="s">
        <v>14</v>
      </c>
      <c r="F830" s="2" t="s">
        <v>15</v>
      </c>
      <c r="G830" s="2" t="s">
        <v>240</v>
      </c>
      <c r="H830" s="2" t="s">
        <v>149</v>
      </c>
      <c r="I830" s="3" t="str">
        <f>IFERROR(__xludf.DUMMYFUNCTION("GOOGLETRANSLATE(C830,""fr"",""en"")"),"I am satisfied with the service rendered
I would like the price to be even lower due to the health crisis. The service is fast, the calls are quickly replied")</f>
        <v>I am satisfied with the service rendered
I would like the price to be even lower due to the health crisis. The service is fast, the calls are quickly replied</v>
      </c>
    </row>
    <row r="831" ht="15.75" customHeight="1">
      <c r="A831" s="2">
        <v>2.0</v>
      </c>
      <c r="B831" s="2" t="s">
        <v>2300</v>
      </c>
      <c r="C831" s="2" t="s">
        <v>2301</v>
      </c>
      <c r="D831" s="2" t="s">
        <v>20</v>
      </c>
      <c r="E831" s="2" t="s">
        <v>14</v>
      </c>
      <c r="F831" s="2" t="s">
        <v>15</v>
      </c>
      <c r="G831" s="2" t="s">
        <v>486</v>
      </c>
      <c r="H831" s="2" t="s">
        <v>313</v>
      </c>
      <c r="I831" s="3" t="str">
        <f>IFERROR(__xludf.DUMMYFUNCTION("GOOGLETRANSLATE(C831,""fr"",""en"")"),"Hello, Direct Insurance becomes very expensive.
In addition to having a report of information, you have to waste are time on the phone (obviously office schedule), because it is impossible to download.")</f>
        <v>Hello, Direct Insurance becomes very expensive.
In addition to having a report of information, you have to waste are time on the phone (obviously office schedule), because it is impossible to download.</v>
      </c>
    </row>
    <row r="832" ht="15.75" customHeight="1">
      <c r="A832" s="2">
        <v>1.0</v>
      </c>
      <c r="B832" s="2" t="s">
        <v>2302</v>
      </c>
      <c r="C832" s="2" t="s">
        <v>2303</v>
      </c>
      <c r="D832" s="2" t="s">
        <v>106</v>
      </c>
      <c r="E832" s="2" t="s">
        <v>107</v>
      </c>
      <c r="F832" s="2" t="s">
        <v>15</v>
      </c>
      <c r="G832" s="2" t="s">
        <v>2304</v>
      </c>
      <c r="H832" s="2" t="s">
        <v>103</v>
      </c>
      <c r="I832" s="3" t="str">
        <f>IFERROR(__xludf.DUMMYFUNCTION("GOOGLETRANSLATE(C832,""fr"",""en"")"),"I am an temporary worker and I have called several times for my sickness / maternity stops since July 24, still nothing. Beautifully addressed my documents by emails I am claimed the same thing each time the last person I had in Telephone this day October"&amp;" 30, 2018 was unpleasant and not competent. I have been going in circles from the start. It was better when it was Reunica Bayard!")</f>
        <v>I am an temporary worker and I have called several times for my sickness / maternity stops since July 24, still nothing. Beautifully addressed my documents by emails I am claimed the same thing each time the last person I had in Telephone this day October 30, 2018 was unpleasant and not competent. I have been going in circles from the start. It was better when it was Reunica Bayard!</v>
      </c>
    </row>
    <row r="833" ht="15.75" customHeight="1">
      <c r="A833" s="2">
        <v>1.0</v>
      </c>
      <c r="B833" s="2" t="s">
        <v>2305</v>
      </c>
      <c r="C833" s="2" t="s">
        <v>2306</v>
      </c>
      <c r="D833" s="2" t="s">
        <v>90</v>
      </c>
      <c r="E833" s="2" t="s">
        <v>91</v>
      </c>
      <c r="F833" s="2" t="s">
        <v>15</v>
      </c>
      <c r="G833" s="2" t="s">
        <v>2307</v>
      </c>
      <c r="H833" s="2" t="s">
        <v>313</v>
      </c>
      <c r="I833" s="3" t="str">
        <f>IFERROR(__xludf.DUMMYFUNCTION("GOOGLETRANSLATE(C833,""fr"",""en"")"),"Client since 2015 I give more than 900 euros per year never in unpaid people ever declared claims. A glitch? They are not there no care it plays on the words")</f>
        <v>Client since 2015 I give more than 900 euros per year never in unpaid people ever declared claims. A glitch? They are not there no care it plays on the words</v>
      </c>
    </row>
    <row r="834" ht="15.75" customHeight="1">
      <c r="A834" s="2">
        <v>5.0</v>
      </c>
      <c r="B834" s="2" t="s">
        <v>2308</v>
      </c>
      <c r="C834" s="2" t="s">
        <v>2309</v>
      </c>
      <c r="D834" s="2" t="s">
        <v>13</v>
      </c>
      <c r="E834" s="2" t="s">
        <v>14</v>
      </c>
      <c r="F834" s="2" t="s">
        <v>15</v>
      </c>
      <c r="G834" s="2" t="s">
        <v>186</v>
      </c>
      <c r="H834" s="2" t="s">
        <v>187</v>
      </c>
      <c r="I834" s="3" t="str">
        <f>IFERROR(__xludf.DUMMYFUNCTION("GOOGLETRANSLATE(C834,""fr"",""en"")"),"After seeking insurance for young drivers, the olive assurance, offers a clear and precise contract. The site made it possible to easily find my contractual necessities.")</f>
        <v>After seeking insurance for young drivers, the olive assurance, offers a clear and precise contract. The site made it possible to easily find my contractual necessities.</v>
      </c>
    </row>
    <row r="835" ht="15.75" customHeight="1">
      <c r="A835" s="2">
        <v>5.0</v>
      </c>
      <c r="B835" s="2" t="s">
        <v>2310</v>
      </c>
      <c r="C835" s="2" t="s">
        <v>2311</v>
      </c>
      <c r="D835" s="2" t="s">
        <v>43</v>
      </c>
      <c r="E835" s="2" t="s">
        <v>14</v>
      </c>
      <c r="F835" s="2" t="s">
        <v>15</v>
      </c>
      <c r="G835" s="2" t="s">
        <v>2312</v>
      </c>
      <c r="H835" s="2" t="s">
        <v>103</v>
      </c>
      <c r="I835" s="3" t="str">
        <f>IFERROR(__xludf.DUMMYFUNCTION("GOOGLETRANSLATE(C835,""fr"",""en"")"),"Listening insurance, 20 years of loyalty and I do not regret.")</f>
        <v>Listening insurance, 20 years of loyalty and I do not regret.</v>
      </c>
    </row>
    <row r="836" ht="15.75" customHeight="1">
      <c r="A836" s="2">
        <v>4.0</v>
      </c>
      <c r="B836" s="2" t="s">
        <v>2313</v>
      </c>
      <c r="C836" s="2" t="s">
        <v>2314</v>
      </c>
      <c r="D836" s="2" t="s">
        <v>13</v>
      </c>
      <c r="E836" s="2" t="s">
        <v>14</v>
      </c>
      <c r="F836" s="2" t="s">
        <v>15</v>
      </c>
      <c r="G836" s="2" t="s">
        <v>2315</v>
      </c>
      <c r="H836" s="2" t="s">
        <v>58</v>
      </c>
      <c r="I836" s="3" t="str">
        <f>IFERROR(__xludf.DUMMYFUNCTION("GOOGLETRANSLATE(C836,""fr"",""en"")"),"Simple, practical and fast for subscription as well as inexpensive. One of the cheapest I could find. I would see in the long run if the satisfaction will always be present but in all cases at the moment, it's perfect")</f>
        <v>Simple, practical and fast for subscription as well as inexpensive. One of the cheapest I could find. I would see in the long run if the satisfaction will always be present but in all cases at the moment, it's perfect</v>
      </c>
    </row>
    <row r="837" ht="15.75" customHeight="1">
      <c r="A837" s="2">
        <v>3.0</v>
      </c>
      <c r="B837" s="2" t="s">
        <v>2316</v>
      </c>
      <c r="C837" s="2" t="s">
        <v>2317</v>
      </c>
      <c r="D837" s="2" t="s">
        <v>13</v>
      </c>
      <c r="E837" s="2" t="s">
        <v>14</v>
      </c>
      <c r="F837" s="2" t="s">
        <v>15</v>
      </c>
      <c r="G837" s="2" t="s">
        <v>1171</v>
      </c>
      <c r="H837" s="2" t="s">
        <v>17</v>
      </c>
      <c r="I837" s="3" t="str">
        <f>IFERROR(__xludf.DUMMYFUNCTION("GOOGLETRANSLATE(C837,""fr"",""en"")"),"I am satisfied with the relationship between customers and the listening of more staff with attractive prices. Recommended to those who need good insurance.")</f>
        <v>I am satisfied with the relationship between customers and the listening of more staff with attractive prices. Recommended to those who need good insurance.</v>
      </c>
    </row>
    <row r="838" ht="15.75" customHeight="1">
      <c r="A838" s="2">
        <v>1.0</v>
      </c>
      <c r="B838" s="2" t="s">
        <v>2318</v>
      </c>
      <c r="C838" s="2" t="s">
        <v>2319</v>
      </c>
      <c r="D838" s="2" t="s">
        <v>20</v>
      </c>
      <c r="E838" s="2" t="s">
        <v>14</v>
      </c>
      <c r="F838" s="2" t="s">
        <v>15</v>
      </c>
      <c r="G838" s="2" t="s">
        <v>2320</v>
      </c>
      <c r="H838" s="2" t="s">
        <v>27</v>
      </c>
      <c r="I838" s="3" t="str">
        <f>IFERROR(__xludf.DUMMYFUNCTION("GOOGLETRANSLATE(C838,""fr"",""en"")"),"They received my observation in 3 days (receipt notice) but never dealt with it when I sent it less than 2 hours after the accident.
I did everything to try to reach them. Impossible without a claim number transmitted by direct insurance ""after receipt "&amp;"and treatment of the claim"".
By phone it is only for claims in real time and for current claims files with loss tracking number. So not for me.
By email the same thing, for claims with follow -up number and the complaint service does not treat claims a"&amp;"nd never answered me. So I had no contact.
After 2 weeks I receive a call on my answering machine and an email who tells me that I am responsible (when they have never read my back -paced observation) and I am asked to send them by email my back -paced"&amp;" observation . I am then on 100% that they have never read what I sent and that they made their decision with the front only, sent by the insurance of the opposing party.
I complain to my interlocutor by email (primary school level for spelling mistakes."&amp;" But unlike me, communication is not my job) and it makes me understand without admitting it that my observation did not Never been processed and that the information on the front of the opposing party is enough. They fully trust other insurance and don't"&amp;" care about their insured and especially their versions.
After 3 years with them I will change insurance (for less) because unlike their advertisements on TV, there are not always interlocutors or respect for their customers.
If you want to go to them"&amp;", don't waste time filling out the observations, it is useless at home. Complaints are also useless.")</f>
        <v>They received my observation in 3 days (receipt notice) but never dealt with it when I sent it less than 2 hours after the accident.
I did everything to try to reach them. Impossible without a claim number transmitted by direct insurance "after receipt and treatment of the claim".
By phone it is only for claims in real time and for current claims files with loss tracking number. So not for me.
By email the same thing, for claims with follow -up number and the complaint service does not treat claims and never answered me. So I had no contact.
After 2 weeks I receive a call on my answering machine and an email who tells me that I am responsible (when they have never read my back -paced observation) and I am asked to send them by email my back -paced observation . I am then on 100% that they have never read what I sent and that they made their decision with the front only, sent by the insurance of the opposing party.
I complain to my interlocutor by email (primary school level for spelling mistakes. But unlike me, communication is not my job) and it makes me understand without admitting it that my observation did not Never been processed and that the information on the front of the opposing party is enough. They fully trust other insurance and don't care about their insured and especially their versions.
After 3 years with them I will change insurance (for less) because unlike their advertisements on TV, there are not always interlocutors or respect for their customers.
If you want to go to them, don't waste time filling out the observations, it is useless at home. Complaints are also useless.</v>
      </c>
    </row>
    <row r="839" ht="15.75" customHeight="1">
      <c r="A839" s="2">
        <v>5.0</v>
      </c>
      <c r="B839" s="2" t="s">
        <v>2321</v>
      </c>
      <c r="C839" s="2" t="s">
        <v>2322</v>
      </c>
      <c r="D839" s="2" t="s">
        <v>20</v>
      </c>
      <c r="E839" s="2" t="s">
        <v>14</v>
      </c>
      <c r="F839" s="2" t="s">
        <v>15</v>
      </c>
      <c r="G839" s="2" t="s">
        <v>2323</v>
      </c>
      <c r="H839" s="2" t="s">
        <v>27</v>
      </c>
      <c r="I839" s="3" t="str">
        <f>IFERROR(__xludf.DUMMYFUNCTION("GOOGLETRANSLATE(C839,""fr"",""en"")"),"I am satisfied with the service the price of ease and guarantees. I wish to ensure all my property at Direct Insurance Thank you in advance")</f>
        <v>I am satisfied with the service the price of ease and guarantees. I wish to ensure all my property at Direct Insurance Thank you in advance</v>
      </c>
    </row>
    <row r="840" ht="15.75" customHeight="1">
      <c r="A840" s="2">
        <v>4.0</v>
      </c>
      <c r="B840" s="2" t="s">
        <v>2324</v>
      </c>
      <c r="C840" s="2" t="s">
        <v>2325</v>
      </c>
      <c r="D840" s="2" t="s">
        <v>20</v>
      </c>
      <c r="E840" s="2" t="s">
        <v>14</v>
      </c>
      <c r="F840" s="2" t="s">
        <v>15</v>
      </c>
      <c r="G840" s="2" t="s">
        <v>2326</v>
      </c>
      <c r="H840" s="2" t="s">
        <v>218</v>
      </c>
      <c r="I840" s="3" t="str">
        <f>IFERROR(__xludf.DUMMYFUNCTION("GOOGLETRANSLATE(C840,""fr"",""en"")"),"The price for an insurance all risk is correct, the services offered also and then I am already a customer for home insurance with you so also linked to my account my future auto contract")</f>
        <v>The price for an insurance all risk is correct, the services offered also and then I am already a customer for home insurance with you so also linked to my account my future auto contract</v>
      </c>
    </row>
    <row r="841" ht="15.75" customHeight="1">
      <c r="A841" s="2">
        <v>4.0</v>
      </c>
      <c r="B841" s="2" t="s">
        <v>2327</v>
      </c>
      <c r="C841" s="2" t="s">
        <v>2328</v>
      </c>
      <c r="D841" s="2" t="s">
        <v>190</v>
      </c>
      <c r="E841" s="2" t="s">
        <v>31</v>
      </c>
      <c r="F841" s="2" t="s">
        <v>15</v>
      </c>
      <c r="G841" s="2" t="s">
        <v>2329</v>
      </c>
      <c r="H841" s="2" t="s">
        <v>58</v>
      </c>
      <c r="I841" s="3" t="str">
        <f>IFERROR(__xludf.DUMMYFUNCTION("GOOGLETRANSLATE(C841,""fr"",""en"")"),"Very nice welcome from Mariama who met my expectations briefly and very clearly. The confirmation of my registration reached me within 10 minutes that followed.")</f>
        <v>Very nice welcome from Mariama who met my expectations briefly and very clearly. The confirmation of my registration reached me within 10 minutes that followed.</v>
      </c>
    </row>
    <row r="842" ht="15.75" customHeight="1">
      <c r="A842" s="2">
        <v>1.0</v>
      </c>
      <c r="B842" s="2" t="s">
        <v>2330</v>
      </c>
      <c r="C842" s="2" t="s">
        <v>2331</v>
      </c>
      <c r="D842" s="2" t="s">
        <v>106</v>
      </c>
      <c r="E842" s="2" t="s">
        <v>107</v>
      </c>
      <c r="F842" s="2" t="s">
        <v>15</v>
      </c>
      <c r="G842" s="2" t="s">
        <v>2332</v>
      </c>
      <c r="H842" s="2" t="s">
        <v>164</v>
      </c>
      <c r="I842" s="3" t="str">
        <f>IFERROR(__xludf.DUMMYFUNCTION("GOOGLETRANSLATE(C842,""fr"",""en"")"),"My parents subscribed to dependence insurance in 1998, that is to say more than 20 years of contributions. My father died a grabatory in 2017 without receiving anything. My mother whom I took with me and aged 96 today does not touch anything because not s"&amp;"ufficiently dependent according to their criteria, although she is unable to assume her daily life physically and intellectually. 3rd expertise in progress.")</f>
        <v>My parents subscribed to dependence insurance in 1998, that is to say more than 20 years of contributions. My father died a grabatory in 2017 without receiving anything. My mother whom I took with me and aged 96 today does not touch anything because not sufficiently dependent according to their criteria, although she is unable to assume her daily life physically and intellectually. 3rd expertise in progress.</v>
      </c>
    </row>
    <row r="843" ht="15.75" customHeight="1">
      <c r="A843" s="2">
        <v>4.0</v>
      </c>
      <c r="B843" s="2" t="s">
        <v>2333</v>
      </c>
      <c r="C843" s="2" t="s">
        <v>2334</v>
      </c>
      <c r="D843" s="2" t="s">
        <v>13</v>
      </c>
      <c r="E843" s="2" t="s">
        <v>14</v>
      </c>
      <c r="F843" s="2" t="s">
        <v>15</v>
      </c>
      <c r="G843" s="2" t="s">
        <v>17</v>
      </c>
      <c r="H843" s="2" t="s">
        <v>17</v>
      </c>
      <c r="I843" s="3" t="str">
        <f>IFERROR(__xludf.DUMMYFUNCTION("GOOGLETRANSLATE(C843,""fr"",""en"")"),"OKAY? I may recommend to a friend if there was no mandatory opinion.
OKAY? I may recommend to a friend if there was no mandatory opinion.")</f>
        <v>OKAY? I may recommend to a friend if there was no mandatory opinion.
OKAY? I may recommend to a friend if there was no mandatory opinion.</v>
      </c>
    </row>
    <row r="844" ht="15.75" customHeight="1">
      <c r="A844" s="2">
        <v>4.0</v>
      </c>
      <c r="B844" s="2" t="s">
        <v>2335</v>
      </c>
      <c r="C844" s="2" t="s">
        <v>2336</v>
      </c>
      <c r="D844" s="2" t="s">
        <v>13</v>
      </c>
      <c r="E844" s="2" t="s">
        <v>14</v>
      </c>
      <c r="F844" s="2" t="s">
        <v>15</v>
      </c>
      <c r="G844" s="2" t="s">
        <v>2337</v>
      </c>
      <c r="H844" s="2" t="s">
        <v>27</v>
      </c>
      <c r="I844" s="3" t="str">
        <f>IFERROR(__xludf.DUMMYFUNCTION("GOOGLETRANSLATE(C844,""fr"",""en"")"),"I am satisfied with the insurance service, very effective, with a good reception of documents and a very fast service and the employees always kind")</f>
        <v>I am satisfied with the insurance service, very effective, with a good reception of documents and a very fast service and the employees always kind</v>
      </c>
    </row>
    <row r="845" ht="15.75" customHeight="1">
      <c r="A845" s="2">
        <v>2.0</v>
      </c>
      <c r="B845" s="2" t="s">
        <v>2338</v>
      </c>
      <c r="C845" s="2" t="s">
        <v>2339</v>
      </c>
      <c r="D845" s="2" t="s">
        <v>43</v>
      </c>
      <c r="E845" s="2" t="s">
        <v>25</v>
      </c>
      <c r="F845" s="2" t="s">
        <v>15</v>
      </c>
      <c r="G845" s="2" t="s">
        <v>2340</v>
      </c>
      <c r="H845" s="2" t="s">
        <v>152</v>
      </c>
      <c r="I845" s="3" t="str">
        <f>IFERROR(__xludf.DUMMYFUNCTION("GOOGLETRANSLATE(C845,""fr"",""en"")"),"The day you have a disaster even not responsible for having accessories and a personal paint is not supported ... You must take the accessory option only available at all risk.
The equipment of the bikers are the same, only the helmet is reimbursed ..."&amp;" the rest is for your apple.
Insurance to vomit!
I am strongly denied, turn rather to Mutuelle des Motard or AMV who really ensure two wheels and equipment.")</f>
        <v>The day you have a disaster even not responsible for having accessories and a personal paint is not supported ... You must take the accessory option only available at all risk.
The equipment of the bikers are the same, only the helmet is reimbursed ... the rest is for your apple.
Insurance to vomit!
I am strongly denied, turn rather to Mutuelle des Motard or AMV who really ensure two wheels and equipment.</v>
      </c>
    </row>
    <row r="846" ht="15.75" customHeight="1">
      <c r="A846" s="2">
        <v>3.0</v>
      </c>
      <c r="B846" s="2" t="s">
        <v>2341</v>
      </c>
      <c r="C846" s="2" t="s">
        <v>2342</v>
      </c>
      <c r="D846" s="2" t="s">
        <v>190</v>
      </c>
      <c r="E846" s="2" t="s">
        <v>31</v>
      </c>
      <c r="F846" s="2" t="s">
        <v>15</v>
      </c>
      <c r="G846" s="2" t="s">
        <v>2343</v>
      </c>
      <c r="H846" s="2" t="s">
        <v>477</v>
      </c>
      <c r="I846" s="3" t="str">
        <f>IFERROR(__xludf.DUMMYFUNCTION("GOOGLETRANSLATE(C846,""fr"",""en"")"),"Nadège was very responsive")</f>
        <v>Nadège was very responsive</v>
      </c>
    </row>
    <row r="847" ht="15.75" customHeight="1">
      <c r="A847" s="2">
        <v>3.0</v>
      </c>
      <c r="B847" s="2" t="s">
        <v>2344</v>
      </c>
      <c r="C847" s="2" t="s">
        <v>2345</v>
      </c>
      <c r="D847" s="2" t="s">
        <v>20</v>
      </c>
      <c r="E847" s="2" t="s">
        <v>14</v>
      </c>
      <c r="F847" s="2" t="s">
        <v>15</v>
      </c>
      <c r="G847" s="2" t="s">
        <v>344</v>
      </c>
      <c r="H847" s="2" t="s">
        <v>133</v>
      </c>
      <c r="I847" s="3" t="str">
        <f>IFERROR(__xludf.DUMMYFUNCTION("GOOGLETRANSLATE(C847,""fr"",""en"")"),"Simple to make the price price changes according to the age of the second driver damage I hope not to be on it and that the follow -up of the file will be simple")</f>
        <v>Simple to make the price price changes according to the age of the second driver damage I hope not to be on it and that the follow -up of the file will be simple</v>
      </c>
    </row>
    <row r="848" ht="15.75" customHeight="1">
      <c r="A848" s="2">
        <v>4.0</v>
      </c>
      <c r="B848" s="2" t="s">
        <v>2346</v>
      </c>
      <c r="C848" s="2" t="s">
        <v>2347</v>
      </c>
      <c r="D848" s="2" t="s">
        <v>48</v>
      </c>
      <c r="E848" s="2" t="s">
        <v>91</v>
      </c>
      <c r="F848" s="2" t="s">
        <v>15</v>
      </c>
      <c r="G848" s="2" t="s">
        <v>76</v>
      </c>
      <c r="H848" s="2" t="s">
        <v>77</v>
      </c>
      <c r="I848" s="3" t="str">
        <f>IFERROR(__xludf.DUMMYFUNCTION("GOOGLETRANSLATE(C848,""fr"",""en"")"),"I am generally satisfied with MAIF but I now needed an insurance certificate that supposedly we can download on the personal space of the insured
I looked for more than half an hour without ever finding
So please, do not announce things that do not exis"&amp;"t and be effective by giving a operating mode to the need if this certificate can be downloaded")</f>
        <v>I am generally satisfied with MAIF but I now needed an insurance certificate that supposedly we can download on the personal space of the insured
I looked for more than half an hour without ever finding
So please, do not announce things that do not exist and be effective by giving a operating mode to the need if this certificate can be downloaded</v>
      </c>
    </row>
    <row r="849" ht="15.75" customHeight="1">
      <c r="A849" s="2">
        <v>1.0</v>
      </c>
      <c r="B849" s="2" t="s">
        <v>2348</v>
      </c>
      <c r="C849" s="2" t="s">
        <v>2349</v>
      </c>
      <c r="D849" s="2" t="s">
        <v>117</v>
      </c>
      <c r="E849" s="2" t="s">
        <v>14</v>
      </c>
      <c r="F849" s="2" t="s">
        <v>15</v>
      </c>
      <c r="G849" s="2" t="s">
        <v>2350</v>
      </c>
      <c r="H849" s="2" t="s">
        <v>528</v>
      </c>
      <c r="I849" s="3" t="str">
        <f>IFERROR(__xludf.DUMMYFUNCTION("GOOGLETRANSLATE(C849,""fr"",""en"")"),"AXA BANK customer for +20 years I also decide in 2018 to choose them in car insurance. I get struck by a car in reverse in January 2019 I am not wrongly and to put my conforming vehicle back I have to pay more than 500 euros. I also learn that the insurer"&amp;" of the other is also AXA. No follow -up if it is I who must contact them.")</f>
        <v>AXA BANK customer for +20 years I also decide in 2018 to choose them in car insurance. I get struck by a car in reverse in January 2019 I am not wrongly and to put my conforming vehicle back I have to pay more than 500 euros. I also learn that the insurer of the other is also AXA. No follow -up if it is I who must contact them.</v>
      </c>
    </row>
    <row r="850" ht="15.75" customHeight="1">
      <c r="A850" s="2">
        <v>5.0</v>
      </c>
      <c r="B850" s="2" t="s">
        <v>2351</v>
      </c>
      <c r="C850" s="2" t="s">
        <v>2352</v>
      </c>
      <c r="D850" s="2" t="s">
        <v>20</v>
      </c>
      <c r="E850" s="2" t="s">
        <v>14</v>
      </c>
      <c r="F850" s="2" t="s">
        <v>15</v>
      </c>
      <c r="G850" s="2" t="s">
        <v>759</v>
      </c>
      <c r="H850" s="2" t="s">
        <v>133</v>
      </c>
      <c r="I850" s="3" t="str">
        <f>IFERROR(__xludf.DUMMYFUNCTION("GOOGLETRANSLATE(C850,""fr"",""en"")"),"I am satisfied with the service and happy to be at home.
I hope to stay with you for a very long time
I hope that the termination will be well with my insurance")</f>
        <v>I am satisfied with the service and happy to be at home.
I hope to stay with you for a very long time
I hope that the termination will be well with my insurance</v>
      </c>
    </row>
    <row r="851" ht="15.75" customHeight="1">
      <c r="A851" s="2">
        <v>5.0</v>
      </c>
      <c r="B851" s="2" t="s">
        <v>2353</v>
      </c>
      <c r="C851" s="2" t="s">
        <v>2354</v>
      </c>
      <c r="D851" s="2" t="s">
        <v>101</v>
      </c>
      <c r="E851" s="2" t="s">
        <v>31</v>
      </c>
      <c r="F851" s="2" t="s">
        <v>15</v>
      </c>
      <c r="G851" s="2" t="s">
        <v>237</v>
      </c>
      <c r="H851" s="2" t="s">
        <v>133</v>
      </c>
      <c r="I851" s="3" t="str">
        <f>IFERROR(__xludf.DUMMYFUNCTION("GOOGLETRANSLATE(C851,""fr"",""en"")"),"I call for information for a reimbursement and comes across a very kind and very competent Emeline advisor I was not often received with such kindness am very happy with my Mutual Neoliane Hospi the day I take a superior mutual I would stay with Neoliane "&amp;"I really recommend this mutual insurance company at a very competitive price very good mutual for retirement")</f>
        <v>I call for information for a reimbursement and comes across a very kind and very competent Emeline advisor I was not often received with such kindness am very happy with my Mutual Neoliane Hospi the day I take a superior mutual I would stay with Neoliane I really recommend this mutual insurance company at a very competitive price very good mutual for retirement</v>
      </c>
    </row>
    <row r="852" ht="15.75" customHeight="1">
      <c r="A852" s="2">
        <v>1.0</v>
      </c>
      <c r="B852" s="2" t="s">
        <v>2355</v>
      </c>
      <c r="C852" s="2" t="s">
        <v>2356</v>
      </c>
      <c r="D852" s="2" t="s">
        <v>284</v>
      </c>
      <c r="E852" s="2" t="s">
        <v>285</v>
      </c>
      <c r="F852" s="2" t="s">
        <v>15</v>
      </c>
      <c r="G852" s="2" t="s">
        <v>905</v>
      </c>
      <c r="H852" s="2" t="s">
        <v>133</v>
      </c>
      <c r="I852" s="3" t="str">
        <f>IFERROR(__xludf.DUMMYFUNCTION("GOOGLETRANSLATE(C852,""fr"",""en"")"),"Since I transmitted the certificate of acquittal of the rights on September 07, 2021, as part of life insurance contracted by my mother and I have no news from Cardif. I myself have a BNP multiplacement contract (70,000 euros) that I will terminate with p"&amp;"leasure if this company does not deign to answer me. What a lack of respect for all subscribers!")</f>
        <v>Since I transmitted the certificate of acquittal of the rights on September 07, 2021, as part of life insurance contracted by my mother and I have no news from Cardif. I myself have a BNP multiplacement contract (70,000 euros) that I will terminate with pleasure if this company does not deign to answer me. What a lack of respect for all subscribers!</v>
      </c>
    </row>
    <row r="853" ht="15.75" customHeight="1">
      <c r="A853" s="2">
        <v>1.0</v>
      </c>
      <c r="B853" s="2" t="s">
        <v>2357</v>
      </c>
      <c r="C853" s="2" t="s">
        <v>2358</v>
      </c>
      <c r="D853" s="2" t="s">
        <v>2359</v>
      </c>
      <c r="E853" s="2" t="s">
        <v>97</v>
      </c>
      <c r="F853" s="2" t="s">
        <v>15</v>
      </c>
      <c r="G853" s="2" t="s">
        <v>2360</v>
      </c>
      <c r="H853" s="2" t="s">
        <v>168</v>
      </c>
      <c r="I853" s="3" t="str">
        <f>IFERROR(__xludf.DUMMYFUNCTION("GOOGLETRANSLATE(C853,""fr"",""en"")"),"I strongly advise against this insurer chosen when signing the mortgage of my residence. Today on long sick leave, despite the documents provided and following the expertise of one of their doctor refusals on their part to take care of my monthly payments"&amp;". I am unable to resume a professional activity as evidenced by a sick leave but their doctor affirms the opposite ... and this insurer does not take responsibility. The most incredible: be forced to continue to pay this insurance via my mortgage. A shame"&amp;" !")</f>
        <v>I strongly advise against this insurer chosen when signing the mortgage of my residence. Today on long sick leave, despite the documents provided and following the expertise of one of their doctor refusals on their part to take care of my monthly payments. I am unable to resume a professional activity as evidenced by a sick leave but their doctor affirms the opposite ... and this insurer does not take responsibility. The most incredible: be forced to continue to pay this insurance via my mortgage. A shame !</v>
      </c>
    </row>
    <row r="854" ht="15.75" customHeight="1">
      <c r="A854" s="2">
        <v>1.0</v>
      </c>
      <c r="B854" s="2" t="s">
        <v>2361</v>
      </c>
      <c r="C854" s="2" t="s">
        <v>2362</v>
      </c>
      <c r="D854" s="2" t="s">
        <v>61</v>
      </c>
      <c r="E854" s="2" t="s">
        <v>14</v>
      </c>
      <c r="F854" s="2" t="s">
        <v>15</v>
      </c>
      <c r="G854" s="2" t="s">
        <v>2363</v>
      </c>
      <c r="H854" s="2" t="s">
        <v>72</v>
      </c>
      <c r="I854" s="3" t="str">
        <f>IFERROR(__xludf.DUMMYFUNCTION("GOOGLETRANSLATE(C854,""fr"",""en"")"),"Hello, Customer at the MAAF for 5 years for car and apartment, we wanted to change the contact details of the contract from Mr. to Madame and provide a second car. First it was not possible then possible but with prices which do not correspond to the sche"&amp;"duled schedule (70 euros more on the schedule 2021) the prices would be pro rata of something but not the months of the 'year anyway. We decided to stop there the negotiations and since this morning, I have already received 6 maaf emails asking me to sign"&amp;" !!!")</f>
        <v>Hello, Customer at the MAAF for 5 years for car and apartment, we wanted to change the contact details of the contract from Mr. to Madame and provide a second car. First it was not possible then possible but with prices which do not correspond to the scheduled schedule (70 euros more on the schedule 2021) the prices would be pro rata of something but not the months of the 'year anyway. We decided to stop there the negotiations and since this morning, I have already received 6 maaf emails asking me to sign !!!</v>
      </c>
    </row>
    <row r="855" ht="15.75" customHeight="1">
      <c r="A855" s="2">
        <v>2.0</v>
      </c>
      <c r="B855" s="2" t="s">
        <v>2364</v>
      </c>
      <c r="C855" s="2" t="s">
        <v>2365</v>
      </c>
      <c r="D855" s="2" t="s">
        <v>159</v>
      </c>
      <c r="E855" s="2" t="s">
        <v>91</v>
      </c>
      <c r="F855" s="2" t="s">
        <v>15</v>
      </c>
      <c r="G855" s="2" t="s">
        <v>1168</v>
      </c>
      <c r="H855" s="2" t="s">
        <v>504</v>
      </c>
      <c r="I855" s="3" t="str">
        <f>IFERROR(__xludf.DUMMYFUNCTION("GOOGLETRANSLATE(C855,""fr"",""en"")"),"Following a small damage from to a neighbor's marble storm fell on our palisade
In August 2019 there were 168 euros in damage in January 2020 18 euros in reimbursed. We will see the insurer the hubsch firm in Thionville and the advisor advises us to retr"&amp;"ieve the franchise at the neighbor
Wonderful in this case the insurance is useless")</f>
        <v>Following a small damage from to a neighbor's marble storm fell on our palisade
In August 2019 there were 168 euros in damage in January 2020 18 euros in reimbursed. We will see the insurer the hubsch firm in Thionville and the advisor advises us to retrieve the franchise at the neighbor
Wonderful in this case the insurance is useless</v>
      </c>
    </row>
    <row r="856" ht="15.75" customHeight="1">
      <c r="A856" s="2">
        <v>5.0</v>
      </c>
      <c r="B856" s="2" t="s">
        <v>2366</v>
      </c>
      <c r="C856" s="2" t="s">
        <v>2367</v>
      </c>
      <c r="D856" s="2" t="s">
        <v>20</v>
      </c>
      <c r="E856" s="2" t="s">
        <v>14</v>
      </c>
      <c r="F856" s="2" t="s">
        <v>15</v>
      </c>
      <c r="G856" s="2" t="s">
        <v>2368</v>
      </c>
      <c r="H856" s="2" t="s">
        <v>149</v>
      </c>
      <c r="I856" s="3" t="str">
        <f>IFERROR(__xludf.DUMMYFUNCTION("GOOGLETRANSLATE(C856,""fr"",""en"")"),"I am very satisfied with the service, very pleasant people, speaking well, listening. Thank you ! The prices are quite what I was looking for and I hope that customer follow -up will be the same.")</f>
        <v>I am very satisfied with the service, very pleasant people, speaking well, listening. Thank you ! The prices are quite what I was looking for and I hope that customer follow -up will be the same.</v>
      </c>
    </row>
    <row r="857" ht="15.75" customHeight="1">
      <c r="A857" s="2">
        <v>4.0</v>
      </c>
      <c r="B857" s="2" t="s">
        <v>2369</v>
      </c>
      <c r="C857" s="2" t="s">
        <v>2370</v>
      </c>
      <c r="D857" s="2" t="s">
        <v>20</v>
      </c>
      <c r="E857" s="2" t="s">
        <v>14</v>
      </c>
      <c r="F857" s="2" t="s">
        <v>15</v>
      </c>
      <c r="G857" s="2" t="s">
        <v>316</v>
      </c>
      <c r="H857" s="2" t="s">
        <v>133</v>
      </c>
      <c r="I857" s="3" t="str">
        <f>IFERROR(__xludf.DUMMYFUNCTION("GOOGLETRANSLATE(C857,""fr"",""en"")"),"I am very satisfied fast and simple very attractive price I recommend this insurance the site and well do easy to use thank you direct insurance")</f>
        <v>I am very satisfied fast and simple very attractive price I recommend this insurance the site and well do easy to use thank you direct insurance</v>
      </c>
    </row>
    <row r="858" ht="15.75" customHeight="1">
      <c r="A858" s="2">
        <v>4.0</v>
      </c>
      <c r="B858" s="2" t="s">
        <v>2371</v>
      </c>
      <c r="C858" s="2" t="s">
        <v>2372</v>
      </c>
      <c r="D858" s="2" t="s">
        <v>101</v>
      </c>
      <c r="E858" s="2" t="s">
        <v>31</v>
      </c>
      <c r="F858" s="2" t="s">
        <v>15</v>
      </c>
      <c r="G858" s="2" t="s">
        <v>2373</v>
      </c>
      <c r="H858" s="2" t="s">
        <v>968</v>
      </c>
      <c r="I858" s="3" t="str">
        <f>IFERROR(__xludf.DUMMYFUNCTION("GOOGLETRANSLATE(C858,""fr"",""en"")"),"Speed, both in reimbursements
that in the answers to our questions")</f>
        <v>Speed, both in reimbursements
that in the answers to our questions</v>
      </c>
    </row>
    <row r="859" ht="15.75" customHeight="1">
      <c r="A859" s="2">
        <v>3.0</v>
      </c>
      <c r="B859" s="2" t="s">
        <v>2374</v>
      </c>
      <c r="C859" s="2" t="s">
        <v>2375</v>
      </c>
      <c r="D859" s="2" t="s">
        <v>20</v>
      </c>
      <c r="E859" s="2" t="s">
        <v>91</v>
      </c>
      <c r="F859" s="2" t="s">
        <v>15</v>
      </c>
      <c r="G859" s="2" t="s">
        <v>2376</v>
      </c>
      <c r="H859" s="2" t="s">
        <v>262</v>
      </c>
      <c r="I859" s="3" t="str">
        <f>IFERROR(__xludf.DUMMYFUNCTION("GOOGLETRANSLATE(C859,""fr"",""en"")"),"Hi there,
Direct insurance and very good insurance.
Assured for many years at home.")</f>
        <v>Hi there,
Direct insurance and very good insurance.
Assured for many years at home.</v>
      </c>
    </row>
    <row r="860" ht="15.75" customHeight="1">
      <c r="A860" s="2">
        <v>1.0</v>
      </c>
      <c r="B860" s="2" t="s">
        <v>2377</v>
      </c>
      <c r="C860" s="2" t="s">
        <v>2378</v>
      </c>
      <c r="D860" s="2" t="s">
        <v>112</v>
      </c>
      <c r="E860" s="2" t="s">
        <v>14</v>
      </c>
      <c r="F860" s="2" t="s">
        <v>15</v>
      </c>
      <c r="G860" s="2" t="s">
        <v>2379</v>
      </c>
      <c r="H860" s="2" t="s">
        <v>287</v>
      </c>
      <c r="I860" s="3" t="str">
        <f>IFERROR(__xludf.DUMMYFUNCTION("GOOGLETRANSLATE(C860,""fr"",""en"")"),"UNO says to itself in the Defense community, but it is a mutual with disappointing services. Cheer and outdated. See this mutual flow for all the annoyers they caused me after my departure from the army. I promise to make them a very negative reputation o"&amp;"n all forums. For info, they are now defeated from the Ministry of the Armed Forces.")</f>
        <v>UNO says to itself in the Defense community, but it is a mutual with disappointing services. Cheer and outdated. See this mutual flow for all the annoyers they caused me after my departure from the army. I promise to make them a very negative reputation on all forums. For info, they are now defeated from the Ministry of the Armed Forces.</v>
      </c>
    </row>
    <row r="861" ht="15.75" customHeight="1">
      <c r="A861" s="2">
        <v>5.0</v>
      </c>
      <c r="B861" s="2" t="s">
        <v>2380</v>
      </c>
      <c r="C861" s="2" t="s">
        <v>2381</v>
      </c>
      <c r="D861" s="2" t="s">
        <v>20</v>
      </c>
      <c r="E861" s="2" t="s">
        <v>14</v>
      </c>
      <c r="F861" s="2" t="s">
        <v>15</v>
      </c>
      <c r="G861" s="2" t="s">
        <v>404</v>
      </c>
      <c r="H861" s="2" t="s">
        <v>72</v>
      </c>
      <c r="I861" s="3" t="str">
        <f>IFERROR(__xludf.DUMMYFUNCTION("GOOGLETRANSLATE(C861,""fr"",""en"")"),"Hello I am satisfied with the services of Direct Insurance and the prices suit me .. I have just created my account on the Internet This avoids the wait on the phone which is often a bit long.")</f>
        <v>Hello I am satisfied with the services of Direct Insurance and the prices suit me .. I have just created my account on the Internet This avoids the wait on the phone which is often a bit long.</v>
      </c>
    </row>
    <row r="862" ht="15.75" customHeight="1">
      <c r="A862" s="2">
        <v>1.0</v>
      </c>
      <c r="B862" s="2" t="s">
        <v>2382</v>
      </c>
      <c r="C862" s="2" t="s">
        <v>2383</v>
      </c>
      <c r="D862" s="2" t="s">
        <v>307</v>
      </c>
      <c r="E862" s="2" t="s">
        <v>31</v>
      </c>
      <c r="F862" s="2" t="s">
        <v>15</v>
      </c>
      <c r="G862" s="2" t="s">
        <v>1558</v>
      </c>
      <c r="H862" s="2" t="s">
        <v>149</v>
      </c>
      <c r="I862" s="3" t="str">
        <f>IFERROR(__xludf.DUMMYFUNCTION("GOOGLETRANSLATE(C862,""fr"",""en"")"),"Contact system for additional reimbursement exceeded.
No follow -up, no alert, just a deposit message.
You have to cross your fingers to hope that the documents are taken into account afterwards.
The display of services that are in problem is hidden "&amp;"after 3 ""actions"".
No other rise. It's up to you to go there regularly to see what is reimbursed or not.
Everything is done not to reimburse what is due.
In short, to flee. I go as soon as possible.")</f>
        <v>Contact system for additional reimbursement exceeded.
No follow -up, no alert, just a deposit message.
You have to cross your fingers to hope that the documents are taken into account afterwards.
The display of services that are in problem is hidden after 3 "actions".
No other rise. It's up to you to go there regularly to see what is reimbursed or not.
Everything is done not to reimburse what is due.
In short, to flee. I go as soon as possible.</v>
      </c>
    </row>
    <row r="863" ht="15.75" customHeight="1">
      <c r="A863" s="2">
        <v>1.0</v>
      </c>
      <c r="B863" s="2" t="s">
        <v>2384</v>
      </c>
      <c r="C863" s="2" t="s">
        <v>2385</v>
      </c>
      <c r="D863" s="2" t="s">
        <v>621</v>
      </c>
      <c r="E863" s="2" t="s">
        <v>91</v>
      </c>
      <c r="F863" s="2" t="s">
        <v>15</v>
      </c>
      <c r="G863" s="2" t="s">
        <v>2386</v>
      </c>
      <c r="H863" s="2" t="s">
        <v>410</v>
      </c>
      <c r="I863" s="3" t="str">
        <f>IFERROR(__xludf.DUMMYFUNCTION("GOOGLETRANSLATE(C863,""fr"",""en"")"),"To flee it is amateurism. Loss of the Documents Files Mal treated. Staff still not sympathetic in addition to the high price of the subscription ... To flee")</f>
        <v>To flee it is amateurism. Loss of the Documents Files Mal treated. Staff still not sympathetic in addition to the high price of the subscription ... To flee</v>
      </c>
    </row>
    <row r="864" ht="15.75" customHeight="1">
      <c r="A864" s="2">
        <v>5.0</v>
      </c>
      <c r="B864" s="2" t="s">
        <v>2387</v>
      </c>
      <c r="C864" s="2" t="s">
        <v>2388</v>
      </c>
      <c r="D864" s="2" t="s">
        <v>20</v>
      </c>
      <c r="E864" s="2" t="s">
        <v>14</v>
      </c>
      <c r="F864" s="2" t="s">
        <v>15</v>
      </c>
      <c r="G864" s="2" t="s">
        <v>2215</v>
      </c>
      <c r="H864" s="2" t="s">
        <v>58</v>
      </c>
      <c r="I864" s="3" t="str">
        <f>IFERROR(__xludf.DUMMYFUNCTION("GOOGLETRANSLATE(C864,""fr"",""en"")"),"The advisor I had on the phone was very professional, kind and efficient. Thank you to him, he made me a quote very quickly! I am very satisfied.")</f>
        <v>The advisor I had on the phone was very professional, kind and efficient. Thank you to him, he made me a quote very quickly! I am very satisfied.</v>
      </c>
    </row>
    <row r="865" ht="15.75" customHeight="1">
      <c r="A865" s="2">
        <v>3.0</v>
      </c>
      <c r="B865" s="2" t="s">
        <v>2389</v>
      </c>
      <c r="C865" s="2" t="s">
        <v>2390</v>
      </c>
      <c r="D865" s="2" t="s">
        <v>112</v>
      </c>
      <c r="E865" s="2" t="s">
        <v>14</v>
      </c>
      <c r="F865" s="2" t="s">
        <v>15</v>
      </c>
      <c r="G865" s="2" t="s">
        <v>1076</v>
      </c>
      <c r="H865" s="2" t="s">
        <v>1010</v>
      </c>
      <c r="I865" s="3" t="str">
        <f>IFERROR(__xludf.DUMMYFUNCTION("GOOGLETRANSLATE(C865,""fr"",""en"")")," Impossible to send me my provisional certificate under the pretext that their computer system works badly with Orange. I still laugh. I have resilled by recommended. No refund in 1 month. So I will put a complaint.")</f>
        <v> Impossible to send me my provisional certificate under the pretext that their computer system works badly with Orange. I still laugh. I have resilled by recommended. No refund in 1 month. So I will put a complaint.</v>
      </c>
    </row>
    <row r="866" ht="15.75" customHeight="1">
      <c r="A866" s="2">
        <v>5.0</v>
      </c>
      <c r="B866" s="2" t="s">
        <v>2391</v>
      </c>
      <c r="C866" s="2" t="s">
        <v>2392</v>
      </c>
      <c r="D866" s="2" t="s">
        <v>80</v>
      </c>
      <c r="E866" s="2" t="s">
        <v>25</v>
      </c>
      <c r="F866" s="2" t="s">
        <v>15</v>
      </c>
      <c r="G866" s="2" t="s">
        <v>172</v>
      </c>
      <c r="H866" s="2" t="s">
        <v>172</v>
      </c>
      <c r="I866" s="3" t="str">
        <f>IFERROR(__xludf.DUMMYFUNCTION("GOOGLETRANSLATE(C866,""fr"",""en"")"),"Very happy with the price thank you remains to be seen now if the services you sell will be up to but hope and if fast service cordially")</f>
        <v>Very happy with the price thank you remains to be seen now if the services you sell will be up to but hope and if fast service cordially</v>
      </c>
    </row>
    <row r="867" ht="15.75" customHeight="1">
      <c r="A867" s="2">
        <v>2.0</v>
      </c>
      <c r="B867" s="2" t="s">
        <v>2393</v>
      </c>
      <c r="C867" s="2" t="s">
        <v>2394</v>
      </c>
      <c r="D867" s="2" t="s">
        <v>147</v>
      </c>
      <c r="E867" s="2" t="s">
        <v>31</v>
      </c>
      <c r="F867" s="2" t="s">
        <v>15</v>
      </c>
      <c r="G867" s="2" t="s">
        <v>1496</v>
      </c>
      <c r="H867" s="2" t="s">
        <v>535</v>
      </c>
      <c r="I867" s="3" t="str">
        <f>IFERROR(__xludf.DUMMYFUNCTION("GOOGLETRANSLATE(C867,""fr"",""en"")"),"Catastrophic in terms of dental and optical reimbursements.
In addition, the amount of contributions is quite high compared to other mutuals and we also have no help from the employer.
")</f>
        <v>Catastrophic in terms of dental and optical reimbursements.
In addition, the amount of contributions is quite high compared to other mutuals and we also have no help from the employer.
</v>
      </c>
    </row>
    <row r="868" ht="15.75" customHeight="1">
      <c r="A868" s="2">
        <v>1.0</v>
      </c>
      <c r="B868" s="2" t="s">
        <v>2395</v>
      </c>
      <c r="C868" s="2" t="s">
        <v>2396</v>
      </c>
      <c r="D868" s="2" t="s">
        <v>43</v>
      </c>
      <c r="E868" s="2" t="s">
        <v>14</v>
      </c>
      <c r="F868" s="2" t="s">
        <v>15</v>
      </c>
      <c r="G868" s="2" t="s">
        <v>290</v>
      </c>
      <c r="H868" s="2" t="s">
        <v>77</v>
      </c>
      <c r="I868" s="3" t="str">
        <f>IFERROR(__xludf.DUMMYFUNCTION("GOOGLETRANSLATE(C868,""fr"",""en"")"),"Macif too expensive 7.Dey they are penultimate is when you go in front of one or more advisers they tell you you are at the tackle of discounts while you have the quotes of competitors in hand I change before going to the Macif made of comparisons you wil"&amp;"l Found cheaper ....")</f>
        <v>Macif too expensive 7.Dey they are penultimate is when you go in front of one or more advisers they tell you you are at the tackle of discounts while you have the quotes of competitors in hand I change before going to the Macif made of comparisons you will Found cheaper ....</v>
      </c>
    </row>
    <row r="869" ht="15.75" customHeight="1">
      <c r="A869" s="2">
        <v>5.0</v>
      </c>
      <c r="B869" s="2" t="s">
        <v>2397</v>
      </c>
      <c r="C869" s="2" t="s">
        <v>2398</v>
      </c>
      <c r="D869" s="2" t="s">
        <v>190</v>
      </c>
      <c r="E869" s="2" t="s">
        <v>31</v>
      </c>
      <c r="F869" s="2" t="s">
        <v>15</v>
      </c>
      <c r="G869" s="2" t="s">
        <v>2399</v>
      </c>
      <c r="H869" s="2" t="s">
        <v>164</v>
      </c>
      <c r="I869" s="3" t="str">
        <f>IFERROR(__xludf.DUMMYFUNCTION("GOOGLETRANSLATE(C869,""fr"",""en"")"),"Hello, I was received by Mrs Labridi who my very well information on my contract and today I am falling on are mentor Mrs Gwendal who still welcomed it and inform. Really I am very very satisfied and I recommend his people, thank you again. Regards Mrs. G"&amp;"uirault")</f>
        <v>Hello, I was received by Mrs Labridi who my very well information on my contract and today I am falling on are mentor Mrs Gwendal who still welcomed it and inform. Really I am very very satisfied and I recommend his people, thank you again. Regards Mrs. Guirault</v>
      </c>
    </row>
    <row r="870" ht="15.75" customHeight="1">
      <c r="A870" s="2">
        <v>2.0</v>
      </c>
      <c r="B870" s="2" t="s">
        <v>2400</v>
      </c>
      <c r="C870" s="2" t="s">
        <v>2401</v>
      </c>
      <c r="D870" s="2" t="s">
        <v>513</v>
      </c>
      <c r="E870" s="2" t="s">
        <v>14</v>
      </c>
      <c r="F870" s="2" t="s">
        <v>15</v>
      </c>
      <c r="G870" s="2" t="s">
        <v>2402</v>
      </c>
      <c r="H870" s="2" t="s">
        <v>187</v>
      </c>
      <c r="I870" s="3" t="str">
        <f>IFERROR(__xludf.DUMMYFUNCTION("GOOGLETRANSLATE(C870,""fr"",""en"")"),"This company does not care about its customers when they had an accident. I am currently trapped in the Czech Republic, after a car accident 18 days ago. Despite my frequent telephone calls, I was not informed of what they intend to do when. Avoid!")</f>
        <v>This company does not care about its customers when they had an accident. I am currently trapped in the Czech Republic, after a car accident 18 days ago. Despite my frequent telephone calls, I was not informed of what they intend to do when. Avoid!</v>
      </c>
    </row>
    <row r="871" ht="15.75" customHeight="1">
      <c r="A871" s="2">
        <v>3.0</v>
      </c>
      <c r="B871" s="2" t="s">
        <v>2403</v>
      </c>
      <c r="C871" s="2" t="s">
        <v>2404</v>
      </c>
      <c r="D871" s="2" t="s">
        <v>280</v>
      </c>
      <c r="E871" s="2" t="s">
        <v>14</v>
      </c>
      <c r="F871" s="2" t="s">
        <v>15</v>
      </c>
      <c r="G871" s="2" t="s">
        <v>1837</v>
      </c>
      <c r="H871" s="2" t="s">
        <v>87</v>
      </c>
      <c r="I871" s="3" t="str">
        <f>IFERROR(__xludf.DUMMYFUNCTION("GOOGLETRANSLATE(C871,""fr"",""en"")"),"I have been a customer for 54 years (it was my agency who noted it in its files) and I have a bonus of 65% but my wife has just experienced an unusual accident rate: 3 accidents in three years.
The Matmut does not make a neighborhood, it terminates the t"&amp;"wo auto contracts. However, she could apply a penalty to my wife's vehicle or only terminate her contract. And she could also deign to respond to my registered letter on October 31. I'm still waiting.
In her latest management report, she highlights her M"&amp;"atmut ambition plan which, among other points, is attached to the pursuit of digitalization and electronic management of documents.
Well, I cannot advise him too much to check the functioning of his robots because they may make him loss stupidly many cus"&amp;"tomers !!
I have never had anything to blame matmut so far but beware, it does not evolve in the right direction")</f>
        <v>I have been a customer for 54 years (it was my agency who noted it in its files) and I have a bonus of 65% but my wife has just experienced an unusual accident rate: 3 accidents in three years.
The Matmut does not make a neighborhood, it terminates the two auto contracts. However, she could apply a penalty to my wife's vehicle or only terminate her contract. And she could also deign to respond to my registered letter on October 31. I'm still waiting.
In her latest management report, she highlights her Matmut ambition plan which, among other points, is attached to the pursuit of digitalization and electronic management of documents.
Well, I cannot advise him too much to check the functioning of his robots because they may make him loss stupidly many customers !!
I have never had anything to blame matmut so far but beware, it does not evolve in the right direction</v>
      </c>
    </row>
    <row r="872" ht="15.75" customHeight="1">
      <c r="A872" s="2">
        <v>4.0</v>
      </c>
      <c r="B872" s="2" t="s">
        <v>2405</v>
      </c>
      <c r="C872" s="2" t="s">
        <v>2406</v>
      </c>
      <c r="D872" s="2" t="s">
        <v>20</v>
      </c>
      <c r="E872" s="2" t="s">
        <v>14</v>
      </c>
      <c r="F872" s="2" t="s">
        <v>15</v>
      </c>
      <c r="G872" s="2" t="s">
        <v>2407</v>
      </c>
      <c r="H872" s="2" t="s">
        <v>17</v>
      </c>
      <c r="I872" s="3" t="str">
        <f>IFERROR(__xludf.DUMMYFUNCTION("GOOGLETRANSLATE(C872,""fr"",""en"")"),"Easy and quick quote to do, correct price.
Ease of transmitting documents.
Easy payment by card or paid.
I am satisfied for a 1st test")</f>
        <v>Easy and quick quote to do, correct price.
Ease of transmitting documents.
Easy payment by card or paid.
I am satisfied for a 1st test</v>
      </c>
    </row>
    <row r="873" ht="15.75" customHeight="1">
      <c r="A873" s="2">
        <v>3.0</v>
      </c>
      <c r="B873" s="2" t="s">
        <v>2408</v>
      </c>
      <c r="C873" s="2" t="s">
        <v>2409</v>
      </c>
      <c r="D873" s="2" t="s">
        <v>13</v>
      </c>
      <c r="E873" s="2" t="s">
        <v>14</v>
      </c>
      <c r="F873" s="2" t="s">
        <v>15</v>
      </c>
      <c r="G873" s="2" t="s">
        <v>2410</v>
      </c>
      <c r="H873" s="2" t="s">
        <v>125</v>
      </c>
      <c r="I873" s="3" t="str">
        <f>IFERROR(__xludf.DUMMYFUNCTION("GOOGLETRANSLATE(C873,""fr"",""en"")"),"Ultra fast subscription, good guarantees but slightly excessive price for third -party insurance. I will see a few days to ensure my future accommodation. Have a good day")</f>
        <v>Ultra fast subscription, good guarantees but slightly excessive price for third -party insurance. I will see a few days to ensure my future accommodation. Have a good day</v>
      </c>
    </row>
    <row r="874" ht="15.75" customHeight="1">
      <c r="A874" s="2">
        <v>3.0</v>
      </c>
      <c r="B874" s="2" t="s">
        <v>2411</v>
      </c>
      <c r="C874" s="2" t="s">
        <v>2412</v>
      </c>
      <c r="D874" s="2" t="s">
        <v>426</v>
      </c>
      <c r="E874" s="2" t="s">
        <v>31</v>
      </c>
      <c r="F874" s="2" t="s">
        <v>15</v>
      </c>
      <c r="G874" s="2" t="s">
        <v>990</v>
      </c>
      <c r="H874" s="2" t="s">
        <v>172</v>
      </c>
      <c r="I874" s="3" t="str">
        <f>IFERROR(__xludf.DUMMYFUNCTION("GOOGLETRANSLATE(C874,""fr"",""en"")"),"Mutual which is not given but which is very responsive and which perfectly reimburses what it must reimburse. Customer service is working well (it worked better a few years ago ...), and the site interface is good. I recommend.")</f>
        <v>Mutual which is not given but which is very responsive and which perfectly reimburses what it must reimburse. Customer service is working well (it worked better a few years ago ...), and the site interface is good. I recommend.</v>
      </c>
    </row>
    <row r="875" ht="15.75" customHeight="1">
      <c r="A875" s="2">
        <v>2.0</v>
      </c>
      <c r="B875" s="2" t="s">
        <v>2413</v>
      </c>
      <c r="C875" s="2" t="s">
        <v>2414</v>
      </c>
      <c r="D875" s="2" t="s">
        <v>43</v>
      </c>
      <c r="E875" s="2" t="s">
        <v>91</v>
      </c>
      <c r="F875" s="2" t="s">
        <v>15</v>
      </c>
      <c r="G875" s="2" t="s">
        <v>2415</v>
      </c>
      <c r="H875" s="2" t="s">
        <v>911</v>
      </c>
      <c r="I875" s="3" t="str">
        <f>IFERROR(__xludf.DUMMYFUNCTION("GOOGLETRANSLATE(C875,""fr"",""en"")"),"Very disapointed. Following a big hailstorm, we were reimbursed for our shutters and gutters for the main house that we live in, but refused to reimburse us for our rental house (however just in front of our house). So shutters and taste for our charge .."&amp;". while for others it is supported !!")</f>
        <v>Very disapointed. Following a big hailstorm, we were reimbursed for our shutters and gutters for the main house that we live in, but refused to reimburse us for our rental house (however just in front of our house). So shutters and taste for our charge ... while for others it is supported !!</v>
      </c>
    </row>
    <row r="876" ht="15.75" customHeight="1">
      <c r="A876" s="2">
        <v>5.0</v>
      </c>
      <c r="B876" s="2" t="s">
        <v>2416</v>
      </c>
      <c r="C876" s="2" t="s">
        <v>2417</v>
      </c>
      <c r="D876" s="2" t="s">
        <v>13</v>
      </c>
      <c r="E876" s="2" t="s">
        <v>14</v>
      </c>
      <c r="F876" s="2" t="s">
        <v>15</v>
      </c>
      <c r="G876" s="2" t="s">
        <v>990</v>
      </c>
      <c r="H876" s="2" t="s">
        <v>172</v>
      </c>
      <c r="I876" s="3" t="str">
        <f>IFERROR(__xludf.DUMMYFUNCTION("GOOGLETRANSLATE(C876,""fr"",""en"")"),"Satisfied with the service, responsive and competitive compared to the existing offers on the market
Elevated franchise but correct cover
Insurance that suits our need")</f>
        <v>Satisfied with the service, responsive and competitive compared to the existing offers on the market
Elevated franchise but correct cover
Insurance that suits our need</v>
      </c>
    </row>
    <row r="877" ht="15.75" customHeight="1">
      <c r="A877" s="2">
        <v>4.0</v>
      </c>
      <c r="B877" s="2" t="s">
        <v>2418</v>
      </c>
      <c r="C877" s="2" t="s">
        <v>2419</v>
      </c>
      <c r="D877" s="2" t="s">
        <v>13</v>
      </c>
      <c r="E877" s="2" t="s">
        <v>14</v>
      </c>
      <c r="F877" s="2" t="s">
        <v>15</v>
      </c>
      <c r="G877" s="2" t="s">
        <v>1581</v>
      </c>
      <c r="H877" s="2" t="s">
        <v>17</v>
      </c>
      <c r="I877" s="3" t="str">
        <f>IFERROR(__xludf.DUMMYFUNCTION("GOOGLETRANSLATE(C877,""fr"",""en"")"),"Very well, available, professional.
The price is attractive, and the duration of compliance of the insurance as well as that of the start of the contract are also very fast")</f>
        <v>Very well, available, professional.
The price is attractive, and the duration of compliance of the insurance as well as that of the start of the contract are also very fast</v>
      </c>
    </row>
    <row r="878" ht="15.75" customHeight="1">
      <c r="A878" s="2">
        <v>5.0</v>
      </c>
      <c r="B878" s="2" t="s">
        <v>2420</v>
      </c>
      <c r="C878" s="2" t="s">
        <v>2421</v>
      </c>
      <c r="D878" s="2" t="s">
        <v>190</v>
      </c>
      <c r="E878" s="2" t="s">
        <v>31</v>
      </c>
      <c r="F878" s="2" t="s">
        <v>15</v>
      </c>
      <c r="G878" s="2" t="s">
        <v>227</v>
      </c>
      <c r="H878" s="2" t="s">
        <v>172</v>
      </c>
      <c r="I878" s="3" t="str">
        <f>IFERROR(__xludf.DUMMYFUNCTION("GOOGLETRANSLATE(C878,""fr"",""en"")"),"Fairouz is a very pleasant, very pleasant and very patient person. Delighted to have had to do with her. very conscientious person. Thank you for having the patience to settle my computer concerns.")</f>
        <v>Fairouz is a very pleasant, very pleasant and very patient person. Delighted to have had to do with her. very conscientious person. Thank you for having the patience to settle my computer concerns.</v>
      </c>
    </row>
    <row r="879" ht="15.75" customHeight="1">
      <c r="A879" s="2">
        <v>1.0</v>
      </c>
      <c r="B879" s="2" t="s">
        <v>2422</v>
      </c>
      <c r="C879" s="2" t="s">
        <v>2423</v>
      </c>
      <c r="D879" s="2" t="s">
        <v>80</v>
      </c>
      <c r="E879" s="2" t="s">
        <v>25</v>
      </c>
      <c r="F879" s="2" t="s">
        <v>15</v>
      </c>
      <c r="G879" s="2" t="s">
        <v>2424</v>
      </c>
      <c r="H879" s="2" t="s">
        <v>168</v>
      </c>
      <c r="I879" s="3" t="str">
        <f>IFERROR(__xludf.DUMMYFUNCTION("GOOGLETRANSLATE(C879,""fr"",""en"")"),"Dark contract: there is no details of the real type of insurance contract: third parties or any risk, and it is when we have an accident that we discover the nature of the contract: as far as I am concerned by paying the price at all risk")</f>
        <v>Dark contract: there is no details of the real type of insurance contract: third parties or any risk, and it is when we have an accident that we discover the nature of the contract: as far as I am concerned by paying the price at all risk</v>
      </c>
    </row>
    <row r="880" ht="15.75" customHeight="1">
      <c r="A880" s="2">
        <v>1.0</v>
      </c>
      <c r="B880" s="2" t="s">
        <v>2425</v>
      </c>
      <c r="C880" s="2" t="s">
        <v>2426</v>
      </c>
      <c r="D880" s="2" t="s">
        <v>159</v>
      </c>
      <c r="E880" s="2" t="s">
        <v>91</v>
      </c>
      <c r="F880" s="2" t="s">
        <v>15</v>
      </c>
      <c r="G880" s="2" t="s">
        <v>1774</v>
      </c>
      <c r="H880" s="2" t="s">
        <v>911</v>
      </c>
      <c r="I880" s="3" t="str">
        <f>IFERROR(__xludf.DUMMYFUNCTION("GOOGLETRANSLATE(C880,""fr"",""en"")"),"To flee urgently !!! Dispute not taken into account since October! Make the dead despite many written and telephone reminders !!! Their quality commitment: Eye powder !!")</f>
        <v>To flee urgently !!! Dispute not taken into account since October! Make the dead despite many written and telephone reminders !!! Their quality commitment: Eye powder !!</v>
      </c>
    </row>
    <row r="881" ht="15.75" customHeight="1">
      <c r="A881" s="2">
        <v>2.0</v>
      </c>
      <c r="B881" s="2" t="s">
        <v>2427</v>
      </c>
      <c r="C881" s="2" t="s">
        <v>2428</v>
      </c>
      <c r="D881" s="2" t="s">
        <v>20</v>
      </c>
      <c r="E881" s="2" t="s">
        <v>14</v>
      </c>
      <c r="F881" s="2" t="s">
        <v>15</v>
      </c>
      <c r="G881" s="2" t="s">
        <v>2429</v>
      </c>
      <c r="H881" s="2" t="s">
        <v>423</v>
      </c>
      <c r="I881" s="3" t="str">
        <f>IFERROR(__xludf.DUMMYFUNCTION("GOOGLETRANSLATE(C881,""fr"",""en"")"),"Non -responsible claim on July 21, 2017")</f>
        <v>Non -responsible claim on July 21, 2017</v>
      </c>
    </row>
    <row r="882" ht="15.75" customHeight="1">
      <c r="A882" s="2">
        <v>2.0</v>
      </c>
      <c r="B882" s="2" t="s">
        <v>2430</v>
      </c>
      <c r="C882" s="2" t="s">
        <v>2431</v>
      </c>
      <c r="D882" s="2" t="s">
        <v>48</v>
      </c>
      <c r="E882" s="2" t="s">
        <v>91</v>
      </c>
      <c r="F882" s="2" t="s">
        <v>15</v>
      </c>
      <c r="G882" s="2" t="s">
        <v>2432</v>
      </c>
      <c r="H882" s="2" t="s">
        <v>1214</v>
      </c>
      <c r="I882" s="3" t="str">
        <f>IFERROR(__xludf.DUMMYFUNCTION("GOOGLETRANSLATE(C882,""fr"",""en"")"),"I have been in Maif for several years, I have never had any concern, I call for costs that I am asked for delay in the payment of an invoice when I did not receive it And I am very badly welcomed, by an absolutely not respectful person, who laughs at me, "&amp;"it's just a scandal.
Too bad, I'm going. It will not change their lives but it is not normal to be received in this way.")</f>
        <v>I have been in Maif for several years, I have never had any concern, I call for costs that I am asked for delay in the payment of an invoice when I did not receive it And I am very badly welcomed, by an absolutely not respectful person, who laughs at me, it's just a scandal.
Too bad, I'm going. It will not change their lives but it is not normal to be received in this way.</v>
      </c>
    </row>
    <row r="883" ht="15.75" customHeight="1">
      <c r="A883" s="2">
        <v>4.0</v>
      </c>
      <c r="B883" s="2" t="s">
        <v>2433</v>
      </c>
      <c r="C883" s="2" t="s">
        <v>2434</v>
      </c>
      <c r="D883" s="2" t="s">
        <v>20</v>
      </c>
      <c r="E883" s="2" t="s">
        <v>14</v>
      </c>
      <c r="F883" s="2" t="s">
        <v>15</v>
      </c>
      <c r="G883" s="2" t="s">
        <v>274</v>
      </c>
      <c r="H883" s="2" t="s">
        <v>27</v>
      </c>
      <c r="I883" s="3" t="str">
        <f>IFERROR(__xludf.DUMMYFUNCTION("GOOGLETRANSLATE(C883,""fr"",""en"")"),"I am satisfied with the service
Easy to understand and quick online procedures
Multiple and interesting choice
Site grip efficiency
The value for money seems correct to me
")</f>
        <v>I am satisfied with the service
Easy to understand and quick online procedures
Multiple and interesting choice
Site grip efficiency
The value for money seems correct to me
</v>
      </c>
    </row>
    <row r="884" ht="15.75" customHeight="1">
      <c r="A884" s="2">
        <v>3.0</v>
      </c>
      <c r="B884" s="2" t="s">
        <v>2435</v>
      </c>
      <c r="C884" s="2" t="s">
        <v>2436</v>
      </c>
      <c r="D884" s="2" t="s">
        <v>20</v>
      </c>
      <c r="E884" s="2" t="s">
        <v>14</v>
      </c>
      <c r="F884" s="2" t="s">
        <v>15</v>
      </c>
      <c r="G884" s="2" t="s">
        <v>561</v>
      </c>
      <c r="H884" s="2" t="s">
        <v>72</v>
      </c>
      <c r="I884" s="3" t="str">
        <f>IFERROR(__xludf.DUMMYFUNCTION("GOOGLETRANSLATE(C884,""fr"",""en"")"),"On the satisfaction side, I can not give my opinion because no claim to declare. (So ​​much the better)
But price level, my contract increased by 60%. (Bof).
")</f>
        <v>On the satisfaction side, I can not give my opinion because no claim to declare. (So ​​much the better)
But price level, my contract increased by 60%. (Bof).
</v>
      </c>
    </row>
    <row r="885" ht="15.75" customHeight="1">
      <c r="A885" s="2">
        <v>1.0</v>
      </c>
      <c r="B885" s="2" t="s">
        <v>2437</v>
      </c>
      <c r="C885" s="2" t="s">
        <v>2438</v>
      </c>
      <c r="D885" s="2" t="s">
        <v>1971</v>
      </c>
      <c r="E885" s="2" t="s">
        <v>91</v>
      </c>
      <c r="F885" s="2" t="s">
        <v>15</v>
      </c>
      <c r="G885" s="2" t="s">
        <v>2439</v>
      </c>
      <c r="H885" s="2" t="s">
        <v>255</v>
      </c>
      <c r="I885" s="3" t="str">
        <f>IFERROR(__xludf.DUMMYFUNCTION("GOOGLETRANSLATE(C885,""fr"",""en"")"),"Deplorable customer service
I was very satisfied with the Amaguiz service but since the change towards Groupama ... Nothing has been going more.
An unpleasant customer service, I might not have had to call at 6 p.m. ... For the simple request for a civi"&amp;"l liability certificate, we took with me a tone of the most condescending to the limit of being yelled at. Obviously I was disturbing. Beyond the fact that I would have preferred to have this document on my web space ... but it was not there.
I clearly l"&amp;"ost on the change.
Go your way.
")</f>
        <v>Deplorable customer service
I was very satisfied with the Amaguiz service but since the change towards Groupama ... Nothing has been going more.
An unpleasant customer service, I might not have had to call at 6 p.m. ... For the simple request for a civil liability certificate, we took with me a tone of the most condescending to the limit of being yelled at. Obviously I was disturbing. Beyond the fact that I would have preferred to have this document on my web space ... but it was not there.
I clearly lost on the change.
Go your way.
</v>
      </c>
    </row>
    <row r="886" ht="15.75" customHeight="1">
      <c r="A886" s="2">
        <v>3.0</v>
      </c>
      <c r="B886" s="2" t="s">
        <v>2440</v>
      </c>
      <c r="C886" s="2" t="s">
        <v>2441</v>
      </c>
      <c r="D886" s="2" t="s">
        <v>185</v>
      </c>
      <c r="E886" s="2" t="s">
        <v>31</v>
      </c>
      <c r="F886" s="2" t="s">
        <v>15</v>
      </c>
      <c r="G886" s="2" t="s">
        <v>2155</v>
      </c>
      <c r="H886" s="2" t="s">
        <v>125</v>
      </c>
      <c r="I886" s="3" t="str">
        <f>IFERROR(__xludf.DUMMYFUNCTION("GOOGLETRANSLATE(C886,""fr"",""en"")"),"Really effective
Thank you
Very precise, speed.
Very happy with the information provided.
I recommend this mutual.
Very good value for money and price.")</f>
        <v>Really effective
Thank you
Very precise, speed.
Very happy with the information provided.
I recommend this mutual.
Very good value for money and price.</v>
      </c>
    </row>
    <row r="887" ht="15.75" customHeight="1">
      <c r="A887" s="2">
        <v>1.0</v>
      </c>
      <c r="B887" s="2" t="s">
        <v>2442</v>
      </c>
      <c r="C887" s="2" t="s">
        <v>2443</v>
      </c>
      <c r="D887" s="2" t="s">
        <v>190</v>
      </c>
      <c r="E887" s="2" t="s">
        <v>31</v>
      </c>
      <c r="F887" s="2" t="s">
        <v>15</v>
      </c>
      <c r="G887" s="2" t="s">
        <v>2444</v>
      </c>
      <c r="H887" s="2" t="s">
        <v>195</v>
      </c>
      <c r="I887" s="3" t="str">
        <f>IFERROR(__xludf.DUMMYFUNCTION("GOOGLETRANSLATE(C887,""fr"",""en"")"),"Extremely disappointed ... very difficult to reach. Very difficult to change my personal data. I strongly advise against this mutual. It is the more expensive for the services offered. No birth premium.")</f>
        <v>Extremely disappointed ... very difficult to reach. Very difficult to change my personal data. I strongly advise against this mutual. It is the more expensive for the services offered. No birth premium.</v>
      </c>
    </row>
    <row r="888" ht="15.75" customHeight="1">
      <c r="A888" s="2">
        <v>1.0</v>
      </c>
      <c r="B888" s="2" t="s">
        <v>2445</v>
      </c>
      <c r="C888" s="2" t="s">
        <v>2446</v>
      </c>
      <c r="D888" s="2" t="s">
        <v>30</v>
      </c>
      <c r="E888" s="2" t="s">
        <v>31</v>
      </c>
      <c r="F888" s="2" t="s">
        <v>15</v>
      </c>
      <c r="G888" s="2" t="s">
        <v>2447</v>
      </c>
      <c r="H888" s="2" t="s">
        <v>168</v>
      </c>
      <c r="I888" s="3" t="str">
        <f>IFERROR(__xludf.DUMMYFUNCTION("GOOGLETRANSLATE(C888,""fr"",""en"")"),"The only mutual company organized so as not to be in contact with its insured or answer them")</f>
        <v>The only mutual company organized so as not to be in contact with its insured or answer them</v>
      </c>
    </row>
    <row r="889" ht="15.75" customHeight="1">
      <c r="A889" s="2">
        <v>5.0</v>
      </c>
      <c r="B889" s="2" t="s">
        <v>2448</v>
      </c>
      <c r="C889" s="2" t="s">
        <v>2449</v>
      </c>
      <c r="D889" s="2" t="s">
        <v>1891</v>
      </c>
      <c r="E889" s="2" t="s">
        <v>25</v>
      </c>
      <c r="F889" s="2" t="s">
        <v>15</v>
      </c>
      <c r="G889" s="2" t="s">
        <v>2450</v>
      </c>
      <c r="H889" s="2" t="s">
        <v>93</v>
      </c>
      <c r="I889" s="3" t="str">
        <f>IFERROR(__xludf.DUMMYFUNCTION("GOOGLETRANSLATE(C889,""fr"",""en"")"),"I have been at Assurbonplan a TMAX 530 for two years. And to date, I am satisfied with my insurer.")</f>
        <v>I have been at Assurbonplan a TMAX 530 for two years. And to date, I am satisfied with my insurer.</v>
      </c>
    </row>
    <row r="890" ht="15.75" customHeight="1">
      <c r="A890" s="2">
        <v>4.0</v>
      </c>
      <c r="B890" s="2" t="s">
        <v>2451</v>
      </c>
      <c r="C890" s="2" t="s">
        <v>2452</v>
      </c>
      <c r="D890" s="2" t="s">
        <v>13</v>
      </c>
      <c r="E890" s="2" t="s">
        <v>14</v>
      </c>
      <c r="F890" s="2" t="s">
        <v>15</v>
      </c>
      <c r="G890" s="2" t="s">
        <v>2112</v>
      </c>
      <c r="H890" s="2" t="s">
        <v>334</v>
      </c>
      <c r="I890" s="3" t="str">
        <f>IFERROR(__xludf.DUMMYFUNCTION("GOOGLETRANSLATE(C890,""fr"",""en"")"),"Patient and attentive advisor for the subscription of insurance.
In addition, prices are reasonable compared to other insurances that benefit from people.")</f>
        <v>Patient and attentive advisor for the subscription of insurance.
In addition, prices are reasonable compared to other insurances that benefit from people.</v>
      </c>
    </row>
    <row r="891" ht="15.75" customHeight="1">
      <c r="A891" s="2">
        <v>1.0</v>
      </c>
      <c r="B891" s="2" t="s">
        <v>2453</v>
      </c>
      <c r="C891" s="2" t="s">
        <v>2454</v>
      </c>
      <c r="D891" s="2" t="s">
        <v>190</v>
      </c>
      <c r="E891" s="2" t="s">
        <v>31</v>
      </c>
      <c r="F891" s="2" t="s">
        <v>15</v>
      </c>
      <c r="G891" s="2" t="s">
        <v>2455</v>
      </c>
      <c r="H891" s="2" t="s">
        <v>287</v>
      </c>
      <c r="I891" s="3" t="str">
        <f>IFERROR(__xludf.DUMMYFUNCTION("GOOGLETRANSLATE(C891,""fr"",""en"")"),"We are in 2019, my termination request dates from 2015, and still not taken into account. The battle is long ... they refuse the termination because they did not have the mail ...")</f>
        <v>We are in 2019, my termination request dates from 2015, and still not taken into account. The battle is long ... they refuse the termination because they did not have the mail ...</v>
      </c>
    </row>
    <row r="892" ht="15.75" customHeight="1">
      <c r="A892" s="2">
        <v>2.0</v>
      </c>
      <c r="B892" s="2" t="s">
        <v>2456</v>
      </c>
      <c r="C892" s="2" t="s">
        <v>2457</v>
      </c>
      <c r="D892" s="2" t="s">
        <v>106</v>
      </c>
      <c r="E892" s="2" t="s">
        <v>31</v>
      </c>
      <c r="F892" s="2" t="s">
        <v>15</v>
      </c>
      <c r="G892" s="2" t="s">
        <v>2458</v>
      </c>
      <c r="H892" s="2" t="s">
        <v>168</v>
      </c>
      <c r="I892" s="3" t="str">
        <f>IFERROR(__xludf.DUMMYFUNCTION("GOOGLETRANSLATE(C892,""fr"",""en"")"),"Hello I just subscribed and stop my old mutual AG2R agents showed up at my work and I already regret having subscribed to this mutual we are on January 27 I am still not taken care of they are not Still not registered with my social security I provided my"&amp;" RIB well and all the requested papers and I am still asked to wait I have lots of medical expenses which are not reimbursed for the moment my so -called blocked file for a 2016 pay sheet that I would not have given. The subscription of this mutual was ma"&amp;"de several months ago and I do not understand that on January 1st we are there. When I see all the bad comments it really does not want I think I will quickly warn my colleagues not to subscribe to this mutual!")</f>
        <v>Hello I just subscribed and stop my old mutual AG2R agents showed up at my work and I already regret having subscribed to this mutual we are on January 27 I am still not taken care of they are not Still not registered with my social security I provided my RIB well and all the requested papers and I am still asked to wait I have lots of medical expenses which are not reimbursed for the moment my so -called blocked file for a 2016 pay sheet that I would not have given. The subscription of this mutual was made several months ago and I do not understand that on January 1st we are there. When I see all the bad comments it really does not want I think I will quickly warn my colleagues not to subscribe to this mutual!</v>
      </c>
    </row>
    <row r="893" ht="15.75" customHeight="1">
      <c r="A893" s="2">
        <v>5.0</v>
      </c>
      <c r="B893" s="2" t="s">
        <v>2459</v>
      </c>
      <c r="C893" s="2" t="s">
        <v>2460</v>
      </c>
      <c r="D893" s="2" t="s">
        <v>20</v>
      </c>
      <c r="E893" s="2" t="s">
        <v>14</v>
      </c>
      <c r="F893" s="2" t="s">
        <v>15</v>
      </c>
      <c r="G893" s="2" t="s">
        <v>136</v>
      </c>
      <c r="H893" s="2" t="s">
        <v>133</v>
      </c>
      <c r="I893" s="3" t="str">
        <f>IFERROR(__xludf.DUMMYFUNCTION("GOOGLETRANSLATE(C893,""fr"",""en"")"),"
Top, very fast price level the most competitive to see over time but for the email tt is perfect as a young driver the best insurance found to read
")</f>
        <v>
Top, very fast price level the most competitive to see over time but for the email tt is perfect as a young driver the best insurance found to read
</v>
      </c>
    </row>
    <row r="894" ht="15.75" customHeight="1">
      <c r="A894" s="2">
        <v>5.0</v>
      </c>
      <c r="B894" s="2" t="s">
        <v>2461</v>
      </c>
      <c r="C894" s="2" t="s">
        <v>2462</v>
      </c>
      <c r="D894" s="2" t="s">
        <v>24</v>
      </c>
      <c r="E894" s="2" t="s">
        <v>25</v>
      </c>
      <c r="F894" s="2" t="s">
        <v>15</v>
      </c>
      <c r="G894" s="2" t="s">
        <v>2463</v>
      </c>
      <c r="H894" s="2" t="s">
        <v>58</v>
      </c>
      <c r="I894" s="3" t="str">
        <f>IFERROR(__xludf.DUMMYFUNCTION("GOOGLETRANSLATE(C894,""fr"",""en"")"),"Good warranty/price ratio. With taking into account the government's circulating restriction.
Good responsiveness on my requests.
Having never had a claim, I have no opinion on the care.")</f>
        <v>Good warranty/price ratio. With taking into account the government's circulating restriction.
Good responsiveness on my requests.
Having never had a claim, I have no opinion on the care.</v>
      </c>
    </row>
    <row r="895" ht="15.75" customHeight="1">
      <c r="A895" s="2">
        <v>3.0</v>
      </c>
      <c r="B895" s="2" t="s">
        <v>2464</v>
      </c>
      <c r="C895" s="2" t="s">
        <v>2465</v>
      </c>
      <c r="D895" s="2" t="s">
        <v>66</v>
      </c>
      <c r="E895" s="2" t="s">
        <v>14</v>
      </c>
      <c r="F895" s="2" t="s">
        <v>15</v>
      </c>
      <c r="G895" s="2" t="s">
        <v>2466</v>
      </c>
      <c r="H895" s="2" t="s">
        <v>208</v>
      </c>
      <c r="I895" s="3" t="str">
        <f>IFERROR(__xludf.DUMMYFUNCTION("GOOGLETRANSLATE(C895,""fr"",""en"")"),"I am not currently a customer, but user experiences make me zero want to go further. I am the advice and I avoid the lowcost model.")</f>
        <v>I am not currently a customer, but user experiences make me zero want to go further. I am the advice and I avoid the lowcost model.</v>
      </c>
    </row>
    <row r="896" ht="15.75" customHeight="1">
      <c r="A896" s="2">
        <v>4.0</v>
      </c>
      <c r="B896" s="2" t="s">
        <v>2467</v>
      </c>
      <c r="C896" s="2" t="s">
        <v>2468</v>
      </c>
      <c r="D896" s="2" t="s">
        <v>13</v>
      </c>
      <c r="E896" s="2" t="s">
        <v>14</v>
      </c>
      <c r="F896" s="2" t="s">
        <v>15</v>
      </c>
      <c r="G896" s="2" t="s">
        <v>1425</v>
      </c>
      <c r="H896" s="2" t="s">
        <v>133</v>
      </c>
      <c r="I896" s="3" t="str">
        <f>IFERROR(__xludf.DUMMYFUNCTION("GOOGLETRANSLATE(C896,""fr"",""en"")"),"Very professional and pleasant interlocutor. Despite a surprise at the rate level,
60 € more than announced on a comparator, he knew how to find me a solution, I recommend his seriousness.")</f>
        <v>Very professional and pleasant interlocutor. Despite a surprise at the rate level,
60 € more than announced on a comparator, he knew how to find me a solution, I recommend his seriousness.</v>
      </c>
    </row>
    <row r="897" ht="15.75" customHeight="1">
      <c r="A897" s="2">
        <v>3.0</v>
      </c>
      <c r="B897" s="2" t="s">
        <v>2469</v>
      </c>
      <c r="C897" s="2" t="s">
        <v>2470</v>
      </c>
      <c r="D897" s="2" t="s">
        <v>20</v>
      </c>
      <c r="E897" s="2" t="s">
        <v>14</v>
      </c>
      <c r="F897" s="2" t="s">
        <v>15</v>
      </c>
      <c r="G897" s="2" t="s">
        <v>672</v>
      </c>
      <c r="H897" s="2" t="s">
        <v>149</v>
      </c>
      <c r="I897" s="3" t="str">
        <f>IFERROR(__xludf.DUMMYFUNCTION("GOOGLETRANSLATE(C897,""fr"",""en"")"),"You complicate my life. You can be easier instead of annoying the world with such stupidity
Frankly that it is annoying.
")</f>
        <v>You complicate my life. You can be easier instead of annoying the world with such stupidity
Frankly that it is annoying.
</v>
      </c>
    </row>
    <row r="898" ht="15.75" customHeight="1">
      <c r="A898" s="2">
        <v>5.0</v>
      </c>
      <c r="B898" s="2" t="s">
        <v>2471</v>
      </c>
      <c r="C898" s="2" t="s">
        <v>2472</v>
      </c>
      <c r="D898" s="2" t="s">
        <v>13</v>
      </c>
      <c r="E898" s="2" t="s">
        <v>14</v>
      </c>
      <c r="F898" s="2" t="s">
        <v>15</v>
      </c>
      <c r="G898" s="2" t="s">
        <v>741</v>
      </c>
      <c r="H898" s="2" t="s">
        <v>125</v>
      </c>
      <c r="I898" s="3" t="str">
        <f>IFERROR(__xludf.DUMMYFUNCTION("GOOGLETRANSLATE(C898,""fr"",""en"")"),"Satisfied with the service, I was able to do my contract on the phone, and the person was great!
Very kind and attentive!
I was able to choose the best offer and especially much cheaper than some competitors
I recommend")</f>
        <v>Satisfied with the service, I was able to do my contract on the phone, and the person was great!
Very kind and attentive!
I was able to choose the best offer and especially much cheaper than some competitors
I recommend</v>
      </c>
    </row>
    <row r="899" ht="15.75" customHeight="1">
      <c r="A899" s="2">
        <v>4.0</v>
      </c>
      <c r="B899" s="2" t="s">
        <v>2473</v>
      </c>
      <c r="C899" s="2" t="s">
        <v>2474</v>
      </c>
      <c r="D899" s="2" t="s">
        <v>20</v>
      </c>
      <c r="E899" s="2" t="s">
        <v>14</v>
      </c>
      <c r="F899" s="2" t="s">
        <v>15</v>
      </c>
      <c r="G899" s="2" t="s">
        <v>316</v>
      </c>
      <c r="H899" s="2" t="s">
        <v>133</v>
      </c>
      <c r="I899" s="3" t="str">
        <f>IFERROR(__xludf.DUMMYFUNCTION("GOOGLETRANSLATE(C899,""fr"",""en"")"),"Good quick and without problem service I recommend it is insurance to great pleasure I will even make a home insurance quote for my stepfather and sister")</f>
        <v>Good quick and without problem service I recommend it is insurance to great pleasure I will even make a home insurance quote for my stepfather and sister</v>
      </c>
    </row>
    <row r="900" ht="15.75" customHeight="1">
      <c r="A900" s="2">
        <v>2.0</v>
      </c>
      <c r="B900" s="2" t="s">
        <v>2475</v>
      </c>
      <c r="C900" s="2" t="s">
        <v>2476</v>
      </c>
      <c r="D900" s="2" t="s">
        <v>13</v>
      </c>
      <c r="E900" s="2" t="s">
        <v>14</v>
      </c>
      <c r="F900" s="2" t="s">
        <v>15</v>
      </c>
      <c r="G900" s="2" t="s">
        <v>2477</v>
      </c>
      <c r="H900" s="2" t="s">
        <v>58</v>
      </c>
      <c r="I900" s="3" t="str">
        <f>IFERROR(__xludf.DUMMYFUNCTION("GOOGLETRANSLATE(C900,""fr"",""en"")"),"I am satisfied with the service provision proposed although it is unpleasant to give the detail of my RIB via the net before even to see the details of my contract")</f>
        <v>I am satisfied with the service provision proposed although it is unpleasant to give the detail of my RIB via the net before even to see the details of my contract</v>
      </c>
    </row>
    <row r="901" ht="15.75" customHeight="1">
      <c r="A901" s="2">
        <v>1.0</v>
      </c>
      <c r="B901" s="2" t="s">
        <v>2478</v>
      </c>
      <c r="C901" s="2" t="s">
        <v>2479</v>
      </c>
      <c r="D901" s="2" t="s">
        <v>20</v>
      </c>
      <c r="E901" s="2" t="s">
        <v>14</v>
      </c>
      <c r="F901" s="2" t="s">
        <v>15</v>
      </c>
      <c r="G901" s="2" t="s">
        <v>2480</v>
      </c>
      <c r="H901" s="2" t="s">
        <v>1214</v>
      </c>
      <c r="I901" s="3" t="str">
        <f>IFERROR(__xludf.DUMMYFUNCTION("GOOGLETRANSLATE(C901,""fr"",""en"")"),"Impossible to reach them even in the event of a claim, resolved to pay more assistance (easily reachable) to leave quiet. Following a car change, phew release.")</f>
        <v>Impossible to reach them even in the event of a claim, resolved to pay more assistance (easily reachable) to leave quiet. Following a car change, phew release.</v>
      </c>
    </row>
    <row r="902" ht="15.75" customHeight="1">
      <c r="A902" s="2">
        <v>2.0</v>
      </c>
      <c r="B902" s="2" t="s">
        <v>2481</v>
      </c>
      <c r="C902" s="2" t="s">
        <v>2482</v>
      </c>
      <c r="D902" s="2" t="s">
        <v>280</v>
      </c>
      <c r="E902" s="2" t="s">
        <v>91</v>
      </c>
      <c r="F902" s="2" t="s">
        <v>15</v>
      </c>
      <c r="G902" s="2" t="s">
        <v>2483</v>
      </c>
      <c r="H902" s="2" t="s">
        <v>287</v>
      </c>
      <c r="I902" s="3" t="str">
        <f>IFERROR(__xludf.DUMMYFUNCTION("GOOGLETRANSLATE(C902,""fr"",""en"")"),"Always awaiting a refund since the end of December. They are overwhelmed! Error on their part, chalet sold on December 6, 2018 but termination made on January 31, 2019 (?). So complaint in progress, but still nothing. Call on my part in the social seat on"&amp;" February 25 and March 12, but it still does not move !!!!! Samples have been made wrongly, but not reimbursed. I wait.")</f>
        <v>Always awaiting a refund since the end of December. They are overwhelmed! Error on their part, chalet sold on December 6, 2018 but termination made on January 31, 2019 (?). So complaint in progress, but still nothing. Call on my part in the social seat on February 25 and March 12, but it still does not move !!!!! Samples have been made wrongly, but not reimbursed. I wait.</v>
      </c>
    </row>
    <row r="903" ht="15.75" customHeight="1">
      <c r="A903" s="2">
        <v>3.0</v>
      </c>
      <c r="B903" s="2" t="s">
        <v>2484</v>
      </c>
      <c r="C903" s="2" t="s">
        <v>2485</v>
      </c>
      <c r="D903" s="2" t="s">
        <v>280</v>
      </c>
      <c r="E903" s="2" t="s">
        <v>14</v>
      </c>
      <c r="F903" s="2" t="s">
        <v>15</v>
      </c>
      <c r="G903" s="2" t="s">
        <v>2486</v>
      </c>
      <c r="H903" s="2" t="s">
        <v>195</v>
      </c>
      <c r="I903" s="3" t="str">
        <f>IFERROR(__xludf.DUMMYFUNCTION("GOOGLETRANSLATE(C903,""fr"",""en"")"),"An accident caused by a third party, a non -repairable car. For the past month, we have been waiting for the reimbursement, blocked because the Epavisist claims the croque and the crank. It was no longer the Matmut I have known who had values.")</f>
        <v>An accident caused by a third party, a non -repairable car. For the past month, we have been waiting for the reimbursement, blocked because the Epavisist claims the croque and the crank. It was no longer the Matmut I have known who had values.</v>
      </c>
    </row>
    <row r="904" ht="15.75" customHeight="1">
      <c r="A904" s="2">
        <v>5.0</v>
      </c>
      <c r="B904" s="2" t="s">
        <v>2487</v>
      </c>
      <c r="C904" s="2" t="s">
        <v>2488</v>
      </c>
      <c r="D904" s="2" t="s">
        <v>13</v>
      </c>
      <c r="E904" s="2" t="s">
        <v>14</v>
      </c>
      <c r="F904" s="2" t="s">
        <v>15</v>
      </c>
      <c r="G904" s="2" t="s">
        <v>81</v>
      </c>
      <c r="H904" s="2" t="s">
        <v>17</v>
      </c>
      <c r="I904" s="3" t="str">
        <f>IFERROR(__xludf.DUMMYFUNCTION("GOOGLETRANSLATE(C904,""fr"",""en"")"),"I am satisfied, perfect welcome, patient and kind staff, very suitable price, efficient and easy staff, easy to access, top service")</f>
        <v>I am satisfied, perfect welcome, patient and kind staff, very suitable price, efficient and easy staff, easy to access, top service</v>
      </c>
    </row>
    <row r="905" ht="15.75" customHeight="1">
      <c r="A905" s="2">
        <v>1.0</v>
      </c>
      <c r="B905" s="2" t="s">
        <v>2489</v>
      </c>
      <c r="C905" s="2" t="s">
        <v>2490</v>
      </c>
      <c r="D905" s="2" t="s">
        <v>513</v>
      </c>
      <c r="E905" s="2" t="s">
        <v>91</v>
      </c>
      <c r="F905" s="2" t="s">
        <v>15</v>
      </c>
      <c r="G905" s="2" t="s">
        <v>71</v>
      </c>
      <c r="H905" s="2" t="s">
        <v>72</v>
      </c>
      <c r="I905" s="3" t="str">
        <f>IFERROR(__xludf.DUMMYFUNCTION("GOOGLETRANSLATE(C905,""fr"",""en"")"),"Too bad I can't put Zero
pcq really they don't mind a star
Chére insurance for nothing
sinister decalré for 1 year and a half and zero euro reimburse
their experts are unreachable and advisable are unhappy
TO FLEE")</f>
        <v>Too bad I can't put Zero
pcq really they don't mind a star
Chére insurance for nothing
sinister decalré for 1 year and a half and zero euro reimburse
their experts are unreachable and advisable are unhappy
TO FLEE</v>
      </c>
    </row>
    <row r="906" ht="15.75" customHeight="1">
      <c r="A906" s="2">
        <v>4.0</v>
      </c>
      <c r="B906" s="2" t="s">
        <v>2491</v>
      </c>
      <c r="C906" s="2" t="s">
        <v>2492</v>
      </c>
      <c r="D906" s="2" t="s">
        <v>147</v>
      </c>
      <c r="E906" s="2" t="s">
        <v>31</v>
      </c>
      <c r="F906" s="2" t="s">
        <v>15</v>
      </c>
      <c r="G906" s="2" t="s">
        <v>534</v>
      </c>
      <c r="H906" s="2" t="s">
        <v>535</v>
      </c>
      <c r="I906" s="3" t="str">
        <f>IFERROR(__xludf.DUMMYFUNCTION("GOOGLETRANSLATE(C906,""fr"",""en"")"),"I have been in this mutual insurance company for 4 years and I am completely satisfied. In particular of the clear health network and the speed with which my requests are taken into account.")</f>
        <v>I have been in this mutual insurance company for 4 years and I am completely satisfied. In particular of the clear health network and the speed with which my requests are taken into account.</v>
      </c>
    </row>
    <row r="907" ht="15.75" customHeight="1">
      <c r="A907" s="2">
        <v>4.0</v>
      </c>
      <c r="B907" s="2" t="s">
        <v>2493</v>
      </c>
      <c r="C907" s="2" t="s">
        <v>2494</v>
      </c>
      <c r="D907" s="2" t="s">
        <v>190</v>
      </c>
      <c r="E907" s="2" t="s">
        <v>31</v>
      </c>
      <c r="F907" s="2" t="s">
        <v>15</v>
      </c>
      <c r="G907" s="2" t="s">
        <v>2495</v>
      </c>
      <c r="H907" s="2" t="s">
        <v>358</v>
      </c>
      <c r="I907" s="3" t="str">
        <f>IFERROR(__xludf.DUMMYFUNCTION("GOOGLETRANSLATE(C907,""fr"",""en"")"),"Very satisfied with the customer service services. Friendly, good welcome by phone, courteous, person of good advice, very pleasant.")</f>
        <v>Very satisfied with the customer service services. Friendly, good welcome by phone, courteous, person of good advice, very pleasant.</v>
      </c>
    </row>
    <row r="908" ht="15.75" customHeight="1">
      <c r="A908" s="2">
        <v>5.0</v>
      </c>
      <c r="B908" s="2" t="s">
        <v>2496</v>
      </c>
      <c r="C908" s="2" t="s">
        <v>2497</v>
      </c>
      <c r="D908" s="2" t="s">
        <v>13</v>
      </c>
      <c r="E908" s="2" t="s">
        <v>14</v>
      </c>
      <c r="F908" s="2" t="s">
        <v>15</v>
      </c>
      <c r="G908" s="2" t="s">
        <v>337</v>
      </c>
      <c r="H908" s="2" t="s">
        <v>125</v>
      </c>
      <c r="I908" s="3" t="str">
        <f>IFERROR(__xludf.DUMMYFUNCTION("GOOGLETRANSLATE(C908,""fr"",""en"")"),"Everything is perfectly explained. Thank you. Everything is perfect. I highly recommend this insurance company because customer service is very friendly and the prices are really attractive.")</f>
        <v>Everything is perfectly explained. Thank you. Everything is perfect. I highly recommend this insurance company because customer service is very friendly and the prices are really attractive.</v>
      </c>
    </row>
    <row r="909" ht="15.75" customHeight="1">
      <c r="A909" s="2">
        <v>1.0</v>
      </c>
      <c r="B909" s="2" t="s">
        <v>2498</v>
      </c>
      <c r="C909" s="2" t="s">
        <v>2499</v>
      </c>
      <c r="D909" s="2" t="s">
        <v>13</v>
      </c>
      <c r="E909" s="2" t="s">
        <v>14</v>
      </c>
      <c r="F909" s="2" t="s">
        <v>15</v>
      </c>
      <c r="G909" s="2" t="s">
        <v>2500</v>
      </c>
      <c r="H909" s="2" t="s">
        <v>144</v>
      </c>
      <c r="I909" s="3" t="str">
        <f>IFERROR(__xludf.DUMMYFUNCTION("GOOGLETRANSLATE(C909,""fr"",""en"")"),"I am in any risk at home, I had a non -responsible disaster in March 2019, I sent the observation signed by the opposing party in the wake, I used their approved garage to make the repairs and I to advance the costs of the franchise.
Except that since th"&amp;"en I have no news from them, not an email or an call or an SMS to inform me of the progress of the reimbursement of the franchise. The section followed by the claim of their site is reduced to nothing, they just indicate that they have received the docume"&amp;"nts in March (and we are in September).
When I call them they refer the fault on the opposing insurance but given their attitude I wonder if the file did not stay at home.
I just opened a complaint this day to try to find a way out of this situation and"&amp;" they tell me a 45 -day processing time ...
So indeed the insurance is not expensive but it is necessary to have time to waste and not count on the reimbursement of the franchises. And again this is a minor loss, I do not even imagine in the event of a s"&amp;"erious accident ...")</f>
        <v>I am in any risk at home, I had a non -responsible disaster in March 2019, I sent the observation signed by the opposing party in the wake, I used their approved garage to make the repairs and I to advance the costs of the franchise.
Except that since then I have no news from them, not an email or an call or an SMS to inform me of the progress of the reimbursement of the franchise. The section followed by the claim of their site is reduced to nothing, they just indicate that they have received the documents in March (and we are in September).
When I call them they refer the fault on the opposing insurance but given their attitude I wonder if the file did not stay at home.
I just opened a complaint this day to try to find a way out of this situation and they tell me a 45 -day processing time ...
So indeed the insurance is not expensive but it is necessary to have time to waste and not count on the reimbursement of the franchises. And again this is a minor loss, I do not even imagine in the event of a serious accident ...</v>
      </c>
    </row>
    <row r="910" ht="15.75" customHeight="1">
      <c r="A910" s="2">
        <v>4.0</v>
      </c>
      <c r="B910" s="2" t="s">
        <v>2501</v>
      </c>
      <c r="C910" s="2" t="s">
        <v>2502</v>
      </c>
      <c r="D910" s="2" t="s">
        <v>147</v>
      </c>
      <c r="E910" s="2" t="s">
        <v>31</v>
      </c>
      <c r="F910" s="2" t="s">
        <v>15</v>
      </c>
      <c r="G910" s="2" t="s">
        <v>2069</v>
      </c>
      <c r="H910" s="2" t="s">
        <v>77</v>
      </c>
      <c r="I910" s="3" t="str">
        <f>IFERROR(__xludf.DUMMYFUNCTION("GOOGLETRANSLATE(C910,""fr"",""en"")"),"We are very satisfied with this mutual insurance company, the reimbursements are very fast and the customer service very attentive and responsive, for the moment only good ...")</f>
        <v>We are very satisfied with this mutual insurance company, the reimbursements are very fast and the customer service very attentive and responsive, for the moment only good ...</v>
      </c>
    </row>
    <row r="911" ht="15.75" customHeight="1">
      <c r="A911" s="2">
        <v>4.0</v>
      </c>
      <c r="B911" s="2" t="s">
        <v>2503</v>
      </c>
      <c r="C911" s="2" t="s">
        <v>2504</v>
      </c>
      <c r="D911" s="2" t="s">
        <v>13</v>
      </c>
      <c r="E911" s="2" t="s">
        <v>14</v>
      </c>
      <c r="F911" s="2" t="s">
        <v>15</v>
      </c>
      <c r="G911" s="2" t="s">
        <v>861</v>
      </c>
      <c r="H911" s="2" t="s">
        <v>149</v>
      </c>
      <c r="I911" s="3" t="str">
        <f>IFERROR(__xludf.DUMMYFUNCTION("GOOGLETRANSLATE(C911,""fr"",""en"")"),"value for money and degressive franchise good, super customer service at such
Reactivity and clear answer to questions, implementation of very fast quotes")</f>
        <v>value for money and degressive franchise good, super customer service at such
Reactivity and clear answer to questions, implementation of very fast quotes</v>
      </c>
    </row>
    <row r="912" ht="15.75" customHeight="1">
      <c r="A912" s="2">
        <v>4.0</v>
      </c>
      <c r="B912" s="2" t="s">
        <v>2505</v>
      </c>
      <c r="C912" s="2" t="s">
        <v>2506</v>
      </c>
      <c r="D912" s="2" t="s">
        <v>80</v>
      </c>
      <c r="E912" s="2" t="s">
        <v>25</v>
      </c>
      <c r="F912" s="2" t="s">
        <v>15</v>
      </c>
      <c r="G912" s="2" t="s">
        <v>867</v>
      </c>
      <c r="H912" s="2" t="s">
        <v>72</v>
      </c>
      <c r="I912" s="3" t="str">
        <f>IFERROR(__xludf.DUMMYFUNCTION("GOOGLETRANSLATE(C912,""fr"",""en"")"),"Clear information and good listening to advisers.
The service is fast and the award of the online contract is simple and quick.
The prices are very interesting and offer many adjustable options")</f>
        <v>Clear information and good listening to advisers.
The service is fast and the award of the online contract is simple and quick.
The prices are very interesting and offer many adjustable options</v>
      </c>
    </row>
    <row r="913" ht="15.75" customHeight="1">
      <c r="A913" s="2">
        <v>4.0</v>
      </c>
      <c r="B913" s="2" t="s">
        <v>2507</v>
      </c>
      <c r="C913" s="2" t="s">
        <v>2508</v>
      </c>
      <c r="D913" s="2" t="s">
        <v>20</v>
      </c>
      <c r="E913" s="2" t="s">
        <v>14</v>
      </c>
      <c r="F913" s="2" t="s">
        <v>15</v>
      </c>
      <c r="G913" s="2" t="s">
        <v>2509</v>
      </c>
      <c r="H913" s="2" t="s">
        <v>72</v>
      </c>
      <c r="I913" s="3" t="str">
        <f>IFERROR(__xludf.DUMMYFUNCTION("GOOGLETRANSLATE(C913,""fr"",""en"")"),"The price is correct, but I have not yet had the opportunity to test insurance in the event of a claim.
I would like the connection with Blablacar to be more direct (the right Blablacar drivers could have discounts)")</f>
        <v>The price is correct, but I have not yet had the opportunity to test insurance in the event of a claim.
I would like the connection with Blablacar to be more direct (the right Blablacar drivers could have discounts)</v>
      </c>
    </row>
    <row r="914" ht="15.75" customHeight="1">
      <c r="A914" s="2">
        <v>1.0</v>
      </c>
      <c r="B914" s="2" t="s">
        <v>2510</v>
      </c>
      <c r="C914" s="2" t="s">
        <v>2511</v>
      </c>
      <c r="D914" s="2" t="s">
        <v>190</v>
      </c>
      <c r="E914" s="2" t="s">
        <v>31</v>
      </c>
      <c r="F914" s="2" t="s">
        <v>15</v>
      </c>
      <c r="G914" s="2" t="s">
        <v>2512</v>
      </c>
      <c r="H914" s="2" t="s">
        <v>644</v>
      </c>
      <c r="I914" s="3" t="str">
        <f>IFERROR(__xludf.DUMMYFUNCTION("GOOGLETRANSLATE(C914,""fr"",""en"")"),"I left my previous mutual to have more guarantees and agreeing to pay more.
I trusted the broker and I can assure you that I will have made my break my leg better.
You can send all the letters you want or telephoner they will make promises they never ho"&amp;"ld, I even had the quality that has done nothing.
Today they relax for a March invoice that I have already sent twice.
I am not talking about requests for taking care of an answer every 36 months.
And all this for 214 euros per month.
I strongly advis"&amp;"e against and for my part I would no longer be at the end of the year.")</f>
        <v>I left my previous mutual to have more guarantees and agreeing to pay more.
I trusted the broker and I can assure you that I will have made my break my leg better.
You can send all the letters you want or telephoner they will make promises they never hold, I even had the quality that has done nothing.
Today they relax for a March invoice that I have already sent twice.
I am not talking about requests for taking care of an answer every 36 months.
And all this for 214 euros per month.
I strongly advise against and for my part I would no longer be at the end of the year.</v>
      </c>
    </row>
    <row r="915" ht="15.75" customHeight="1">
      <c r="A915" s="2">
        <v>3.0</v>
      </c>
      <c r="B915" s="2" t="s">
        <v>2513</v>
      </c>
      <c r="C915" s="2" t="s">
        <v>2514</v>
      </c>
      <c r="D915" s="2" t="s">
        <v>185</v>
      </c>
      <c r="E915" s="2" t="s">
        <v>31</v>
      </c>
      <c r="F915" s="2" t="s">
        <v>15</v>
      </c>
      <c r="G915" s="2" t="s">
        <v>265</v>
      </c>
      <c r="H915" s="2" t="s">
        <v>125</v>
      </c>
      <c r="I915" s="3" t="str">
        <f>IFERROR(__xludf.DUMMYFUNCTION("GOOGLETRANSLATE(C915,""fr"",""en"")"),"During validation, awaits the 1st year to pronounce me. The prices are attractive, see the continuation for the speed and responsiveness of reimbursements.")</f>
        <v>During validation, awaits the 1st year to pronounce me. The prices are attractive, see the continuation for the speed and responsiveness of reimbursements.</v>
      </c>
    </row>
    <row r="916" ht="15.75" customHeight="1">
      <c r="A916" s="2">
        <v>5.0</v>
      </c>
      <c r="B916" s="2" t="s">
        <v>2515</v>
      </c>
      <c r="C916" s="2" t="s">
        <v>2516</v>
      </c>
      <c r="D916" s="2" t="s">
        <v>20</v>
      </c>
      <c r="E916" s="2" t="s">
        <v>14</v>
      </c>
      <c r="F916" s="2" t="s">
        <v>15</v>
      </c>
      <c r="G916" s="2" t="s">
        <v>274</v>
      </c>
      <c r="H916" s="2" t="s">
        <v>27</v>
      </c>
      <c r="I916" s="3" t="str">
        <f>IFERROR(__xludf.DUMMYFUNCTION("GOOGLETRANSLATE(C916,""fr"",""en"")"),"Given that it is my 2nd car contract at home I am very satisfied even level rate this is very reasonable with this fact I want to specify that I am so satisfied with your offers")</f>
        <v>Given that it is my 2nd car contract at home I am very satisfied even level rate this is very reasonable with this fact I want to specify that I am so satisfied with your offers</v>
      </c>
    </row>
    <row r="917" ht="15.75" customHeight="1">
      <c r="A917" s="2">
        <v>3.0</v>
      </c>
      <c r="B917" s="2" t="s">
        <v>2517</v>
      </c>
      <c r="C917" s="2" t="s">
        <v>2518</v>
      </c>
      <c r="D917" s="2" t="s">
        <v>61</v>
      </c>
      <c r="E917" s="2" t="s">
        <v>14</v>
      </c>
      <c r="F917" s="2" t="s">
        <v>15</v>
      </c>
      <c r="G917" s="2" t="s">
        <v>1840</v>
      </c>
      <c r="H917" s="2" t="s">
        <v>445</v>
      </c>
      <c r="I917" s="3" t="str">
        <f>IFERROR(__xludf.DUMMYFUNCTION("GOOGLETRANSLATE(C917,""fr"",""en"")"),"Difficult to respond to the 2nd I have never called on your services.
On the other hand I remain disappointed with my car rate, first because it has also increased, but also that curiosity I went to your site, and I found by simulation an all risk contra"&amp;"ct at 210 € less, that is 30% less.
I have an appointment in your Vitré agency on November 22 to talk about it.
Beyond understanding I want an effort, because I have everything at home, including savings.")</f>
        <v>Difficult to respond to the 2nd I have never called on your services.
On the other hand I remain disappointed with my car rate, first because it has also increased, but also that curiosity I went to your site, and I found by simulation an all risk contract at 210 € less, that is 30% less.
I have an appointment in your Vitré agency on November 22 to talk about it.
Beyond understanding I want an effort, because I have everything at home, including savings.</v>
      </c>
    </row>
    <row r="918" ht="15.75" customHeight="1">
      <c r="A918" s="2">
        <v>1.0</v>
      </c>
      <c r="B918" s="2" t="s">
        <v>2519</v>
      </c>
      <c r="C918" s="2" t="s">
        <v>2520</v>
      </c>
      <c r="D918" s="2" t="s">
        <v>307</v>
      </c>
      <c r="E918" s="2" t="s">
        <v>31</v>
      </c>
      <c r="F918" s="2" t="s">
        <v>15</v>
      </c>
      <c r="G918" s="2" t="s">
        <v>830</v>
      </c>
      <c r="H918" s="2" t="s">
        <v>535</v>
      </c>
      <c r="I918" s="3" t="str">
        <f>IFERROR(__xludf.DUMMYFUNCTION("GOOGLETRANSLATE(C918,""fr"",""en"")"),"My Mercer references: 23075126
I have absolutely nothing to hide, on the contrary!
I am neither paid by any competing box, I am not a robot either to put false advice as we see every day for everything and anything.
I just want to let everyone know"&amp;" that this mutual has made me struggle for more than 3 months to reimburse me hospitalization. Despite the sending of originals etc etc, they always find a detail to block payment.
And when I speak of hospitalization, it is a plaque installation+screws"&amp;" at my collarbone following fall. In a clinic having perhaps 1000 people who work there. It is not for a false breast installation in a clinic in the basement, with few references, where there would be a doubt ....
In short, I start to lose patience. O"&amp;"f course I will not let go. It becomes a priority because I lost too much money and especially time to restart them again and again to be entitled to an unfortunate reimbursement.
It is a mutual imposed by the employer but I can tell you that if I was th"&amp;"e decision maker, even free, I will not opt ​​for this mutual.
(I don't even know if they are well classified as a price side)
Now, if you have future reimbursement problems, you will not be able to say that you did not know!
 ")</f>
        <v>My Mercer references: 23075126
I have absolutely nothing to hide, on the contrary!
I am neither paid by any competing box, I am not a robot either to put false advice as we see every day for everything and anything.
I just want to let everyone know that this mutual has made me struggle for more than 3 months to reimburse me hospitalization. Despite the sending of originals etc etc, they always find a detail to block payment.
And when I speak of hospitalization, it is a plaque installation+screws at my collarbone following fall. In a clinic having perhaps 1000 people who work there. It is not for a false breast installation in a clinic in the basement, with few references, where there would be a doubt ....
In short, I start to lose patience. Of course I will not let go. It becomes a priority because I lost too much money and especially time to restart them again and again to be entitled to an unfortunate reimbursement.
It is a mutual imposed by the employer but I can tell you that if I was the decision maker, even free, I will not opt ​​for this mutual.
(I don't even know if they are well classified as a price side)
Now, if you have future reimbursement problems, you will not be able to say that you did not know!
 </v>
      </c>
    </row>
    <row r="919" ht="15.75" customHeight="1">
      <c r="A919" s="2">
        <v>4.0</v>
      </c>
      <c r="B919" s="2" t="s">
        <v>2521</v>
      </c>
      <c r="C919" s="2" t="s">
        <v>2522</v>
      </c>
      <c r="D919" s="2" t="s">
        <v>20</v>
      </c>
      <c r="E919" s="2" t="s">
        <v>14</v>
      </c>
      <c r="F919" s="2" t="s">
        <v>15</v>
      </c>
      <c r="G919" s="2" t="s">
        <v>905</v>
      </c>
      <c r="H919" s="2" t="s">
        <v>133</v>
      </c>
      <c r="I919" s="3" t="str">
        <f>IFERROR(__xludf.DUMMYFUNCTION("GOOGLETRANSLATE(C919,""fr"",""en"")"),"I am able to service. The proposed contracts suit me. The application is easy to use. The navigation is fast and fluid. The pricing is correct.")</f>
        <v>I am able to service. The proposed contracts suit me. The application is easy to use. The navigation is fast and fluid. The pricing is correct.</v>
      </c>
    </row>
    <row r="920" ht="15.75" customHeight="1">
      <c r="A920" s="2">
        <v>2.0</v>
      </c>
      <c r="B920" s="2" t="s">
        <v>2523</v>
      </c>
      <c r="C920" s="2" t="s">
        <v>2524</v>
      </c>
      <c r="D920" s="2" t="s">
        <v>48</v>
      </c>
      <c r="E920" s="2" t="s">
        <v>14</v>
      </c>
      <c r="F920" s="2" t="s">
        <v>15</v>
      </c>
      <c r="G920" s="2" t="s">
        <v>2525</v>
      </c>
      <c r="H920" s="2" t="s">
        <v>40</v>
      </c>
      <c r="I920" s="3" t="str">
        <f>IFERROR(__xludf.DUMMYFUNCTION("GOOGLETRANSLATE(C920,""fr"",""en"")"),"To avoid because the day you want to terminate they make you subscribe to another insurance (PACS) automatically by electronic signature (the termination and subscription file are merged). Basically if you enter Maif it's for life! Or prepare a law budget"&amp;".")</f>
        <v>To avoid because the day you want to terminate they make you subscribe to another insurance (PACS) automatically by electronic signature (the termination and subscription file are merged). Basically if you enter Maif it's for life! Or prepare a law budget.</v>
      </c>
    </row>
    <row r="921" ht="15.75" customHeight="1">
      <c r="A921" s="2">
        <v>3.0</v>
      </c>
      <c r="B921" s="2" t="s">
        <v>2526</v>
      </c>
      <c r="C921" s="2" t="s">
        <v>2527</v>
      </c>
      <c r="D921" s="2" t="s">
        <v>284</v>
      </c>
      <c r="E921" s="2" t="s">
        <v>285</v>
      </c>
      <c r="F921" s="2" t="s">
        <v>15</v>
      </c>
      <c r="G921" s="2" t="s">
        <v>2528</v>
      </c>
      <c r="H921" s="2" t="s">
        <v>50</v>
      </c>
      <c r="I921" s="3" t="str">
        <f>IFERROR(__xludf.DUMMYFUNCTION("GOOGLETRANSLATE(C921,""fr"",""en"")"),"Being beneficiaries of life insurance for 13 months nothing mail lost files send incomplete to flee !!!!!!!!!!!!!!!!!!!!!!!!!!!!!!! !!!!!!!!!!!!!!!!!!!!!!!!!!!!!!!!!!!!!!!!!!!!!!!!!!!! !!!!!!!!!!!!!!!!!!!!!!!!!!")</f>
        <v>Being beneficiaries of life insurance for 13 months nothing mail lost files send incomplete to flee !!!!!!!!!!!!!!!!!!!!!!!!!!!!!!! !!!!!!!!!!!!!!!!!!!!!!!!!!!!!!!!!!!!!!!!!!!!!!!!!!!! !!!!!!!!!!!!!!!!!!!!!!!!!!</v>
      </c>
    </row>
    <row r="922" ht="15.75" customHeight="1">
      <c r="A922" s="2">
        <v>4.0</v>
      </c>
      <c r="B922" s="2" t="s">
        <v>2529</v>
      </c>
      <c r="C922" s="2" t="s">
        <v>2530</v>
      </c>
      <c r="D922" s="2" t="s">
        <v>13</v>
      </c>
      <c r="E922" s="2" t="s">
        <v>14</v>
      </c>
      <c r="F922" s="2" t="s">
        <v>15</v>
      </c>
      <c r="G922" s="2" t="s">
        <v>1987</v>
      </c>
      <c r="H922" s="2" t="s">
        <v>133</v>
      </c>
      <c r="I922" s="3" t="str">
        <f>IFERROR(__xludf.DUMMYFUNCTION("GOOGLETRANSLATE(C922,""fr"",""en"")"),"Clear information, the very nice telephone reception, very patient interlocutor, of good advice, I recommend, there is just the percentage of the a little high response for a first levy")</f>
        <v>Clear information, the very nice telephone reception, very patient interlocutor, of good advice, I recommend, there is just the percentage of the a little high response for a first levy</v>
      </c>
    </row>
    <row r="923" ht="15.75" customHeight="1">
      <c r="A923" s="2">
        <v>1.0</v>
      </c>
      <c r="B923" s="2" t="s">
        <v>2531</v>
      </c>
      <c r="C923" s="2" t="s">
        <v>2532</v>
      </c>
      <c r="D923" s="2" t="s">
        <v>453</v>
      </c>
      <c r="E923" s="2" t="s">
        <v>329</v>
      </c>
      <c r="F923" s="2" t="s">
        <v>15</v>
      </c>
      <c r="G923" s="2" t="s">
        <v>2533</v>
      </c>
      <c r="H923" s="2" t="s">
        <v>172</v>
      </c>
      <c r="I923" s="3" t="str">
        <f>IFERROR(__xludf.DUMMYFUNCTION("GOOGLETRANSLATE(C923,""fr"",""en"")"),"Insurance that does not reimburse anything, my animal had been hospitalized, I was reimbursed 14 euros, that is to tell you.
An execrable customer service, which speaks very badly to people. A advisor who feels above others, we do not know why?
I was re"&amp;" -engaged 1 year automatically without being able to do anything, with a contribution that increased, between 21 euros and 26 euros!
Really I strongly advise against, be very careful because at the start it is always beautiful promises a honeyed path, bu"&amp;"t once subscriber we never answer you or then we speak to you in a haughty way.")</f>
        <v>Insurance that does not reimburse anything, my animal had been hospitalized, I was reimbursed 14 euros, that is to tell you.
An execrable customer service, which speaks very badly to people. A advisor who feels above others, we do not know why?
I was re -engaged 1 year automatically without being able to do anything, with a contribution that increased, between 21 euros and 26 euros!
Really I strongly advise against, be very careful because at the start it is always beautiful promises a honeyed path, but once subscriber we never answer you or then we speak to you in a haughty way.</v>
      </c>
    </row>
    <row r="924" ht="15.75" customHeight="1">
      <c r="A924" s="2">
        <v>1.0</v>
      </c>
      <c r="B924" s="2" t="s">
        <v>2534</v>
      </c>
      <c r="C924" s="2" t="s">
        <v>2535</v>
      </c>
      <c r="D924" s="2" t="s">
        <v>48</v>
      </c>
      <c r="E924" s="2" t="s">
        <v>14</v>
      </c>
      <c r="F924" s="2" t="s">
        <v>15</v>
      </c>
      <c r="G924" s="2" t="s">
        <v>2536</v>
      </c>
      <c r="H924" s="2" t="s">
        <v>313</v>
      </c>
      <c r="I924" s="3" t="str">
        <f>IFERROR(__xludf.DUMMYFUNCTION("GOOGLETRANSLATE(C924,""fr"",""en"")"),"I have been insured in Maif for 18 years. I provide 2 cars, 1 motorcycle, a home insurance contract. I specify that my house is 100 m2, does not have a swimming pool and I have no value furniture. I have a 50% bonus just like my wife. I pay for these serv"&amp;"ices the sum of 2181 euros per year is more than a month and a half of salary. I noticed that each year my subscription increases by 50 euros per year. I spoke to my loved ones and friends, there is this halucinating price.
They advised me to contact to "&amp;"negotiate a reduction in the insurance premium. So I called Maif, the advisor told me that he couldn't do anything. Therefore, I'm fed up. MAIF is good insurance but you should not stay there, otherwise the prices are soaring since no reduction for a loya"&amp;"l customer.")</f>
        <v>I have been insured in Maif for 18 years. I provide 2 cars, 1 motorcycle, a home insurance contract. I specify that my house is 100 m2, does not have a swimming pool and I have no value furniture. I have a 50% bonus just like my wife. I pay for these services the sum of 2181 euros per year is more than a month and a half of salary. I noticed that each year my subscription increases by 50 euros per year. I spoke to my loved ones and friends, there is this halucinating price.
They advised me to contact to negotiate a reduction in the insurance premium. So I called Maif, the advisor told me that he couldn't do anything. Therefore, I'm fed up. MAIF is good insurance but you should not stay there, otherwise the prices are soaring since no reduction for a loyal customer.</v>
      </c>
    </row>
    <row r="925" ht="15.75" customHeight="1">
      <c r="A925" s="2">
        <v>2.0</v>
      </c>
      <c r="B925" s="2" t="s">
        <v>2537</v>
      </c>
      <c r="C925" s="2" t="s">
        <v>2538</v>
      </c>
      <c r="D925" s="2" t="s">
        <v>20</v>
      </c>
      <c r="E925" s="2" t="s">
        <v>14</v>
      </c>
      <c r="F925" s="2" t="s">
        <v>15</v>
      </c>
      <c r="G925" s="2" t="s">
        <v>1453</v>
      </c>
      <c r="H925" s="2" t="s">
        <v>72</v>
      </c>
      <c r="I925" s="3" t="str">
        <f>IFERROR(__xludf.DUMMYFUNCTION("GOOGLETRANSLATE(C925,""fr"",""en"")"),"The price of my 2 insurances is too expensive of the order of 27%, on deposit that I have been insured for more than 10 years at Direct Insurance.
The service is correct, even if I never had an accident, I haven't used it much")</f>
        <v>The price of my 2 insurances is too expensive of the order of 27%, on deposit that I have been insured for more than 10 years at Direct Insurance.
The service is correct, even if I never had an accident, I haven't used it much</v>
      </c>
    </row>
    <row r="926" ht="15.75" customHeight="1">
      <c r="A926" s="2">
        <v>4.0</v>
      </c>
      <c r="B926" s="2" t="s">
        <v>2539</v>
      </c>
      <c r="C926" s="2" t="s">
        <v>2540</v>
      </c>
      <c r="D926" s="2" t="s">
        <v>13</v>
      </c>
      <c r="E926" s="2" t="s">
        <v>14</v>
      </c>
      <c r="F926" s="2" t="s">
        <v>15</v>
      </c>
      <c r="G926" s="2" t="s">
        <v>2044</v>
      </c>
      <c r="H926" s="2" t="s">
        <v>27</v>
      </c>
      <c r="I926" s="3" t="str">
        <f>IFERROR(__xludf.DUMMYFUNCTION("GOOGLETRANSLATE(C926,""fr"",""en"")"),"Very warm telephone reception by efficient and benevolent professionals. The general structure seems transparent. (Opinion of the 1st day of insurance, to be confirmed in the long term).")</f>
        <v>Very warm telephone reception by efficient and benevolent professionals. The general structure seems transparent. (Opinion of the 1st day of insurance, to be confirmed in the long term).</v>
      </c>
    </row>
    <row r="927" ht="15.75" customHeight="1">
      <c r="A927" s="2">
        <v>3.0</v>
      </c>
      <c r="B927" s="2" t="s">
        <v>2541</v>
      </c>
      <c r="C927" s="2" t="s">
        <v>2542</v>
      </c>
      <c r="D927" s="2" t="s">
        <v>147</v>
      </c>
      <c r="E927" s="2" t="s">
        <v>31</v>
      </c>
      <c r="F927" s="2" t="s">
        <v>15</v>
      </c>
      <c r="G927" s="2" t="s">
        <v>2543</v>
      </c>
      <c r="H927" s="2" t="s">
        <v>33</v>
      </c>
      <c r="I927" s="3" t="str">
        <f>IFERROR(__xludf.DUMMYFUNCTION("GOOGLETRANSLATE(C927,""fr"",""en"")"),"If the price ratio/health services is high and the reimbursement speed has been falling for some time and deserve an effort, nothing to say about the availability and efficiency of the advisers consulted (telephone or agency) or on the commitment of the m"&amp;"utual with security forces.")</f>
        <v>If the price ratio/health services is high and the reimbursement speed has been falling for some time and deserve an effort, nothing to say about the availability and efficiency of the advisers consulted (telephone or agency) or on the commitment of the mutual with security forces.</v>
      </c>
    </row>
    <row r="928" ht="15.75" customHeight="1">
      <c r="A928" s="2">
        <v>5.0</v>
      </c>
      <c r="B928" s="2" t="s">
        <v>2544</v>
      </c>
      <c r="C928" s="2" t="s">
        <v>2545</v>
      </c>
      <c r="D928" s="2" t="s">
        <v>233</v>
      </c>
      <c r="E928" s="2" t="s">
        <v>14</v>
      </c>
      <c r="F928" s="2" t="s">
        <v>15</v>
      </c>
      <c r="G928" s="2" t="s">
        <v>581</v>
      </c>
      <c r="H928" s="2" t="s">
        <v>133</v>
      </c>
      <c r="I928" s="3" t="str">
        <f>IFERROR(__xludf.DUMMYFUNCTION("GOOGLETRANSLATE(C928,""fr"",""en"")"),"I am very satisfied. I do not regret my choice and I salute the professionalism of the 2 advisers of the Tulle agency where I am very well received every time!")</f>
        <v>I am very satisfied. I do not regret my choice and I salute the professionalism of the 2 advisers of the Tulle agency where I am very well received every time!</v>
      </c>
    </row>
    <row r="929" ht="15.75" customHeight="1">
      <c r="A929" s="2">
        <v>1.0</v>
      </c>
      <c r="B929" s="2" t="s">
        <v>2546</v>
      </c>
      <c r="C929" s="2" t="s">
        <v>2547</v>
      </c>
      <c r="D929" s="2" t="s">
        <v>20</v>
      </c>
      <c r="E929" s="2" t="s">
        <v>14</v>
      </c>
      <c r="F929" s="2" t="s">
        <v>15</v>
      </c>
      <c r="G929" s="2" t="s">
        <v>299</v>
      </c>
      <c r="H929" s="2" t="s">
        <v>149</v>
      </c>
      <c r="I929" s="3" t="str">
        <f>IFERROR(__xludf.DUMMYFUNCTION("GOOGLETRANSLATE(C929,""fr"",""en"")"),"I am very disappointed with both prices and service. No response to my written letters requiring the return of part of my contributions following confinement. When I ask for explanations I am told that I did not send a mail (yes I did not send by register"&amp;"ed mail) and limit I am taken for an idiot saying to me how I sent mail during confinement while the positions were closed. In short disappointed more more. When I ask for a gesture on my subscription in view of the prices of your competitors, I am told t"&amp;"hat I am lucky to have a reduction of 7eur because with the crisis everything increases.")</f>
        <v>I am very disappointed with both prices and service. No response to my written letters requiring the return of part of my contributions following confinement. When I ask for explanations I am told that I did not send a mail (yes I did not send by registered mail) and limit I am taken for an idiot saying to me how I sent mail during confinement while the positions were closed. In short disappointed more more. When I ask for a gesture on my subscription in view of the prices of your competitors, I am told that I am lucky to have a reduction of 7eur because with the crisis everything increases.</v>
      </c>
    </row>
    <row r="930" ht="15.75" customHeight="1">
      <c r="A930" s="2">
        <v>1.0</v>
      </c>
      <c r="B930" s="2" t="s">
        <v>2548</v>
      </c>
      <c r="C930" s="2" t="s">
        <v>2549</v>
      </c>
      <c r="D930" s="2" t="s">
        <v>307</v>
      </c>
      <c r="E930" s="2" t="s">
        <v>31</v>
      </c>
      <c r="F930" s="2" t="s">
        <v>15</v>
      </c>
      <c r="G930" s="2" t="s">
        <v>1571</v>
      </c>
      <c r="H930" s="2" t="s">
        <v>535</v>
      </c>
      <c r="I930" s="3" t="str">
        <f>IFERROR(__xludf.DUMMYFUNCTION("GOOGLETRANSLATE(C930,""fr"",""en"")"),"I have been in the meer for several years.
I have a problem with my high amount of contributions per month.
Which rises to 700 euros for 6 people.
After several calls.
No one answers you.
I had to tell my story several times.
By saying that we were "&amp;"going to remember.
It's going to be 3 months I received no calls.
Very disappointed with this mutual.
Very slow service .....
See catastrophic .....
To tell me at the end that I was terminated without any explanation.
The rest is even more critical."&amp;"
I was written an email telling me that I went to be debited for my contributions ......
Lack of seriousness and above all professionalism.")</f>
        <v>I have been in the meer for several years.
I have a problem with my high amount of contributions per month.
Which rises to 700 euros for 6 people.
After several calls.
No one answers you.
I had to tell my story several times.
By saying that we were going to remember.
It's going to be 3 months I received no calls.
Very disappointed with this mutual.
Very slow service .....
See catastrophic .....
To tell me at the end that I was terminated without any explanation.
The rest is even more critical.
I was written an email telling me that I went to be debited for my contributions ......
Lack of seriousness and above all professionalism.</v>
      </c>
    </row>
    <row r="931" ht="15.75" customHeight="1">
      <c r="A931" s="2">
        <v>4.0</v>
      </c>
      <c r="B931" s="2" t="s">
        <v>2550</v>
      </c>
      <c r="C931" s="2" t="s">
        <v>2551</v>
      </c>
      <c r="D931" s="2" t="s">
        <v>13</v>
      </c>
      <c r="E931" s="2" t="s">
        <v>14</v>
      </c>
      <c r="F931" s="2" t="s">
        <v>15</v>
      </c>
      <c r="G931" s="2" t="s">
        <v>1843</v>
      </c>
      <c r="H931" s="2" t="s">
        <v>125</v>
      </c>
      <c r="I931" s="3" t="str">
        <f>IFERROR(__xludf.DUMMYFUNCTION("GOOGLETRANSLATE(C931,""fr"",""en"")"),"Good insurance but to see in time to judge services offer. Otherwise listening and available customer services. The prices are correct")</f>
        <v>Good insurance but to see in time to judge services offer. Otherwise listening and available customer services. The prices are correct</v>
      </c>
    </row>
    <row r="932" ht="15.75" customHeight="1">
      <c r="A932" s="2">
        <v>5.0</v>
      </c>
      <c r="B932" s="2" t="s">
        <v>2552</v>
      </c>
      <c r="C932" s="2" t="s">
        <v>2553</v>
      </c>
      <c r="D932" s="2" t="s">
        <v>13</v>
      </c>
      <c r="E932" s="2" t="s">
        <v>14</v>
      </c>
      <c r="F932" s="2" t="s">
        <v>15</v>
      </c>
      <c r="G932" s="2" t="s">
        <v>741</v>
      </c>
      <c r="H932" s="2" t="s">
        <v>125</v>
      </c>
      <c r="I932" s="3" t="str">
        <f>IFERROR(__xludf.DUMMYFUNCTION("GOOGLETRANSLATE(C932,""fr"",""en"")"),"Top more than seeing the services!
Price and services look really good.
I have just saved 25 th compared to my old insurance! To think if I take home insurance too as long as to do!")</f>
        <v>Top more than seeing the services!
Price and services look really good.
I have just saved 25 th compared to my old insurance! To think if I take home insurance too as long as to do!</v>
      </c>
    </row>
    <row r="933" ht="15.75" customHeight="1">
      <c r="A933" s="2">
        <v>4.0</v>
      </c>
      <c r="B933" s="2" t="s">
        <v>2554</v>
      </c>
      <c r="C933" s="2" t="s">
        <v>2555</v>
      </c>
      <c r="D933" s="2" t="s">
        <v>20</v>
      </c>
      <c r="E933" s="2" t="s">
        <v>14</v>
      </c>
      <c r="F933" s="2" t="s">
        <v>15</v>
      </c>
      <c r="G933" s="2" t="s">
        <v>1384</v>
      </c>
      <c r="H933" s="2" t="s">
        <v>149</v>
      </c>
      <c r="I933" s="3" t="str">
        <f>IFERROR(__xludf.DUMMYFUNCTION("GOOGLETRANSLATE(C933,""fr"",""en"")"),"satisfied with responsiveness and service, the rest complies with my expectations
The prices are correct, nothing more
What I appreciate is the ease of contact")</f>
        <v>satisfied with responsiveness and service, the rest complies with my expectations
The prices are correct, nothing more
What I appreciate is the ease of contact</v>
      </c>
    </row>
    <row r="934" ht="15.75" customHeight="1">
      <c r="A934" s="2">
        <v>4.0</v>
      </c>
      <c r="B934" s="2" t="s">
        <v>2556</v>
      </c>
      <c r="C934" s="2" t="s">
        <v>2557</v>
      </c>
      <c r="D934" s="2" t="s">
        <v>502</v>
      </c>
      <c r="E934" s="2" t="s">
        <v>25</v>
      </c>
      <c r="F934" s="2" t="s">
        <v>15</v>
      </c>
      <c r="G934" s="2" t="s">
        <v>2558</v>
      </c>
      <c r="H934" s="2" t="s">
        <v>1085</v>
      </c>
      <c r="I934" s="3" t="str">
        <f>IFERROR(__xludf.DUMMYFUNCTION("GOOGLETRANSLATE(C934,""fr"",""en"")"),"I appreciate the mutualist and biker spirit.")</f>
        <v>I appreciate the mutualist and biker spirit.</v>
      </c>
    </row>
    <row r="935" ht="15.75" customHeight="1">
      <c r="A935" s="2">
        <v>4.0</v>
      </c>
      <c r="B935" s="2" t="s">
        <v>2559</v>
      </c>
      <c r="C935" s="2" t="s">
        <v>2560</v>
      </c>
      <c r="D935" s="2" t="s">
        <v>20</v>
      </c>
      <c r="E935" s="2" t="s">
        <v>14</v>
      </c>
      <c r="F935" s="2" t="s">
        <v>15</v>
      </c>
      <c r="G935" s="2" t="s">
        <v>2368</v>
      </c>
      <c r="H935" s="2" t="s">
        <v>149</v>
      </c>
      <c r="I935" s="3" t="str">
        <f>IFERROR(__xludf.DUMMYFUNCTION("GOOGLETRANSLATE(C935,""fr"",""en"")"),"TB
Fast and interesting price
I already have a housing contract and I have just validated my car contract ... can you soon be terminated by my second car contract if an offer for the multi contract is offered to me?
To be continued")</f>
        <v>TB
Fast and interesting price
I already have a housing contract and I have just validated my car contract ... can you soon be terminated by my second car contract if an offer for the multi contract is offered to me?
To be continued</v>
      </c>
    </row>
    <row r="936" ht="15.75" customHeight="1">
      <c r="A936" s="2">
        <v>1.0</v>
      </c>
      <c r="B936" s="2" t="s">
        <v>2561</v>
      </c>
      <c r="C936" s="2" t="s">
        <v>2562</v>
      </c>
      <c r="D936" s="2" t="s">
        <v>185</v>
      </c>
      <c r="E936" s="2" t="s">
        <v>31</v>
      </c>
      <c r="F936" s="2" t="s">
        <v>15</v>
      </c>
      <c r="G936" s="2" t="s">
        <v>2563</v>
      </c>
      <c r="H936" s="2" t="s">
        <v>381</v>
      </c>
      <c r="I936" s="3" t="str">
        <f>IFERROR(__xludf.DUMMYFUNCTION("GOOGLETRANSLATE(C936,""fr"",""en"")"),"After being at Alptis, on the advice of my broker advice 5, rue du Général Grossetti 75016 Paris, we change for April on 01/01/2016.
We have just received a letter dated November 07, 2016 regarding the new 2017 rate. Increase in one year + 4.46%! ... wit"&amp;"hout any justification. Following the telephone conversation with my broker: ""This increase is normal! Because you have asked your insurance a lot! In other words we provide you but above all do not be sick so that you do not have to ask for any reimburs"&amp;"ements! Furthermore, and This is the real ""bad joke"" to stay polite. As April is not subject to the Chatel law, you are not able to terminate because the increase is communicated in November and your contract stipulates that a termination Must be effect"&amp;"ive two months before DEAD failure at the latest on October 31 !!! When this situation is mentioned, April indicates that it is impossible for him to communicate the new prices before 31/10 because it is necessary to know various information that The amou"&amp;"nt of expenditure of the insured. This argument does not hold because if you are a new potential customer, the prices of the coming year can be known (which was done by my broker in 2015) from the month D 'august !! !
I therefore ask all the insured to s"&amp;"tudy various offers from June and thus be able to change if necessary insurance in time! Insurers are still looking for new customers and their competition is severe !!! Preemière year prices are always more attractive.
What is on is that from January 02"&amp;", 2017, we are going to look for another insurance than Prime. So we have 10 months to find!")</f>
        <v>After being at Alptis, on the advice of my broker advice 5, rue du Général Grossetti 75016 Paris, we change for April on 01/01/2016.
We have just received a letter dated November 07, 2016 regarding the new 2017 rate. Increase in one year + 4.46%! ... without any justification. Following the telephone conversation with my broker: "This increase is normal! Because you have asked your insurance a lot! In other words we provide you but above all do not be sick so that you do not have to ask for any reimbursements! Furthermore, and This is the real "bad joke" to stay polite. As April is not subject to the Chatel law, you are not able to terminate because the increase is communicated in November and your contract stipulates that a termination Must be effective two months before DEAD failure at the latest on October 31 !!! When this situation is mentioned, April indicates that it is impossible for him to communicate the new prices before 31/10 because it is necessary to know various information that The amount of expenditure of the insured. This argument does not hold because if you are a new potential customer, the prices of the coming year can be known (which was done by my broker in 2015) from the month D 'august !! !
I therefore ask all the insured to study various offers from June and thus be able to change if necessary insurance in time! Insurers are still looking for new customers and their competition is severe !!! Preemière year prices are always more attractive.
What is on is that from January 02, 2017, we are going to look for another insurance than Prime. So we have 10 months to find!</v>
      </c>
    </row>
    <row r="937" ht="15.75" customHeight="1">
      <c r="A937" s="2">
        <v>1.0</v>
      </c>
      <c r="B937" s="2" t="s">
        <v>2564</v>
      </c>
      <c r="C937" s="2" t="s">
        <v>2565</v>
      </c>
      <c r="D937" s="2" t="s">
        <v>147</v>
      </c>
      <c r="E937" s="2" t="s">
        <v>31</v>
      </c>
      <c r="F937" s="2" t="s">
        <v>15</v>
      </c>
      <c r="G937" s="2" t="s">
        <v>2566</v>
      </c>
      <c r="H937" s="2" t="s">
        <v>911</v>
      </c>
      <c r="I937" s="3" t="str">
        <f>IFERROR(__xludf.DUMMYFUNCTION("GOOGLETRANSLATE(C937,""fr"",""en"")"),"to flee !")</f>
        <v>to flee !</v>
      </c>
    </row>
    <row r="938" ht="15.75" customHeight="1">
      <c r="A938" s="2">
        <v>5.0</v>
      </c>
      <c r="B938" s="2" t="s">
        <v>2567</v>
      </c>
      <c r="C938" s="2" t="s">
        <v>2568</v>
      </c>
      <c r="D938" s="2" t="s">
        <v>13</v>
      </c>
      <c r="E938" s="2" t="s">
        <v>14</v>
      </c>
      <c r="F938" s="2" t="s">
        <v>15</v>
      </c>
      <c r="G938" s="2" t="s">
        <v>2158</v>
      </c>
      <c r="H938" s="2" t="s">
        <v>911</v>
      </c>
      <c r="I938" s="3" t="str">
        <f>IFERROR(__xludf.DUMMYFUNCTION("GOOGLETRANSLATE(C938,""fr"",""en"")"),"No worries with one of their partner for a break of ice")</f>
        <v>No worries with one of their partner for a break of ice</v>
      </c>
    </row>
    <row r="939" ht="15.75" customHeight="1">
      <c r="A939" s="2">
        <v>5.0</v>
      </c>
      <c r="B939" s="2" t="s">
        <v>2569</v>
      </c>
      <c r="C939" s="2" t="s">
        <v>2570</v>
      </c>
      <c r="D939" s="2" t="s">
        <v>13</v>
      </c>
      <c r="E939" s="2" t="s">
        <v>14</v>
      </c>
      <c r="F939" s="2" t="s">
        <v>15</v>
      </c>
      <c r="G939" s="2" t="s">
        <v>2571</v>
      </c>
      <c r="H939" s="2" t="s">
        <v>125</v>
      </c>
      <c r="I939" s="3" t="str">
        <f>IFERROR(__xludf.DUMMYFUNCTION("GOOGLETRANSLATE(C939,""fr"",""en"")"),"I am satisfied with the speed to which I was assured and the price is very satisfactory for the quality of service that this insurance offers.")</f>
        <v>I am satisfied with the speed to which I was assured and the price is very satisfactory for the quality of service that this insurance offers.</v>
      </c>
    </row>
    <row r="940" ht="15.75" customHeight="1">
      <c r="A940" s="2">
        <v>5.0</v>
      </c>
      <c r="B940" s="2" t="s">
        <v>2572</v>
      </c>
      <c r="C940" s="2" t="s">
        <v>2573</v>
      </c>
      <c r="D940" s="2" t="s">
        <v>20</v>
      </c>
      <c r="E940" s="2" t="s">
        <v>14</v>
      </c>
      <c r="F940" s="2" t="s">
        <v>15</v>
      </c>
      <c r="G940" s="2" t="s">
        <v>581</v>
      </c>
      <c r="H940" s="2" t="s">
        <v>133</v>
      </c>
      <c r="I940" s="3" t="str">
        <f>IFERROR(__xludf.DUMMYFUNCTION("GOOGLETRANSLATE(C940,""fr"",""en"")"),"I have been satisfied with your insurance for several years already and I have never had any problems for all this time
I used insurance once and it went well")</f>
        <v>I have been satisfied with your insurance for several years already and I have never had any problems for all this time
I used insurance once and it went well</v>
      </c>
    </row>
    <row r="941" ht="15.75" customHeight="1">
      <c r="A941" s="2">
        <v>2.0</v>
      </c>
      <c r="B941" s="2" t="s">
        <v>2574</v>
      </c>
      <c r="C941" s="2" t="s">
        <v>2575</v>
      </c>
      <c r="D941" s="2" t="s">
        <v>20</v>
      </c>
      <c r="E941" s="2" t="s">
        <v>14</v>
      </c>
      <c r="F941" s="2" t="s">
        <v>15</v>
      </c>
      <c r="G941" s="2" t="s">
        <v>1264</v>
      </c>
      <c r="H941" s="2" t="s">
        <v>17</v>
      </c>
      <c r="I941" s="3" t="str">
        <f>IFERROR(__xludf.DUMMYFUNCTION("GOOGLETRANSLATE(C941,""fr"",""en"")"),"Attractive price but Direct Assurance does not take care of the information statement directly with my former insurer, too bad and I find the telephone interlocutors difficult to understand (strong accent) and lack of relational and understanding")</f>
        <v>Attractive price but Direct Assurance does not take care of the information statement directly with my former insurer, too bad and I find the telephone interlocutors difficult to understand (strong accent) and lack of relational and understanding</v>
      </c>
    </row>
    <row r="942" ht="15.75" customHeight="1">
      <c r="A942" s="2">
        <v>3.0</v>
      </c>
      <c r="B942" s="2" t="s">
        <v>2576</v>
      </c>
      <c r="C942" s="2" t="s">
        <v>2577</v>
      </c>
      <c r="D942" s="2" t="s">
        <v>698</v>
      </c>
      <c r="E942" s="2" t="s">
        <v>285</v>
      </c>
      <c r="F942" s="2" t="s">
        <v>15</v>
      </c>
      <c r="G942" s="2" t="s">
        <v>2578</v>
      </c>
      <c r="H942" s="2" t="s">
        <v>45</v>
      </c>
      <c r="I942" s="3" t="str">
        <f>IFERROR(__xludf.DUMMYFUNCTION("GOOGLETRANSLATE(C942,""fr"",""en"")"),"I concluded, there is over 8 years old an AS-life at Boursorama which made me buy a date. Since then, I have placed some savings in € and according to my ""good star"" in funds, but Bourso does not recommend")</f>
        <v>I concluded, there is over 8 years old an AS-life at Boursorama which made me buy a date. Since then, I have placed some savings in € and according to my "good star" in funds, but Bourso does not recommend</v>
      </c>
    </row>
    <row r="943" ht="15.75" customHeight="1">
      <c r="A943" s="2">
        <v>5.0</v>
      </c>
      <c r="B943" s="2" t="s">
        <v>2579</v>
      </c>
      <c r="C943" s="2" t="s">
        <v>2580</v>
      </c>
      <c r="D943" s="2" t="s">
        <v>13</v>
      </c>
      <c r="E943" s="2" t="s">
        <v>14</v>
      </c>
      <c r="F943" s="2" t="s">
        <v>15</v>
      </c>
      <c r="G943" s="2" t="s">
        <v>237</v>
      </c>
      <c r="H943" s="2" t="s">
        <v>133</v>
      </c>
      <c r="I943" s="3" t="str">
        <f>IFERROR(__xludf.DUMMYFUNCTION("GOOGLETRANSLATE(C943,""fr"",""en"")"),"Great thank you very much for your speed and your skill I am delighted you are like what you represent is a happiness the simplicity of your site Bravo")</f>
        <v>Great thank you very much for your speed and your skill I am delighted you are like what you represent is a happiness the simplicity of your site Bravo</v>
      </c>
    </row>
    <row r="944" ht="15.75" customHeight="1">
      <c r="A944" s="2">
        <v>3.0</v>
      </c>
      <c r="B944" s="2" t="s">
        <v>2581</v>
      </c>
      <c r="C944" s="2" t="s">
        <v>2582</v>
      </c>
      <c r="D944" s="2" t="s">
        <v>112</v>
      </c>
      <c r="E944" s="2" t="s">
        <v>14</v>
      </c>
      <c r="F944" s="2" t="s">
        <v>15</v>
      </c>
      <c r="G944" s="2" t="s">
        <v>1724</v>
      </c>
      <c r="H944" s="2" t="s">
        <v>93</v>
      </c>
      <c r="I944" s="3" t="str">
        <f>IFERROR(__xludf.DUMMYFUNCTION("GOOGLETRANSLATE(C944,""fr"",""en"")"),"I only just made sure to you so I do not have enough perspective to give my opinion. Applying the price level seems reasonable to the quality of the guarantees")</f>
        <v>I only just made sure to you so I do not have enough perspective to give my opinion. Applying the price level seems reasonable to the quality of the guarantees</v>
      </c>
    </row>
    <row r="945" ht="15.75" customHeight="1">
      <c r="A945" s="2">
        <v>1.0</v>
      </c>
      <c r="B945" s="2" t="s">
        <v>2583</v>
      </c>
      <c r="C945" s="2" t="s">
        <v>2584</v>
      </c>
      <c r="D945" s="2" t="s">
        <v>66</v>
      </c>
      <c r="E945" s="2" t="s">
        <v>14</v>
      </c>
      <c r="F945" s="2" t="s">
        <v>15</v>
      </c>
      <c r="G945" s="2" t="s">
        <v>2585</v>
      </c>
      <c r="H945" s="2" t="s">
        <v>555</v>
      </c>
      <c r="I945" s="3" t="str">
        <f>IFERROR(__xludf.DUMMYFUNCTION("GOOGLETRANSLATE(C945,""fr"",""en"")"),"I found myself by the side of the road in the dark with a convenience store who wanted me to replace a battery while it was enough to recharge it. The convenience store was upset and left ... Eurofil does not did not return another convenience store and l"&amp;"eft me by the road without calling a taxi in the dark in winter and with my child !!!! Their administrative services despite the complaint did nothing too !!!")</f>
        <v>I found myself by the side of the road in the dark with a convenience store who wanted me to replace a battery while it was enough to recharge it. The convenience store was upset and left ... Eurofil does not did not return another convenience store and left me by the road without calling a taxi in the dark in winter and with my child !!!! Their administrative services despite the complaint did nothing too !!!</v>
      </c>
    </row>
    <row r="946" ht="15.75" customHeight="1">
      <c r="A946" s="2">
        <v>3.0</v>
      </c>
      <c r="B946" s="2" t="s">
        <v>2586</v>
      </c>
      <c r="C946" s="2" t="s">
        <v>2587</v>
      </c>
      <c r="D946" s="2" t="s">
        <v>13</v>
      </c>
      <c r="E946" s="2" t="s">
        <v>14</v>
      </c>
      <c r="F946" s="2" t="s">
        <v>15</v>
      </c>
      <c r="G946" s="2" t="s">
        <v>1785</v>
      </c>
      <c r="H946" s="2" t="s">
        <v>172</v>
      </c>
      <c r="I946" s="3" t="str">
        <f>IFERROR(__xludf.DUMMYFUNCTION("GOOGLETRANSLATE(C946,""fr"",""en"")"),"The offer suits me but I find your taxes too high.
Why do you charge monthly payments?
In the hope of finding real satisfaction.
Thank you !")</f>
        <v>The offer suits me but I find your taxes too high.
Why do you charge monthly payments?
In the hope of finding real satisfaction.
Thank you !</v>
      </c>
    </row>
    <row r="947" ht="15.75" customHeight="1">
      <c r="A947" s="2">
        <v>1.0</v>
      </c>
      <c r="B947" s="2" t="s">
        <v>2588</v>
      </c>
      <c r="C947" s="2" t="s">
        <v>2589</v>
      </c>
      <c r="D947" s="2" t="s">
        <v>453</v>
      </c>
      <c r="E947" s="2" t="s">
        <v>329</v>
      </c>
      <c r="F947" s="2" t="s">
        <v>15</v>
      </c>
      <c r="G947" s="2" t="s">
        <v>2590</v>
      </c>
      <c r="H947" s="2" t="s">
        <v>445</v>
      </c>
      <c r="I947" s="3" t="str">
        <f>IFERROR(__xludf.DUMMYFUNCTION("GOOGLETRANSLATE(C947,""fr"",""en"")"),"TO FLEE....
Before paying everything goes well and once the contract is
They ask you for documents so as not to reimburse
You had to ask for during registration it would be more honest.
I absolutely do not recommend.")</f>
        <v>TO FLEE....
Before paying everything goes well and once the contract is
They ask you for documents so as not to reimburse
You had to ask for during registration it would be more honest.
I absolutely do not recommend.</v>
      </c>
    </row>
    <row r="948" ht="15.75" customHeight="1">
      <c r="A948" s="2">
        <v>5.0</v>
      </c>
      <c r="B948" s="2" t="s">
        <v>2591</v>
      </c>
      <c r="C948" s="2" t="s">
        <v>2592</v>
      </c>
      <c r="D948" s="2" t="s">
        <v>1971</v>
      </c>
      <c r="E948" s="2" t="s">
        <v>91</v>
      </c>
      <c r="F948" s="2" t="s">
        <v>15</v>
      </c>
      <c r="G948" s="2" t="s">
        <v>2593</v>
      </c>
      <c r="H948" s="2" t="s">
        <v>911</v>
      </c>
      <c r="I948" s="3" t="str">
        <f>IFERROR(__xludf.DUMMYFUNCTION("GOOGLETRANSLATE(C948,""fr"",""en"")"),"I had a sinister civil liability Break a laptop from a friend of a friend on December 25, 2018 Her son was reimbursed on January 27, 2019 Insurance very well I have all my insurance contracts at home")</f>
        <v>I had a sinister civil liability Break a laptop from a friend of a friend on December 25, 2018 Her son was reimbursed on January 27, 2019 Insurance very well I have all my insurance contracts at home</v>
      </c>
    </row>
    <row r="949" ht="15.75" customHeight="1">
      <c r="A949" s="2">
        <v>1.0</v>
      </c>
      <c r="B949" s="2" t="s">
        <v>2594</v>
      </c>
      <c r="C949" s="2" t="s">
        <v>2595</v>
      </c>
      <c r="D949" s="2" t="s">
        <v>598</v>
      </c>
      <c r="E949" s="2" t="s">
        <v>329</v>
      </c>
      <c r="F949" s="2" t="s">
        <v>15</v>
      </c>
      <c r="G949" s="2" t="s">
        <v>1653</v>
      </c>
      <c r="H949" s="2" t="s">
        <v>77</v>
      </c>
      <c r="I949" s="3" t="str">
        <f>IFERROR(__xludf.DUMMYFUNCTION("GOOGLETRANSLATE(C949,""fr"",""en"")"),"Flee this insurance !!
It is stipulated in my contract that the diseases occurred before the effect of the contract are not supported.
My rabbit fell sick 1 month and 3 weeks after I subscribed to ECA Assurance. What was my surprise when I told me that "&amp;"I will never be reimbursed for future consultations + drugs related to this disease because it happened during the days of deficiency.
I have called their advisers about ten times who agree that I must be reimbursed for consultations since certainly my r"&amp;"abbit fell ill during the waiting days, but the reimbursements (certainly linked to his illness) that I request are dated after the days of deficiency.
I made an email to reclamations. After 2 months of waiting, the answer is once again negative!
I will"&amp;" not let go, and I intend to get the money they owe me and go to a competitor.
In conclusion, I do not recommend this insurance and I am obviously not the only one.")</f>
        <v>Flee this insurance !!
It is stipulated in my contract that the diseases occurred before the effect of the contract are not supported.
My rabbit fell sick 1 month and 3 weeks after I subscribed to ECA Assurance. What was my surprise when I told me that I will never be reimbursed for future consultations + drugs related to this disease because it happened during the days of deficiency.
I have called their advisers about ten times who agree that I must be reimbursed for consultations since certainly my rabbit fell ill during the waiting days, but the reimbursements (certainly linked to his illness) that I request are dated after the days of deficiency.
I made an email to reclamations. After 2 months of waiting, the answer is once again negative!
I will not let go, and I intend to get the money they owe me and go to a competitor.
In conclusion, I do not recommend this insurance and I am obviously not the only one.</v>
      </c>
    </row>
    <row r="950" ht="15.75" customHeight="1">
      <c r="A950" s="2">
        <v>3.0</v>
      </c>
      <c r="B950" s="2" t="s">
        <v>2596</v>
      </c>
      <c r="C950" s="2" t="s">
        <v>2597</v>
      </c>
      <c r="D950" s="2" t="s">
        <v>20</v>
      </c>
      <c r="E950" s="2" t="s">
        <v>14</v>
      </c>
      <c r="F950" s="2" t="s">
        <v>15</v>
      </c>
      <c r="G950" s="2" t="s">
        <v>2598</v>
      </c>
      <c r="H950" s="2" t="s">
        <v>1085</v>
      </c>
      <c r="I950" s="3" t="str">
        <f>IFERROR(__xludf.DUMMYFUNCTION("GOOGLETRANSLATE(C950,""fr"",""en"")"),"My partner took care of a direct insurance and advised him almost a year ago sold him all -risk insurance on a vehicle over ten years old, for me she was stolen by a very well established sales manipulation ..
Another thing on a steering wheel is put a d"&amp;"eductible from 1500euro even if the person is right on the disaster ... that is really the flight")</f>
        <v>My partner took care of a direct insurance and advised him almost a year ago sold him all -risk insurance on a vehicle over ten years old, for me she was stolen by a very well established sales manipulation ..
Another thing on a steering wheel is put a deductible from 1500euro even if the person is right on the disaster ... that is really the flight</v>
      </c>
    </row>
    <row r="951" ht="15.75" customHeight="1">
      <c r="A951" s="2">
        <v>1.0</v>
      </c>
      <c r="B951" s="2" t="s">
        <v>2599</v>
      </c>
      <c r="C951" s="2" t="s">
        <v>2600</v>
      </c>
      <c r="D951" s="2" t="s">
        <v>20</v>
      </c>
      <c r="E951" s="2" t="s">
        <v>14</v>
      </c>
      <c r="F951" s="2" t="s">
        <v>15</v>
      </c>
      <c r="G951" s="2" t="s">
        <v>2601</v>
      </c>
      <c r="H951" s="2" t="s">
        <v>1450</v>
      </c>
      <c r="I951" s="3" t="str">
        <f>IFERROR(__xludf.DUMMYFUNCTION("GOOGLETRANSLATE(C951,""fr"",""en"")"),"Hello I suffered a claim on December 23, 2016 I was burnt down my vehicle and since then I have been insured any risk with the serenity pack no vehicle loan no follow -up we stroll in a lies in a short lie are simply lies I therefore advise you to take a "&amp;"lawyer and translate them into justice because otherwise you will not get anything from all")</f>
        <v>Hello I suffered a claim on December 23, 2016 I was burnt down my vehicle and since then I have been insured any risk with the serenity pack no vehicle loan no follow -up we stroll in a lies in a short lie are simply lies I therefore advise you to take a lawyer and translate them into justice because otherwise you will not get anything from all</v>
      </c>
    </row>
    <row r="952" ht="15.75" customHeight="1">
      <c r="A952" s="2">
        <v>3.0</v>
      </c>
      <c r="B952" s="2" t="s">
        <v>2602</v>
      </c>
      <c r="C952" s="2" t="s">
        <v>2603</v>
      </c>
      <c r="D952" s="2" t="s">
        <v>13</v>
      </c>
      <c r="E952" s="2" t="s">
        <v>14</v>
      </c>
      <c r="F952" s="2" t="s">
        <v>15</v>
      </c>
      <c r="G952" s="2" t="s">
        <v>293</v>
      </c>
      <c r="H952" s="2" t="s">
        <v>172</v>
      </c>
      <c r="I952" s="3" t="str">
        <f>IFERROR(__xludf.DUMMYFUNCTION("GOOGLETRANSLATE(C952,""fr"",""en"")"),"I pay as dear for a vw polo as a scirocco
I am satisfied with the reaction of the service, despite a very very long reimbursement during a flight disaster")</f>
        <v>I pay as dear for a vw polo as a scirocco
I am satisfied with the reaction of the service, despite a very very long reimbursement during a flight disaster</v>
      </c>
    </row>
    <row r="953" ht="15.75" customHeight="1">
      <c r="A953" s="2">
        <v>2.0</v>
      </c>
      <c r="B953" s="2" t="s">
        <v>2604</v>
      </c>
      <c r="C953" s="2" t="s">
        <v>2605</v>
      </c>
      <c r="D953" s="2" t="s">
        <v>307</v>
      </c>
      <c r="E953" s="2" t="s">
        <v>31</v>
      </c>
      <c r="F953" s="2" t="s">
        <v>15</v>
      </c>
      <c r="G953" s="2" t="s">
        <v>545</v>
      </c>
      <c r="H953" s="2" t="s">
        <v>72</v>
      </c>
      <c r="I953" s="3" t="str">
        <f>IFERROR(__xludf.DUMMYFUNCTION("GOOGLETRANSLATE(C953,""fr"",""en"")"),"Employee in many other companies before ... So with a mutual company, Mercer is by far the most catastrophic!
Trovato Ludovic
Geostock")</f>
        <v>Employee in many other companies before ... So with a mutual company, Mercer is by far the most catastrophic!
Trovato Ludovic
Geostock</v>
      </c>
    </row>
    <row r="954" ht="15.75" customHeight="1">
      <c r="A954" s="2">
        <v>2.0</v>
      </c>
      <c r="B954" s="2" t="s">
        <v>2606</v>
      </c>
      <c r="C954" s="2" t="s">
        <v>2607</v>
      </c>
      <c r="D954" s="2" t="s">
        <v>61</v>
      </c>
      <c r="E954" s="2" t="s">
        <v>91</v>
      </c>
      <c r="F954" s="2" t="s">
        <v>15</v>
      </c>
      <c r="G954" s="2" t="s">
        <v>2608</v>
      </c>
      <c r="H954" s="2" t="s">
        <v>208</v>
      </c>
      <c r="I954" s="3" t="str">
        <f>IFERROR(__xludf.DUMMYFUNCTION("GOOGLETRANSLATE(C954,""fr"",""en"")"),"Following a water damage, coming from a broken syphon not accessible, the Maaf expert came on a date when I could not be present (employer could not free me from my professional obligations) a friend opened to The expert, 3 months later I get the expert r"&amp;"eport and I discover that the syphon is noted accessible while tenant, I had not access the ventilation and opening hatches were obstructed by the plaster , coating and wallpaper. I cannot have the expert report changed and am also struck off. Maaf hat! I"&amp;" find myself in trouble not possible and my owner is doing very well and I became the at fault when I have several witnesses present when the plumber of the rental agency and the plmonier of the trustee of the trustee The building saw the plumbers galley "&amp;"to access the drawing up of the bathtub.
Thanks to the maaf for all that I suffer and dervai suffer")</f>
        <v>Following a water damage, coming from a broken syphon not accessible, the Maaf expert came on a date when I could not be present (employer could not free me from my professional obligations) a friend opened to The expert, 3 months later I get the expert report and I discover that the syphon is noted accessible while tenant, I had not access the ventilation and opening hatches were obstructed by the plaster , coating and wallpaper. I cannot have the expert report changed and am also struck off. Maaf hat! I find myself in trouble not possible and my owner is doing very well and I became the at fault when I have several witnesses present when the plumber of the rental agency and the plmonier of the trustee of the trustee The building saw the plumbers galley to access the drawing up of the bathtub.
Thanks to the maaf for all that I suffer and dervai suffer</v>
      </c>
    </row>
    <row r="955" ht="15.75" customHeight="1">
      <c r="A955" s="2">
        <v>3.0</v>
      </c>
      <c r="B955" s="2" t="s">
        <v>2609</v>
      </c>
      <c r="C955" s="2" t="s">
        <v>2610</v>
      </c>
      <c r="D955" s="2" t="s">
        <v>185</v>
      </c>
      <c r="E955" s="2" t="s">
        <v>31</v>
      </c>
      <c r="F955" s="2" t="s">
        <v>15</v>
      </c>
      <c r="G955" s="2" t="s">
        <v>248</v>
      </c>
      <c r="H955" s="2" t="s">
        <v>33</v>
      </c>
      <c r="I955" s="3" t="str">
        <f>IFERROR(__xludf.DUMMYFUNCTION("GOOGLETRANSLATE(C955,""fr"",""en"")"),"
After termination he tells me that it is not possible and forces me to pay when I never use their mutual they are unreachable on the phone")</f>
        <v>
After termination he tells me that it is not possible and forces me to pay when I never use their mutual they are unreachable on the phone</v>
      </c>
    </row>
    <row r="956" ht="15.75" customHeight="1">
      <c r="A956" s="2">
        <v>1.0</v>
      </c>
      <c r="B956" s="2" t="s">
        <v>2611</v>
      </c>
      <c r="C956" s="2" t="s">
        <v>2612</v>
      </c>
      <c r="D956" s="2" t="s">
        <v>373</v>
      </c>
      <c r="E956" s="2" t="s">
        <v>31</v>
      </c>
      <c r="F956" s="2" t="s">
        <v>15</v>
      </c>
      <c r="G956" s="2" t="s">
        <v>2613</v>
      </c>
      <c r="H956" s="2" t="s">
        <v>50</v>
      </c>
      <c r="I956" s="3" t="str">
        <f>IFERROR(__xludf.DUMMYFUNCTION("GOOGLETRANSLATE(C956,""fr"",""en"")"),"Please note this mutual insurance company does not between the Chatel law
Who says that the insurer must send the initiator at least 15 days before the deadline for denunciation of the contract. Having received the opinion on 12/20 for an end of contract"&amp;" on 12/31/ I sent a recommended termination due to a rate increase too high for my taste, it is refused because supposedly this mutual Between not within the framework of the Chatel law?
Who knows it?")</f>
        <v>Please note this mutual insurance company does not between the Chatel law
Who says that the insurer must send the initiator at least 15 days before the deadline for denunciation of the contract. Having received the opinion on 12/20 for an end of contract on 12/31/ I sent a recommended termination due to a rate increase too high for my taste, it is refused because supposedly this mutual Between not within the framework of the Chatel law?
Who knows it?</v>
      </c>
    </row>
    <row r="957" ht="15.75" customHeight="1">
      <c r="A957" s="2">
        <v>5.0</v>
      </c>
      <c r="B957" s="2" t="s">
        <v>2614</v>
      </c>
      <c r="C957" s="2" t="s">
        <v>2615</v>
      </c>
      <c r="D957" s="2" t="s">
        <v>13</v>
      </c>
      <c r="E957" s="2" t="s">
        <v>14</v>
      </c>
      <c r="F957" s="2" t="s">
        <v>15</v>
      </c>
      <c r="G957" s="2" t="s">
        <v>1832</v>
      </c>
      <c r="H957" s="2" t="s">
        <v>72</v>
      </c>
      <c r="I957" s="3" t="str">
        <f>IFERROR(__xludf.DUMMYFUNCTION("GOOGLETRANSLATE(C957,""fr"",""en"")"),"As far as I am concerned, the subscription to a contract was immediate and effective. In addition, the prices are affordable, the interlocutor is attentive and adapts contracts to our needs.
I recommend this insurer.
")</f>
        <v>As far as I am concerned, the subscription to a contract was immediate and effective. In addition, the prices are affordable, the interlocutor is attentive and adapts contracts to our needs.
I recommend this insurer.
</v>
      </c>
    </row>
    <row r="958" ht="15.75" customHeight="1">
      <c r="A958" s="2">
        <v>1.0</v>
      </c>
      <c r="B958" s="2" t="s">
        <v>2616</v>
      </c>
      <c r="C958" s="2" t="s">
        <v>2617</v>
      </c>
      <c r="D958" s="2" t="s">
        <v>24</v>
      </c>
      <c r="E958" s="2" t="s">
        <v>25</v>
      </c>
      <c r="F958" s="2" t="s">
        <v>15</v>
      </c>
      <c r="G958" s="2" t="s">
        <v>1150</v>
      </c>
      <c r="H958" s="2" t="s">
        <v>33</v>
      </c>
      <c r="I958" s="3" t="str">
        <f>IFERROR(__xludf.DUMMYFUNCTION("GOOGLETRANSLATE(C958,""fr"",""en"")"),"Very painful, ask 1000 pieces and take hostage for sending green card, I do not recommend! They are really not professional I am very disappointed the price is not all")</f>
        <v>Very painful, ask 1000 pieces and take hostage for sending green card, I do not recommend! They are really not professional I am very disappointed the price is not all</v>
      </c>
    </row>
    <row r="959" ht="15.75" customHeight="1">
      <c r="A959" s="2">
        <v>1.0</v>
      </c>
      <c r="B959" s="2" t="s">
        <v>2618</v>
      </c>
      <c r="C959" s="2" t="s">
        <v>2619</v>
      </c>
      <c r="D959" s="2" t="s">
        <v>80</v>
      </c>
      <c r="E959" s="2" t="s">
        <v>25</v>
      </c>
      <c r="F959" s="2" t="s">
        <v>15</v>
      </c>
      <c r="G959" s="2" t="s">
        <v>2620</v>
      </c>
      <c r="H959" s="2" t="s">
        <v>72</v>
      </c>
      <c r="I959" s="3" t="str">
        <f>IFERROR(__xludf.DUMMYFUNCTION("GOOGLETRANSLATE(C959,""fr"",""en"")"),"Price = 384 - Price level 1 Star - Satisfaction 1 Star (No)
I detail all aspects that may interest a surfer looking for insurance:
    Availability of customer advisers /10
    Insurance price 5/10
    quality of the intervention in the event of a"&amp;" claim /10
    Amount of reimbursements in the event of a claim /10
")</f>
        <v>Price = 384 - Price level 1 Star - Satisfaction 1 Star (No)
I detail all aspects that may interest a surfer looking for insurance:
    Availability of customer advisers /10
    Insurance price 5/10
    quality of the intervention in the event of a claim /10
    Amount of reimbursements in the event of a claim /10
</v>
      </c>
    </row>
    <row r="960" ht="15.75" customHeight="1">
      <c r="A960" s="2">
        <v>2.0</v>
      </c>
      <c r="B960" s="2" t="s">
        <v>2621</v>
      </c>
      <c r="C960" s="2" t="s">
        <v>2622</v>
      </c>
      <c r="D960" s="2" t="s">
        <v>61</v>
      </c>
      <c r="E960" s="2" t="s">
        <v>14</v>
      </c>
      <c r="F960" s="2" t="s">
        <v>15</v>
      </c>
      <c r="G960" s="2" t="s">
        <v>2623</v>
      </c>
      <c r="H960" s="2" t="s">
        <v>168</v>
      </c>
      <c r="I960" s="3" t="str">
        <f>IFERROR(__xludf.DUMMYFUNCTION("GOOGLETRANSLATE(C960,""fr"",""en"")"),"At the MAAF 2018 increase in my automotive contract by 6% while it can be read everywhere that the contracts increase by 2% to 3% in all other insurers.
Passed in an agency, I was given eccentric pretexts, without making a reduction when I have been insu"&amp;"red for more than 15 years with a good number of contracts, and 1 single non -responsible disaster.
It's on I will have to change insurer.")</f>
        <v>At the MAAF 2018 increase in my automotive contract by 6% while it can be read everywhere that the contracts increase by 2% to 3% in all other insurers.
Passed in an agency, I was given eccentric pretexts, without making a reduction when I have been insured for more than 15 years with a good number of contracts, and 1 single non -responsible disaster.
It's on I will have to change insurer.</v>
      </c>
    </row>
    <row r="961" ht="15.75" customHeight="1">
      <c r="A961" s="2">
        <v>5.0</v>
      </c>
      <c r="B961" s="2" t="s">
        <v>2624</v>
      </c>
      <c r="C961" s="2" t="s">
        <v>2625</v>
      </c>
      <c r="D961" s="2" t="s">
        <v>128</v>
      </c>
      <c r="E961" s="2" t="s">
        <v>97</v>
      </c>
      <c r="F961" s="2" t="s">
        <v>15</v>
      </c>
      <c r="G961" s="2" t="s">
        <v>1264</v>
      </c>
      <c r="H961" s="2" t="s">
        <v>17</v>
      </c>
      <c r="I961" s="3" t="str">
        <f>IFERROR(__xludf.DUMMYFUNCTION("GOOGLETRANSLATE(C961,""fr"",""en"")"),"Mr. Bellaiche was very effective, attentive and responsive. We advanced quickly on my file fluidity. A big thank-you !
Very good expertise.")</f>
        <v>Mr. Bellaiche was very effective, attentive and responsive. We advanced quickly on my file fluidity. A big thank-you !
Very good expertise.</v>
      </c>
    </row>
    <row r="962" ht="15.75" customHeight="1">
      <c r="A962" s="2">
        <v>5.0</v>
      </c>
      <c r="B962" s="2" t="s">
        <v>2626</v>
      </c>
      <c r="C962" s="2" t="s">
        <v>2627</v>
      </c>
      <c r="D962" s="2" t="s">
        <v>13</v>
      </c>
      <c r="E962" s="2" t="s">
        <v>14</v>
      </c>
      <c r="F962" s="2" t="s">
        <v>15</v>
      </c>
      <c r="G962" s="2" t="s">
        <v>1555</v>
      </c>
      <c r="H962" s="2" t="s">
        <v>149</v>
      </c>
      <c r="I962" s="3" t="str">
        <f>IFERROR(__xludf.DUMMYFUNCTION("GOOGLETRANSLATE(C962,""fr"",""en"")"),"I am very satisfied
Super decent price value
I am very happy with my Melissa advisor, very nice listening I recommend")</f>
        <v>I am very satisfied
Super decent price value
I am very happy with my Melissa advisor, very nice listening I recommend</v>
      </c>
    </row>
    <row r="963" ht="15.75" customHeight="1">
      <c r="A963" s="2">
        <v>2.0</v>
      </c>
      <c r="B963" s="2" t="s">
        <v>2628</v>
      </c>
      <c r="C963" s="2" t="s">
        <v>2629</v>
      </c>
      <c r="D963" s="2" t="s">
        <v>61</v>
      </c>
      <c r="E963" s="2" t="s">
        <v>14</v>
      </c>
      <c r="F963" s="2" t="s">
        <v>15</v>
      </c>
      <c r="G963" s="2" t="s">
        <v>2630</v>
      </c>
      <c r="H963" s="2" t="s">
        <v>1094</v>
      </c>
      <c r="I963" s="3" t="str">
        <f>IFERROR(__xludf.DUMMYFUNCTION("GOOGLETRANSLATE(C963,""fr"",""en"")"),"Lamentable insurer. To avoid absolutely! I have a 0.51 bonus ...
More than 12 years without responsible accident.
It's been several years since I have been affiliated with the MAAF (housing and successive vehicles). But there, I actively look for a comp"&amp;"any to go.
This is why: I buy a supplemented car for weekends, I call the MAAF before purchasing for a quote. It's ok, I am sent to me by email. I recover the car to Germany with German transit insurance, valid for 2 weeks (even in France). I remind the "&amp;"Maaf to join the insurance of which I received the quote And there, I am told that we can't assure you! This will deperate from the Maaf agency where you are insured, which in my case refuses to validate my insurance because you had 2 broken ice (not resp"&amp;"onsible) in January 2016 and year 2014! We are in June 2017 !!
Basically, I cannot provide additional vehicles at Maaf because I am not profitable enough for them simply. It's a shame!!
I have repeatedly tried to reach the Maaf agency in Metz Saint Jacq"&amp;"ues to have additional information, alternatives. The employees of the Maaf telephone platform have left instructions so that I am reminded. In 48 hours still nothing.
Just scandalous!")</f>
        <v>Lamentable insurer. To avoid absolutely! I have a 0.51 bonus ...
More than 12 years without responsible accident.
It's been several years since I have been affiliated with the MAAF (housing and successive vehicles). But there, I actively look for a company to go.
This is why: I buy a supplemented car for weekends, I call the MAAF before purchasing for a quote. It's ok, I am sent to me by email. I recover the car to Germany with German transit insurance, valid for 2 weeks (even in France). I remind the Maaf to join the insurance of which I received the quote And there, I am told that we can't assure you! This will deperate from the Maaf agency where you are insured, which in my case refuses to validate my insurance because you had 2 broken ice (not responsible) in January 2016 and year 2014! We are in June 2017 !!
Basically, I cannot provide additional vehicles at Maaf because I am not profitable enough for them simply. It's a shame!!
I have repeatedly tried to reach the Maaf agency in Metz Saint Jacques to have additional information, alternatives. The employees of the Maaf telephone platform have left instructions so that I am reminded. In 48 hours still nothing.
Just scandalous!</v>
      </c>
    </row>
    <row r="964" ht="15.75" customHeight="1">
      <c r="A964" s="2">
        <v>4.0</v>
      </c>
      <c r="B964" s="2" t="s">
        <v>2631</v>
      </c>
      <c r="C964" s="2" t="s">
        <v>2632</v>
      </c>
      <c r="D964" s="2" t="s">
        <v>43</v>
      </c>
      <c r="E964" s="2" t="s">
        <v>14</v>
      </c>
      <c r="F964" s="2" t="s">
        <v>15</v>
      </c>
      <c r="G964" s="2" t="s">
        <v>214</v>
      </c>
      <c r="H964" s="2" t="s">
        <v>149</v>
      </c>
      <c r="I964" s="3" t="str">
        <f>IFERROR(__xludf.DUMMYFUNCTION("GOOGLETRANSLATE(C964,""fr"",""en"")"),"Only insurance that covers customs tax costs and no limitation to 90 days like most other companies. offices in many places")</f>
        <v>Only insurance that covers customs tax costs and no limitation to 90 days like most other companies. offices in many places</v>
      </c>
    </row>
    <row r="965" ht="15.75" customHeight="1">
      <c r="A965" s="2">
        <v>1.0</v>
      </c>
      <c r="B965" s="2" t="s">
        <v>2633</v>
      </c>
      <c r="C965" s="2" t="s">
        <v>2634</v>
      </c>
      <c r="D965" s="2" t="s">
        <v>20</v>
      </c>
      <c r="E965" s="2" t="s">
        <v>14</v>
      </c>
      <c r="F965" s="2" t="s">
        <v>15</v>
      </c>
      <c r="G965" s="2" t="s">
        <v>2635</v>
      </c>
      <c r="H965" s="2" t="s">
        <v>589</v>
      </c>
      <c r="I965" s="3" t="str">
        <f>IFERROR(__xludf.DUMMYFUNCTION("GOOGLETRANSLATE(C965,""fr"",""en"")"),"Please note, very attractive price in the 1st year, then +19% increase. You call them, it promises you a check to limit the increase you do not receive.
Today, + 10%.
In total, over 3 years, +29% while the bonus is 0.5 !!
A word of advice, avoid direct"&amp;" insurance or stay there for a year ..... but beware, then difficult to get out of it.
I therefore advise you not to go with direct insurance ....")</f>
        <v>Please note, very attractive price in the 1st year, then +19% increase. You call them, it promises you a check to limit the increase you do not receive.
Today, + 10%.
In total, over 3 years, +29% while the bonus is 0.5 !!
A word of advice, avoid direct insurance or stay there for a year ..... but beware, then difficult to get out of it.
I therefore advise you not to go with direct insurance ....</v>
      </c>
    </row>
    <row r="966" ht="15.75" customHeight="1">
      <c r="A966" s="2">
        <v>4.0</v>
      </c>
      <c r="B966" s="2" t="s">
        <v>2636</v>
      </c>
      <c r="C966" s="2" t="s">
        <v>2637</v>
      </c>
      <c r="D966" s="2" t="s">
        <v>20</v>
      </c>
      <c r="E966" s="2" t="s">
        <v>14</v>
      </c>
      <c r="F966" s="2" t="s">
        <v>15</v>
      </c>
      <c r="G966" s="2" t="s">
        <v>2044</v>
      </c>
      <c r="H966" s="2" t="s">
        <v>27</v>
      </c>
      <c r="I966" s="3" t="str">
        <f>IFERROR(__xludf.DUMMYFUNCTION("GOOGLETRANSLATE(C966,""fr"",""en"")"),"Online procedures are quick, quotes are easy to make, the responses are immediate and the ease of the forms to be completed is practical")</f>
        <v>Online procedures are quick, quotes are easy to make, the responses are immediate and the ease of the forms to be completed is practical</v>
      </c>
    </row>
    <row r="967" ht="15.75" customHeight="1">
      <c r="A967" s="2">
        <v>4.0</v>
      </c>
      <c r="B967" s="2" t="s">
        <v>2638</v>
      </c>
      <c r="C967" s="2" t="s">
        <v>2639</v>
      </c>
      <c r="D967" s="2" t="s">
        <v>190</v>
      </c>
      <c r="E967" s="2" t="s">
        <v>31</v>
      </c>
      <c r="F967" s="2" t="s">
        <v>15</v>
      </c>
      <c r="G967" s="2" t="s">
        <v>2320</v>
      </c>
      <c r="H967" s="2" t="s">
        <v>27</v>
      </c>
      <c r="I967" s="3" t="str">
        <f>IFERROR(__xludf.DUMMYFUNCTION("GOOGLETRANSLATE(C967,""fr"",""en"")"),"Hello, Rita that I had on the phone was extraordinary patience, effective in my requests, and very courteous. Thank you again for her patience Ms. Medal Martine good afternoon")</f>
        <v>Hello, Rita that I had on the phone was extraordinary patience, effective in my requests, and very courteous. Thank you again for her patience Ms. Medal Martine good afternoon</v>
      </c>
    </row>
    <row r="968" ht="15.75" customHeight="1">
      <c r="A968" s="2">
        <v>4.0</v>
      </c>
      <c r="B968" s="2" t="s">
        <v>2640</v>
      </c>
      <c r="C968" s="2" t="s">
        <v>2641</v>
      </c>
      <c r="D968" s="2" t="s">
        <v>453</v>
      </c>
      <c r="E968" s="2" t="s">
        <v>329</v>
      </c>
      <c r="F968" s="2" t="s">
        <v>15</v>
      </c>
      <c r="G968" s="2" t="s">
        <v>2642</v>
      </c>
      <c r="H968" s="2" t="s">
        <v>423</v>
      </c>
      <c r="I968" s="3" t="str">
        <f>IFERROR(__xludf.DUMMYFUNCTION("GOOGLETRANSLATE(C968,""fr"",""en"")"),"I am very surprised by negative comments. I benefit from a premium contract for my pug (fragile dog). Apart from the franchise of 75 euros per year (provided for in the contract), I have always been very well reimbursed and very quickly. As much in preven"&amp;"tion as in illness. Personally, I recommend it. But you have to pay the price, as for all insurance.")</f>
        <v>I am very surprised by negative comments. I benefit from a premium contract for my pug (fragile dog). Apart from the franchise of 75 euros per year (provided for in the contract), I have always been very well reimbursed and very quickly. As much in prevention as in illness. Personally, I recommend it. But you have to pay the price, as for all insurance.</v>
      </c>
    </row>
    <row r="969" ht="15.75" customHeight="1">
      <c r="A969" s="2">
        <v>1.0</v>
      </c>
      <c r="B969" s="2" t="s">
        <v>2643</v>
      </c>
      <c r="C969" s="2" t="s">
        <v>2644</v>
      </c>
      <c r="D969" s="2" t="s">
        <v>20</v>
      </c>
      <c r="E969" s="2" t="s">
        <v>14</v>
      </c>
      <c r="F969" s="2" t="s">
        <v>15</v>
      </c>
      <c r="G969" s="2" t="s">
        <v>2645</v>
      </c>
      <c r="H969" s="2" t="s">
        <v>50</v>
      </c>
      <c r="I969" s="3" t="str">
        <f>IFERROR(__xludf.DUMMYFUNCTION("GOOGLETRANSLATE(C969,""fr"",""en"")"),"To run away absolutely, I wanted to terminate them by calling them because prices have increased, they offer me a new cheaper price that I verbally accept like a CO. Because the concern is that the first contract is not canceled, I find myself with two co"&amp;"ntracts to pay for a single car,")</f>
        <v>To run away absolutely, I wanted to terminate them by calling them because prices have increased, they offer me a new cheaper price that I verbally accept like a CO. Because the concern is that the first contract is not canceled, I find myself with two contracts to pay for a single car,</v>
      </c>
    </row>
    <row r="970" ht="15.75" customHeight="1">
      <c r="A970" s="2">
        <v>3.0</v>
      </c>
      <c r="B970" s="2" t="s">
        <v>2646</v>
      </c>
      <c r="C970" s="2" t="s">
        <v>2647</v>
      </c>
      <c r="D970" s="2" t="s">
        <v>30</v>
      </c>
      <c r="E970" s="2" t="s">
        <v>31</v>
      </c>
      <c r="F970" s="2" t="s">
        <v>15</v>
      </c>
      <c r="G970" s="2" t="s">
        <v>2648</v>
      </c>
      <c r="H970" s="2" t="s">
        <v>40</v>
      </c>
      <c r="I970" s="3" t="str">
        <f>IFERROR(__xludf.DUMMYFUNCTION("GOOGLETRANSLATE(C970,""fr"",""en"")"),"Following my telephone call this day concerning my inner health, the person I had on the phone knew how to reassure me that I had not taken the inner since November 2019 but if I wanted I 'was not obliged to settle the sum of 300 euros for the year 2019. "&amp;"However, since September 2020 I have adhered to the inner and I took note that for the month of November and December the samples will be approximately 50 euros because for the month of September and October the samples were not taken.")</f>
        <v>Following my telephone call this day concerning my inner health, the person I had on the phone knew how to reassure me that I had not taken the inner since November 2019 but if I wanted I 'was not obliged to settle the sum of 300 euros for the year 2019. However, since September 2020 I have adhered to the inner and I took note that for the month of November and December the samples will be approximately 50 euros because for the month of September and October the samples were not taken.</v>
      </c>
    </row>
    <row r="971" ht="15.75" customHeight="1">
      <c r="A971" s="2">
        <v>5.0</v>
      </c>
      <c r="B971" s="2" t="s">
        <v>2649</v>
      </c>
      <c r="C971" s="2" t="s">
        <v>2650</v>
      </c>
      <c r="D971" s="2" t="s">
        <v>13</v>
      </c>
      <c r="E971" s="2" t="s">
        <v>14</v>
      </c>
      <c r="F971" s="2" t="s">
        <v>15</v>
      </c>
      <c r="G971" s="2" t="s">
        <v>2651</v>
      </c>
      <c r="H971" s="2" t="s">
        <v>334</v>
      </c>
      <c r="I971" s="3" t="str">
        <f>IFERROR(__xludf.DUMMYFUNCTION("GOOGLETRANSLATE(C971,""fr"",""en"")"),"Second contract that I subscribe to the Olivier Insurance, the prices are satisfactory, the subscription is fast and simple. I recommend 100% :)")</f>
        <v>Second contract that I subscribe to the Olivier Insurance, the prices are satisfactory, the subscription is fast and simple. I recommend 100% :)</v>
      </c>
    </row>
    <row r="972" ht="15.75" customHeight="1">
      <c r="A972" s="2">
        <v>4.0</v>
      </c>
      <c r="B972" s="2" t="s">
        <v>2652</v>
      </c>
      <c r="C972" s="2" t="s">
        <v>2653</v>
      </c>
      <c r="D972" s="2" t="s">
        <v>13</v>
      </c>
      <c r="E972" s="2" t="s">
        <v>14</v>
      </c>
      <c r="F972" s="2" t="s">
        <v>15</v>
      </c>
      <c r="G972" s="2" t="s">
        <v>1395</v>
      </c>
      <c r="H972" s="2" t="s">
        <v>125</v>
      </c>
      <c r="I972" s="3" t="str">
        <f>IFERROR(__xludf.DUMMYFUNCTION("GOOGLETRANSLATE(C972,""fr"",""en"")"),"Very well thank you to the advisor who guided me I am satisfied with the prices and the care. It’s much better than my former insurer who was much more expensive for the same thing")</f>
        <v>Very well thank you to the advisor who guided me I am satisfied with the prices and the care. It’s much better than my former insurer who was much more expensive for the same thing</v>
      </c>
    </row>
    <row r="973" ht="15.75" customHeight="1">
      <c r="A973" s="2">
        <v>4.0</v>
      </c>
      <c r="B973" s="2" t="s">
        <v>2654</v>
      </c>
      <c r="C973" s="2" t="s">
        <v>2655</v>
      </c>
      <c r="D973" s="2" t="s">
        <v>190</v>
      </c>
      <c r="E973" s="2" t="s">
        <v>31</v>
      </c>
      <c r="F973" s="2" t="s">
        <v>15</v>
      </c>
      <c r="G973" s="2" t="s">
        <v>2656</v>
      </c>
      <c r="H973" s="2" t="s">
        <v>477</v>
      </c>
      <c r="I973" s="3" t="str">
        <f>IFERROR(__xludf.DUMMYFUNCTION("GOOGLETRANSLATE(C973,""fr"",""en"")"),"Very good value for money, I needed a mutual for my mother aged 74 with modest income. I was very well informed by my successive interlocutors, including Caroline very recently.")</f>
        <v>Very good value for money, I needed a mutual for my mother aged 74 with modest income. I was very well informed by my successive interlocutors, including Caroline very recently.</v>
      </c>
    </row>
    <row r="974" ht="15.75" customHeight="1">
      <c r="A974" s="2">
        <v>3.0</v>
      </c>
      <c r="B974" s="2" t="s">
        <v>2657</v>
      </c>
      <c r="C974" s="2" t="s">
        <v>2658</v>
      </c>
      <c r="D974" s="2" t="s">
        <v>13</v>
      </c>
      <c r="E974" s="2" t="s">
        <v>14</v>
      </c>
      <c r="F974" s="2" t="s">
        <v>15</v>
      </c>
      <c r="G974" s="2" t="s">
        <v>2659</v>
      </c>
      <c r="H974" s="2" t="s">
        <v>125</v>
      </c>
      <c r="I974" s="3" t="str">
        <f>IFERROR(__xludf.DUMMYFUNCTION("GOOGLETRANSLATE(C974,""fr"",""en"")"),"Quick competitive price but still a little expensive I called to be helping and the person on the phone was very friendly and took the time to explain everything to me")</f>
        <v>Quick competitive price but still a little expensive I called to be helping and the person on the phone was very friendly and took the time to explain everything to me</v>
      </c>
    </row>
    <row r="975" ht="15.75" customHeight="1">
      <c r="A975" s="2">
        <v>4.0</v>
      </c>
      <c r="B975" s="2" t="s">
        <v>2660</v>
      </c>
      <c r="C975" s="2" t="s">
        <v>2661</v>
      </c>
      <c r="D975" s="2" t="s">
        <v>13</v>
      </c>
      <c r="E975" s="2" t="s">
        <v>14</v>
      </c>
      <c r="F975" s="2" t="s">
        <v>15</v>
      </c>
      <c r="G975" s="2" t="s">
        <v>2030</v>
      </c>
      <c r="H975" s="2" t="s">
        <v>27</v>
      </c>
      <c r="I975" s="3" t="str">
        <f>IFERROR(__xludf.DUMMYFUNCTION("GOOGLETRANSLATE(C975,""fr"",""en"")"),"I am satisfied with the proposal.
I was very well informed during my phone call.
Everything is clear, complete, fast and efficient!
No complaints")</f>
        <v>I am satisfied with the proposal.
I was very well informed during my phone call.
Everything is clear, complete, fast and efficient!
No complaints</v>
      </c>
    </row>
    <row r="976" ht="15.75" customHeight="1">
      <c r="A976" s="2">
        <v>3.0</v>
      </c>
      <c r="B976" s="2" t="s">
        <v>2662</v>
      </c>
      <c r="C976" s="2" t="s">
        <v>2663</v>
      </c>
      <c r="D976" s="2" t="s">
        <v>43</v>
      </c>
      <c r="E976" s="2" t="s">
        <v>91</v>
      </c>
      <c r="F976" s="2" t="s">
        <v>15</v>
      </c>
      <c r="G976" s="2" t="s">
        <v>2664</v>
      </c>
      <c r="H976" s="2" t="s">
        <v>589</v>
      </c>
      <c r="I976" s="3" t="str">
        <f>IFERROR(__xludf.DUMMYFUNCTION("GOOGLETRANSLATE(C976,""fr"",""en"")"),"My whole family has been a client at the Macif for several years ... He never happened to me! And when I am a student and when I do not receive money: burglary. The Macif does not take the repairs of the window in charge! What is the point of paying insur"&amp;"ance for years if it cannot help you when something happens to you that is not your fault. I touch 650 € per month .... I have to pay rent, food, gasoline and also repair this famous window which is € 750. Is this normal? Is the only solution to leave thi"&amp;"s insurance that does not respond to our requests?")</f>
        <v>My whole family has been a client at the Macif for several years ... He never happened to me! And when I am a student and when I do not receive money: burglary. The Macif does not take the repairs of the window in charge! What is the point of paying insurance for years if it cannot help you when something happens to you that is not your fault. I touch 650 € per month .... I have to pay rent, food, gasoline and also repair this famous window which is € 750. Is this normal? Is the only solution to leave this insurance that does not respond to our requests?</v>
      </c>
    </row>
    <row r="977" ht="15.75" customHeight="1">
      <c r="A977" s="2">
        <v>1.0</v>
      </c>
      <c r="B977" s="2" t="s">
        <v>2665</v>
      </c>
      <c r="C977" s="2" t="s">
        <v>2666</v>
      </c>
      <c r="D977" s="2" t="s">
        <v>20</v>
      </c>
      <c r="E977" s="2" t="s">
        <v>14</v>
      </c>
      <c r="F977" s="2" t="s">
        <v>15</v>
      </c>
      <c r="G977" s="2" t="s">
        <v>2667</v>
      </c>
      <c r="H977" s="2" t="s">
        <v>109</v>
      </c>
      <c r="I977" s="3" t="str">
        <f>IFERROR(__xludf.DUMMYFUNCTION("GOOGLETRANSLATE(C977,""fr"",""en"")"),"Watch out for abusive practices: problems at the Hauts de Seine prefecture for the establishment of my gray card. Provisional warranty suspended for the first time, still no card received. Reception of an email telling me to complete my file, which I was "&amp;"still unable to do (gray card still not received). Reception today of a letter of termination of my contract (without mail recommends preatable to the sending of which articles L. 113-1 and following of the insurance code, however, submit the termination "&amp;"to the initiative of the insurer). I call customer service which opposes me the email (however little explicit) as well as a phone call from an advisor who dates from a week ago without a vocal message indicating the risk incurred of termination. This wou"&amp;"ld have cost this advisor for a few seconds and would have allowed me to react in time (especially since it was ultimately only the photograph of my license that lacked ....). I lose my case fees and I see my insurance premiums offered by the other assure"&amp;"s more than doubled: the termination takes effect even before the mail which leaves several days without insurance and sticks me for 5 years the status "" insurer terminated "". No solution offered by all the services contacted ...")</f>
        <v>Watch out for abusive practices: problems at the Hauts de Seine prefecture for the establishment of my gray card. Provisional warranty suspended for the first time, still no card received. Reception of an email telling me to complete my file, which I was still unable to do (gray card still not received). Reception today of a letter of termination of my contract (without mail recommends preatable to the sending of which articles L. 113-1 and following of the insurance code, however, submit the termination to the initiative of the insurer). I call customer service which opposes me the email (however little explicit) as well as a phone call from an advisor who dates from a week ago without a vocal message indicating the risk incurred of termination. This would have cost this advisor for a few seconds and would have allowed me to react in time (especially since it was ultimately only the photograph of my license that lacked ....). I lose my case fees and I see my insurance premiums offered by the other assures more than doubled: the termination takes effect even before the mail which leaves several days without insurance and sticks me for 5 years the status " insurer terminated ". No solution offered by all the services contacted ...</v>
      </c>
    </row>
    <row r="978" ht="15.75" customHeight="1">
      <c r="A978" s="2">
        <v>1.0</v>
      </c>
      <c r="B978" s="2" t="s">
        <v>2668</v>
      </c>
      <c r="C978" s="2" t="s">
        <v>2669</v>
      </c>
      <c r="D978" s="2" t="s">
        <v>598</v>
      </c>
      <c r="E978" s="2" t="s">
        <v>329</v>
      </c>
      <c r="F978" s="2" t="s">
        <v>15</v>
      </c>
      <c r="G978" s="2" t="s">
        <v>898</v>
      </c>
      <c r="H978" s="2" t="s">
        <v>152</v>
      </c>
      <c r="I978" s="3" t="str">
        <f>IFERROR(__xludf.DUMMYFUNCTION("GOOGLETRANSLATE(C978,""fr"",""en"")"),"DEPLOIVABLE SERVICE
NO REFUND
Loss of letters for reimbursements from their services
Insurance to flee ....")</f>
        <v>DEPLOIVABLE SERVICE
NO REFUND
Loss of letters for reimbursements from their services
Insurance to flee ....</v>
      </c>
    </row>
    <row r="979" ht="15.75" customHeight="1">
      <c r="A979" s="2">
        <v>4.0</v>
      </c>
      <c r="B979" s="2" t="s">
        <v>2670</v>
      </c>
      <c r="C979" s="2" t="s">
        <v>2671</v>
      </c>
      <c r="D979" s="2" t="s">
        <v>80</v>
      </c>
      <c r="E979" s="2" t="s">
        <v>25</v>
      </c>
      <c r="F979" s="2" t="s">
        <v>15</v>
      </c>
      <c r="G979" s="2" t="s">
        <v>268</v>
      </c>
      <c r="H979" s="2" t="s">
        <v>27</v>
      </c>
      <c r="I979" s="3" t="str">
        <f>IFERROR(__xludf.DUMMYFUNCTION("GOOGLETRANSLATE(C979,""fr"",""en"")"),"Super site, simple and efficient to subscribe to insurance quickly. Secure and fluid payment. The prices charged are very interesting. EN E")</f>
        <v>Super site, simple and efficient to subscribe to insurance quickly. Secure and fluid payment. The prices charged are very interesting. EN E</v>
      </c>
    </row>
    <row r="980" ht="15.75" customHeight="1">
      <c r="A980" s="2">
        <v>1.0</v>
      </c>
      <c r="B980" s="2" t="s">
        <v>2672</v>
      </c>
      <c r="C980" s="2" t="s">
        <v>2673</v>
      </c>
      <c r="D980" s="2" t="s">
        <v>502</v>
      </c>
      <c r="E980" s="2" t="s">
        <v>25</v>
      </c>
      <c r="F980" s="2" t="s">
        <v>15</v>
      </c>
      <c r="G980" s="2" t="s">
        <v>2674</v>
      </c>
      <c r="H980" s="2" t="s">
        <v>458</v>
      </c>
      <c r="I980" s="3" t="str">
        <f>IFERROR(__xludf.DUMMYFUNCTION("GOOGLETRANSLATE(C980,""fr"",""en"")"),"Light bodily accident Motorcycle not responsible in 2014. Dossier has finally ended with the help of a lawyer and after many reminders and the feeling of being considered more as an adversary than an adherent. Total incapacity of the manager.")</f>
        <v>Light bodily accident Motorcycle not responsible in 2014. Dossier has finally ended with the help of a lawyer and after many reminders and the feeling of being considered more as an adversary than an adherent. Total incapacity of the manager.</v>
      </c>
    </row>
    <row r="981" ht="15.75" customHeight="1">
      <c r="A981" s="2">
        <v>2.0</v>
      </c>
      <c r="B981" s="2" t="s">
        <v>2675</v>
      </c>
      <c r="C981" s="2" t="s">
        <v>2676</v>
      </c>
      <c r="D981" s="2" t="s">
        <v>43</v>
      </c>
      <c r="E981" s="2" t="s">
        <v>91</v>
      </c>
      <c r="F981" s="2" t="s">
        <v>15</v>
      </c>
      <c r="G981" s="2" t="s">
        <v>2593</v>
      </c>
      <c r="H981" s="2" t="s">
        <v>911</v>
      </c>
      <c r="I981" s="3" t="str">
        <f>IFERROR(__xludf.DUMMYFUNCTION("GOOGLETRANSLATE(C981,""fr"",""en"")"),"Bad customer service")</f>
        <v>Bad customer service</v>
      </c>
    </row>
    <row r="982" ht="15.75" customHeight="1">
      <c r="A982" s="2">
        <v>3.0</v>
      </c>
      <c r="B982" s="2" t="s">
        <v>2677</v>
      </c>
      <c r="C982" s="2" t="s">
        <v>2678</v>
      </c>
      <c r="D982" s="2" t="s">
        <v>190</v>
      </c>
      <c r="E982" s="2" t="s">
        <v>31</v>
      </c>
      <c r="F982" s="2" t="s">
        <v>15</v>
      </c>
      <c r="G982" s="2" t="s">
        <v>2343</v>
      </c>
      <c r="H982" s="2" t="s">
        <v>477</v>
      </c>
      <c r="I982" s="3" t="str">
        <f>IFERROR(__xludf.DUMMYFUNCTION("GOOGLETRANSLATE(C982,""fr"",""en"")"),"Good contact with Alicia, well explained.")</f>
        <v>Good contact with Alicia, well explained.</v>
      </c>
    </row>
    <row r="983" ht="15.75" customHeight="1">
      <c r="A983" s="2">
        <v>1.0</v>
      </c>
      <c r="B983" s="2" t="s">
        <v>2679</v>
      </c>
      <c r="C983" s="2" t="s">
        <v>2680</v>
      </c>
      <c r="D983" s="2" t="s">
        <v>280</v>
      </c>
      <c r="E983" s="2" t="s">
        <v>14</v>
      </c>
      <c r="F983" s="2" t="s">
        <v>15</v>
      </c>
      <c r="G983" s="2" t="s">
        <v>2681</v>
      </c>
      <c r="H983" s="2" t="s">
        <v>218</v>
      </c>
      <c r="I983" s="3" t="str">
        <f>IFERROR(__xludf.DUMMYFUNCTION("GOOGLETRANSLATE(C983,""fr"",""en"")"),"I do not recommend the matmut to insure for over 40 years a car struck me from the back and it is I who is in wrong? !! ??? And who had to pay the franchise to take a penalty and increase in insurance")</f>
        <v>I do not recommend the matmut to insure for over 40 years a car struck me from the back and it is I who is in wrong? !! ??? And who had to pay the franchise to take a penalty and increase in insurance</v>
      </c>
    </row>
    <row r="984" ht="15.75" customHeight="1">
      <c r="A984" s="2">
        <v>5.0</v>
      </c>
      <c r="B984" s="2" t="s">
        <v>2682</v>
      </c>
      <c r="C984" s="2" t="s">
        <v>2683</v>
      </c>
      <c r="D984" s="2" t="s">
        <v>20</v>
      </c>
      <c r="E984" s="2" t="s">
        <v>14</v>
      </c>
      <c r="F984" s="2" t="s">
        <v>15</v>
      </c>
      <c r="G984" s="2" t="s">
        <v>441</v>
      </c>
      <c r="H984" s="2" t="s">
        <v>17</v>
      </c>
      <c r="I984" s="3" t="str">
        <f>IFERROR(__xludf.DUMMYFUNCTION("GOOGLETRANSLATE(C984,""fr"",""en"")"),"simple and practical and above all cheaper by aport at the service offers
satisfaction so far
  listening
reachable
detailed contract and offers all year round
")</f>
        <v>simple and practical and above all cheaper by aport at the service offers
satisfaction so far
  listening
reachable
detailed contract and offers all year round
</v>
      </c>
    </row>
    <row r="985" ht="15.75" customHeight="1">
      <c r="A985" s="2">
        <v>2.0</v>
      </c>
      <c r="B985" s="2" t="s">
        <v>2684</v>
      </c>
      <c r="C985" s="2" t="s">
        <v>2685</v>
      </c>
      <c r="D985" s="2" t="s">
        <v>373</v>
      </c>
      <c r="E985" s="2" t="s">
        <v>31</v>
      </c>
      <c r="F985" s="2" t="s">
        <v>15</v>
      </c>
      <c r="G985" s="2" t="s">
        <v>2686</v>
      </c>
      <c r="H985" s="2" t="s">
        <v>140</v>
      </c>
      <c r="I985" s="3" t="str">
        <f>IFERROR(__xludf.DUMMYFUNCTION("GOOGLETRANSLATE(C985,""fr"",""en"")"),"We have a health contract at Cegema we sent a termination letter on October 02 so well 2 months before December 31 and he refuses to terminate us, Cegema claims us the acknowledgment of receipt and we do not have it ... We still have proof of deposit and "&amp;"despite that he refuses ... They even tell me to consult a lawyer ... Cegema to flee.")</f>
        <v>We have a health contract at Cegema we sent a termination letter on October 02 so well 2 months before December 31 and he refuses to terminate us, Cegema claims us the acknowledgment of receipt and we do not have it ... We still have proof of deposit and despite that he refuses ... They even tell me to consult a lawyer ... Cegema to flee.</v>
      </c>
    </row>
    <row r="986" ht="15.75" customHeight="1">
      <c r="A986" s="2">
        <v>4.0</v>
      </c>
      <c r="B986" s="2" t="s">
        <v>2687</v>
      </c>
      <c r="C986" s="2" t="s">
        <v>2688</v>
      </c>
      <c r="D986" s="2" t="s">
        <v>13</v>
      </c>
      <c r="E986" s="2" t="s">
        <v>14</v>
      </c>
      <c r="F986" s="2" t="s">
        <v>15</v>
      </c>
      <c r="G986" s="2" t="s">
        <v>812</v>
      </c>
      <c r="H986" s="2" t="s">
        <v>58</v>
      </c>
      <c r="I986" s="3" t="str">
        <f>IFERROR(__xludf.DUMMYFUNCTION("GOOGLETRANSLATE(C986,""fr"",""en"")"),"I am perfectly satisfied with the very simple friendly service…. And I think that at the price is very well placed from what I can look next.")</f>
        <v>I am perfectly satisfied with the very simple friendly service…. And I think that at the price is very well placed from what I can look next.</v>
      </c>
    </row>
    <row r="987" ht="15.75" customHeight="1">
      <c r="A987" s="2">
        <v>5.0</v>
      </c>
      <c r="B987" s="2" t="s">
        <v>2689</v>
      </c>
      <c r="C987" s="2" t="s">
        <v>2690</v>
      </c>
      <c r="D987" s="2" t="s">
        <v>20</v>
      </c>
      <c r="E987" s="2" t="s">
        <v>14</v>
      </c>
      <c r="F987" s="2" t="s">
        <v>15</v>
      </c>
      <c r="G987" s="2" t="s">
        <v>71</v>
      </c>
      <c r="H987" s="2" t="s">
        <v>72</v>
      </c>
      <c r="I987" s="3" t="str">
        <f>IFERROR(__xludf.DUMMYFUNCTION("GOOGLETRANSLATE(C987,""fr"",""en"")"),"very effective service both for the quote and for the subscription
Easy online subscription for the customer
competitive price
The fact of doing everything online is perfect
")</f>
        <v>very effective service both for the quote and for the subscription
Easy online subscription for the customer
competitive price
The fact of doing everything online is perfect
</v>
      </c>
    </row>
    <row r="988" ht="15.75" customHeight="1">
      <c r="A988" s="2">
        <v>1.0</v>
      </c>
      <c r="B988" s="2" t="s">
        <v>2691</v>
      </c>
      <c r="C988" s="2" t="s">
        <v>2692</v>
      </c>
      <c r="D988" s="2" t="s">
        <v>96</v>
      </c>
      <c r="E988" s="2" t="s">
        <v>97</v>
      </c>
      <c r="F988" s="2" t="s">
        <v>15</v>
      </c>
      <c r="G988" s="2" t="s">
        <v>2693</v>
      </c>
      <c r="H988" s="2" t="s">
        <v>164</v>
      </c>
      <c r="I988" s="3" t="str">
        <f>IFERROR(__xludf.DUMMYFUNCTION("GOOGLETRANSLATE(C988,""fr"",""en"")"),"Hello; I am totally desperate from the attitude of Metlife. Customer for more than 10 years, I have taken steps on 18 8 2019 following an agreement from my bank for the renegotiation of my immobiller loans for which I have to make 2 successive endorsement"&amp;"s (modification of the TX then the reimbursement unit); After receiving the written agreements from BNP and Metlife, I transmitted all the documents at the end of August 2019. Since then nothing happens. 2 times, I contacted Metlife by phone. The advisers"&amp;" confirmed to me that the file was complete and that it would be processed within 2 months max ... On the other hand, no response to my emails, even no acknowledgment of receipt. 5 months later, I am disgusted with the attitude of this insurer which does "&amp;"not respect its customers or its contractual obligations and jeopardize my renegotiation of loan. Total silence; 0 email, 0 call, nothing but sterile wait.
On the other hand, by rage and spite, I made a quote request at the end of 2019 on the Metlife web"&amp;"site and there, oh surprise! An advisor called me less than 3 minutes after making my request, which proves that Metlife seeks to attract customers but does not care about its existing customers. This advisor sprained me his beautiful speech on the fact t"&amp;"hat Metlife was reactive in the processing of files (lol!) That I will have an answer soon but that there were a lot of late files.
But honestly, as a customer, I don't care that Metlife is late, the company simply has to recruit to fill its delay ...
I"&amp;"n short, I find this insurer completely desperate and scandalously disrespectful of its customers; Knowing that I have to make 2 endorsements, I fear never being able to succeed in my efforts if I need 6 months or more between each approach; Except to fin"&amp;"d another more responsive insurer,
In short, I totally advise against this completely disrespectful and disappointing insurer.")</f>
        <v>Hello; I am totally desperate from the attitude of Metlife. Customer for more than 10 years, I have taken steps on 18 8 2019 following an agreement from my bank for the renegotiation of my immobiller loans for which I have to make 2 successive endorsements (modification of the TX then the reimbursement unit); After receiving the written agreements from BNP and Metlife, I transmitted all the documents at the end of August 2019. Since then nothing happens. 2 times, I contacted Metlife by phone. The advisers confirmed to me that the file was complete and that it would be processed within 2 months max ... On the other hand, no response to my emails, even no acknowledgment of receipt. 5 months later, I am disgusted with the attitude of this insurer which does not respect its customers or its contractual obligations and jeopardize my renegotiation of loan. Total silence; 0 email, 0 call, nothing but sterile wait.
On the other hand, by rage and spite, I made a quote request at the end of 2019 on the Metlife website and there, oh surprise! An advisor called me less than 3 minutes after making my request, which proves that Metlife seeks to attract customers but does not care about its existing customers. This advisor sprained me his beautiful speech on the fact that Metlife was reactive in the processing of files (lol!) That I will have an answer soon but that there were a lot of late files.
But honestly, as a customer, I don't care that Metlife is late, the company simply has to recruit to fill its delay ...
In short, I find this insurer completely desperate and scandalously disrespectful of its customers; Knowing that I have to make 2 endorsements, I fear never being able to succeed in my efforts if I need 6 months or more between each approach; Except to find another more responsive insurer,
In short, I totally advise against this completely disrespectful and disappointing insurer.</v>
      </c>
    </row>
    <row r="989" ht="15.75" customHeight="1">
      <c r="A989" s="2">
        <v>4.0</v>
      </c>
      <c r="B989" s="2" t="s">
        <v>2694</v>
      </c>
      <c r="C989" s="2" t="s">
        <v>2695</v>
      </c>
      <c r="D989" s="2" t="s">
        <v>190</v>
      </c>
      <c r="E989" s="2" t="s">
        <v>31</v>
      </c>
      <c r="F989" s="2" t="s">
        <v>15</v>
      </c>
      <c r="G989" s="2" t="s">
        <v>1428</v>
      </c>
      <c r="H989" s="2" t="s">
        <v>395</v>
      </c>
      <c r="I989" s="3" t="str">
        <f>IFERROR(__xludf.DUMMYFUNCTION("GOOGLETRANSLATE(C989,""fr"",""en"")"),"Friendly exchange, good explanation, I would come back to you, thank you !! Interesting prices, very different in relation to my old mutual. I am very satisfied with this mutual")</f>
        <v>Friendly exchange, good explanation, I would come back to you, thank you !! Interesting prices, very different in relation to my old mutual. I am very satisfied with this mutual</v>
      </c>
    </row>
    <row r="990" ht="15.75" customHeight="1">
      <c r="A990" s="2">
        <v>1.0</v>
      </c>
      <c r="B990" s="2" t="s">
        <v>2696</v>
      </c>
      <c r="C990" s="2" t="s">
        <v>2697</v>
      </c>
      <c r="D990" s="2" t="s">
        <v>513</v>
      </c>
      <c r="E990" s="2" t="s">
        <v>14</v>
      </c>
      <c r="F990" s="2" t="s">
        <v>15</v>
      </c>
      <c r="G990" s="2" t="s">
        <v>1515</v>
      </c>
      <c r="H990" s="2" t="s">
        <v>354</v>
      </c>
      <c r="I990" s="3" t="str">
        <f>IFERROR(__xludf.DUMMYFUNCTION("GOOGLETRANSLATE(C990,""fr"",""en"")"),"Impermeable to customers' PBS. Does not respect its commitments. Ditto pr La Mutuelle which takes 2 times for the same person pdt 16 months! The advisers detect the anomaly but do nothing!")</f>
        <v>Impermeable to customers' PBS. Does not respect its commitments. Ditto pr La Mutuelle which takes 2 times for the same person pdt 16 months! The advisers detect the anomaly but do nothing!</v>
      </c>
    </row>
    <row r="991" ht="15.75" customHeight="1">
      <c r="A991" s="2">
        <v>3.0</v>
      </c>
      <c r="B991" s="2" t="s">
        <v>2698</v>
      </c>
      <c r="C991" s="2" t="s">
        <v>2699</v>
      </c>
      <c r="D991" s="2" t="s">
        <v>20</v>
      </c>
      <c r="E991" s="2" t="s">
        <v>14</v>
      </c>
      <c r="F991" s="2" t="s">
        <v>15</v>
      </c>
      <c r="G991" s="2" t="s">
        <v>464</v>
      </c>
      <c r="H991" s="2" t="s">
        <v>27</v>
      </c>
      <c r="I991" s="3" t="str">
        <f>IFERROR(__xludf.DUMMYFUNCTION("GOOGLETRANSLATE(C991,""fr"",""en"")"),"It is written in the FAQ of the site that it is possible to pay per month the subscription but I did not find the option.
In addition, the extra options could have larger ""no thanks"" buttons.")</f>
        <v>It is written in the FAQ of the site that it is possible to pay per month the subscription but I did not find the option.
In addition, the extra options could have larger "no thanks" buttons.</v>
      </c>
    </row>
    <row r="992" ht="15.75" customHeight="1">
      <c r="A992" s="2">
        <v>1.0</v>
      </c>
      <c r="B992" s="2" t="s">
        <v>2700</v>
      </c>
      <c r="C992" s="2" t="s">
        <v>2701</v>
      </c>
      <c r="D992" s="2" t="s">
        <v>96</v>
      </c>
      <c r="E992" s="2" t="s">
        <v>97</v>
      </c>
      <c r="F992" s="2" t="s">
        <v>15</v>
      </c>
      <c r="G992" s="2" t="s">
        <v>2702</v>
      </c>
      <c r="H992" s="2" t="s">
        <v>45</v>
      </c>
      <c r="I992" s="3" t="str">
        <f>IFERROR(__xludf.DUMMYFUNCTION("GOOGLETRANSLATE(C992,""fr"",""en"")"),"Sellers of virtual guarantees, contemptuous, taking monthly payments in the absence of contract signature, liars, deceit, not responding ......")</f>
        <v>Sellers of virtual guarantees, contemptuous, taking monthly payments in the absence of contract signature, liars, deceit, not responding ......</v>
      </c>
    </row>
    <row r="993" ht="15.75" customHeight="1">
      <c r="A993" s="2">
        <v>4.0</v>
      </c>
      <c r="B993" s="2" t="s">
        <v>2703</v>
      </c>
      <c r="C993" s="2" t="s">
        <v>2704</v>
      </c>
      <c r="D993" s="2" t="s">
        <v>233</v>
      </c>
      <c r="E993" s="2" t="s">
        <v>14</v>
      </c>
      <c r="F993" s="2" t="s">
        <v>15</v>
      </c>
      <c r="G993" s="2" t="s">
        <v>1425</v>
      </c>
      <c r="H993" s="2" t="s">
        <v>133</v>
      </c>
      <c r="I993" s="3" t="str">
        <f>IFERROR(__xludf.DUMMYFUNCTION("GOOGLETRANSLATE(C993,""fr"",""en"")"),"I am very satisfied with the GMF which is very responsive, all the time available and pleasant on the phone. Very patient when they explain to me and do not hesitate to offer me advantageous offers that I have not thought.")</f>
        <v>I am very satisfied with the GMF which is very responsive, all the time available and pleasant on the phone. Very patient when they explain to me and do not hesitate to offer me advantageous offers that I have not thought.</v>
      </c>
    </row>
    <row r="994" ht="15.75" customHeight="1">
      <c r="A994" s="2">
        <v>3.0</v>
      </c>
      <c r="B994" s="2" t="s">
        <v>2705</v>
      </c>
      <c r="C994" s="2" t="s">
        <v>2706</v>
      </c>
      <c r="D994" s="2" t="s">
        <v>20</v>
      </c>
      <c r="E994" s="2" t="s">
        <v>14</v>
      </c>
      <c r="F994" s="2" t="s">
        <v>15</v>
      </c>
      <c r="G994" s="2" t="s">
        <v>2707</v>
      </c>
      <c r="H994" s="2" t="s">
        <v>149</v>
      </c>
      <c r="I994" s="3" t="str">
        <f>IFERROR(__xludf.DUMMYFUNCTION("GOOGLETRANSLATE(C994,""fr"",""en"")"),"The price of the insurance contract signed is more expensive than the quote made .... Customer for 8 years and no loyalty delivery. Plans to change at the next deadline.")</f>
        <v>The price of the insurance contract signed is more expensive than the quote made .... Customer for 8 years and no loyalty delivery. Plans to change at the next deadline.</v>
      </c>
    </row>
    <row r="995" ht="15.75" customHeight="1">
      <c r="A995" s="2">
        <v>1.0</v>
      </c>
      <c r="B995" s="2" t="s">
        <v>2708</v>
      </c>
      <c r="C995" s="2" t="s">
        <v>2709</v>
      </c>
      <c r="D995" s="2" t="s">
        <v>13</v>
      </c>
      <c r="E995" s="2" t="s">
        <v>14</v>
      </c>
      <c r="F995" s="2" t="s">
        <v>15</v>
      </c>
      <c r="G995" s="2" t="s">
        <v>136</v>
      </c>
      <c r="H995" s="2" t="s">
        <v>133</v>
      </c>
      <c r="I995" s="3" t="str">
        <f>IFERROR(__xludf.DUMMYFUNCTION("GOOGLETRANSLATE(C995,""fr"",""en"")"),"Satisfied at first, we will see later, I find it difficult to fill by internet and give all the necessary documents, I would have preferred to go to an agency")</f>
        <v>Satisfied at first, we will see later, I find it difficult to fill by internet and give all the necessary documents, I would have preferred to go to an agency</v>
      </c>
    </row>
    <row r="996" ht="15.75" customHeight="1">
      <c r="A996" s="2">
        <v>1.0</v>
      </c>
      <c r="B996" s="2" t="s">
        <v>2710</v>
      </c>
      <c r="C996" s="2" t="s">
        <v>2711</v>
      </c>
      <c r="D996" s="2" t="s">
        <v>20</v>
      </c>
      <c r="E996" s="2" t="s">
        <v>14</v>
      </c>
      <c r="F996" s="2" t="s">
        <v>15</v>
      </c>
      <c r="G996" s="2" t="s">
        <v>1470</v>
      </c>
      <c r="H996" s="2" t="s">
        <v>149</v>
      </c>
      <c r="I996" s="3" t="str">
        <f>IFERROR(__xludf.DUMMYFUNCTION("GOOGLETRANSLATE(C996,""fr"",""en"")"),"Very expensive I spend with 84 euros to another insurance 59 euros more you came out when my first insurance was with you I never recommend direct insurance")</f>
        <v>Very expensive I spend with 84 euros to another insurance 59 euros more you came out when my first insurance was with you I never recommend direct insurance</v>
      </c>
    </row>
    <row r="997" ht="15.75" customHeight="1">
      <c r="A997" s="2">
        <v>1.0</v>
      </c>
      <c r="B997" s="2" t="s">
        <v>2712</v>
      </c>
      <c r="C997" s="2" t="s">
        <v>2713</v>
      </c>
      <c r="D997" s="2" t="s">
        <v>101</v>
      </c>
      <c r="E997" s="2" t="s">
        <v>31</v>
      </c>
      <c r="F997" s="2" t="s">
        <v>15</v>
      </c>
      <c r="G997" s="2" t="s">
        <v>2693</v>
      </c>
      <c r="H997" s="2" t="s">
        <v>164</v>
      </c>
      <c r="I997" s="3" t="str">
        <f>IFERROR(__xludf.DUMMYFUNCTION("GOOGLETRANSLATE(C997,""fr"",""en"")"),"Mutual which refuses termination with abusive patterns, my new mutual has done everything in the rules but I still have not received my termination certificate. Impossible to reach them by phone (apparently saturated with call). Mutual to flee !!!")</f>
        <v>Mutual which refuses termination with abusive patterns, my new mutual has done everything in the rules but I still have not received my termination certificate. Impossible to reach them by phone (apparently saturated with call). Mutual to flee !!!</v>
      </c>
    </row>
    <row r="998" ht="15.75" customHeight="1">
      <c r="A998" s="2">
        <v>2.0</v>
      </c>
      <c r="B998" s="2" t="s">
        <v>2714</v>
      </c>
      <c r="C998" s="2" t="s">
        <v>2715</v>
      </c>
      <c r="D998" s="2" t="s">
        <v>373</v>
      </c>
      <c r="E998" s="2" t="s">
        <v>31</v>
      </c>
      <c r="F998" s="2" t="s">
        <v>15</v>
      </c>
      <c r="G998" s="2" t="s">
        <v>507</v>
      </c>
      <c r="H998" s="2" t="s">
        <v>77</v>
      </c>
      <c r="I998" s="3" t="str">
        <f>IFERROR(__xludf.DUMMYFUNCTION("GOOGLETRANSLATE(C998,""fr"",""en"")"),"Go your way. Do not respond to any email. 45 minutes minimum to contact them at Tel. No results then. That promises of repayment but no payment on the bank account. Beautiful insurance company.")</f>
        <v>Go your way. Do not respond to any email. 45 minutes minimum to contact them at Tel. No results then. That promises of repayment but no payment on the bank account. Beautiful insurance company.</v>
      </c>
    </row>
    <row r="999" ht="15.75" customHeight="1">
      <c r="A999" s="2">
        <v>1.0</v>
      </c>
      <c r="B999" s="2" t="s">
        <v>2716</v>
      </c>
      <c r="C999" s="2" t="s">
        <v>2717</v>
      </c>
      <c r="D999" s="2" t="s">
        <v>61</v>
      </c>
      <c r="E999" s="2" t="s">
        <v>91</v>
      </c>
      <c r="F999" s="2" t="s">
        <v>15</v>
      </c>
      <c r="G999" s="2" t="s">
        <v>2718</v>
      </c>
      <c r="H999" s="2" t="s">
        <v>140</v>
      </c>
      <c r="I999" s="3" t="str">
        <f>IFERROR(__xludf.DUMMYFUNCTION("GOOGLETRANSLATE(C999,""fr"",""en"")"),"MAAF customer for more than 10 years (cars, motorcycles, housing, health) I am amazed by their ways of acting! They sell you insurance at gold prices to be ""covered"" in all circumstances, as long as nothing happens !!
We will advise you to declare even"&amp;" a very small claim since you are insured for that (all risks: privilege + options). Unfortunately, you will be reimbursed for clopinettes and two months before the renewal of your contract, you will receive a registered letter of termination for ""freque"&amp;"ncy of claims"" lol.
Despite attempts at amicable arrangements and travel to agency, customer service replied: ""We are traders, we are there to make a profit!"" While I have always paid in time without blinking.
Consequences: Impossible to make sure "&amp;"elsewhere! All the companies contacted refuse to ensure my home, under the pretext of a termination by my former insurer (yes, it works in one direction, but not in the other). Only 3 have accepted by increasing their price!
Home insurance being compulso"&amp;"ry under penalty of losing your lease, I spent hours looking for another insurance. Thank you the maaf, I will remember!")</f>
        <v>MAAF customer for more than 10 years (cars, motorcycles, housing, health) I am amazed by their ways of acting! They sell you insurance at gold prices to be "covered" in all circumstances, as long as nothing happens !!
We will advise you to declare even a very small claim since you are insured for that (all risks: privilege + options). Unfortunately, you will be reimbursed for clopinettes and two months before the renewal of your contract, you will receive a registered letter of termination for "frequency of claims" lol.
Despite attempts at amicable arrangements and travel to agency, customer service replied: "We are traders, we are there to make a profit!" While I have always paid in time without blinking.
Consequences: Impossible to make sure elsewhere! All the companies contacted refuse to ensure my home, under the pretext of a termination by my former insurer (yes, it works in one direction, but not in the other). Only 3 have accepted by increasing their price!
Home insurance being compulsory under penalty of losing your lease, I spent hours looking for another insurance. Thank you the maaf, I will remember!</v>
      </c>
    </row>
    <row r="1000" ht="15.75" customHeight="1">
      <c r="A1000" s="2">
        <v>3.0</v>
      </c>
      <c r="B1000" s="2" t="s">
        <v>2719</v>
      </c>
      <c r="C1000" s="2" t="s">
        <v>2720</v>
      </c>
      <c r="D1000" s="2" t="s">
        <v>13</v>
      </c>
      <c r="E1000" s="2" t="s">
        <v>14</v>
      </c>
      <c r="F1000" s="2" t="s">
        <v>15</v>
      </c>
      <c r="G1000" s="2" t="s">
        <v>519</v>
      </c>
      <c r="H1000" s="2" t="s">
        <v>149</v>
      </c>
      <c r="I1000" s="3" t="str">
        <f>IFERROR(__xludf.DUMMYFUNCTION("GOOGLETRANSLATE(C1000,""fr"",""en"")"),"I just registered on the internet. I would then see at the level of the service. In terms of price, the interesting side, is that we can subscribe to the 0 km failure for our 17 -year -old car. This is not the case with other insurers.")</f>
        <v>I just registered on the internet. I would then see at the level of the service. In terms of price, the interesting side, is that we can subscribe to the 0 km failure for our 17 -year -old car. This is not the case with other insurers.</v>
      </c>
    </row>
    <row r="1001" ht="15.75" customHeight="1">
      <c r="A1001" s="2">
        <v>5.0</v>
      </c>
      <c r="B1001" s="2" t="s">
        <v>2721</v>
      </c>
      <c r="C1001" s="2" t="s">
        <v>2722</v>
      </c>
      <c r="D1001" s="2" t="s">
        <v>13</v>
      </c>
      <c r="E1001" s="2" t="s">
        <v>14</v>
      </c>
      <c r="F1001" s="2" t="s">
        <v>15</v>
      </c>
      <c r="G1001" s="2" t="s">
        <v>2723</v>
      </c>
      <c r="H1001" s="2" t="s">
        <v>125</v>
      </c>
      <c r="I1001" s="3" t="str">
        <f>IFERROR(__xludf.DUMMYFUNCTION("GOOGLETRANSLATE(C1001,""fr"",""en"")"),"Always happy with the service of their home price 50% cheaper I hope I have no surprise in the event of a disaster because the out of dear can cost dear")</f>
        <v>Always happy with the service of their home price 50% cheaper I hope I have no surprise in the event of a disaster because the out of dear can cost dear</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2022-12-16T15:48:25Z</dcterms:created>
</cp:coreProperties>
</file>