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GNHBLUeQYBEDh02Pxeo6xvPVoKg=="/>
    </ext>
  </extLst>
</workbook>
</file>

<file path=xl/sharedStrings.xml><?xml version="1.0" encoding="utf-8"?>
<sst xmlns="http://schemas.openxmlformats.org/spreadsheetml/2006/main" count="7011" uniqueCount="2721">
  <si>
    <t>note</t>
  </si>
  <si>
    <t>auteur</t>
  </si>
  <si>
    <t>avis</t>
  </si>
  <si>
    <t>assureur</t>
  </si>
  <si>
    <t>produit</t>
  </si>
  <si>
    <t>type</t>
  </si>
  <si>
    <t>date_publication</t>
  </si>
  <si>
    <t>date_exp</t>
  </si>
  <si>
    <t>avis_en</t>
  </si>
  <si>
    <t>avis_cor</t>
  </si>
  <si>
    <t>avis_cor_en</t>
  </si>
  <si>
    <t>guy-l-106768</t>
  </si>
  <si>
    <t>je suis satisfait globalement de vos services excepter pour le prélèvement mensuel ou j'ai refait la démarche plusieurs fois et ça ne fonctionne toujours pas</t>
  </si>
  <si>
    <t>Direct Assurance</t>
  </si>
  <si>
    <t>auto</t>
  </si>
  <si>
    <t>train</t>
  </si>
  <si>
    <t>16/03/2021</t>
  </si>
  <si>
    <t>01/03/2021</t>
  </si>
  <si>
    <t>moipastoi-103314</t>
  </si>
  <si>
    <t>Un peu cher par rapport aux remboursements dentaires, optiques et audio.
Mais réactif.
C'était tout de même plus rapide avant sans santéclair et almerys</t>
  </si>
  <si>
    <t>MGP</t>
  </si>
  <si>
    <t>sante</t>
  </si>
  <si>
    <t>27/01/2021</t>
  </si>
  <si>
    <t>01/01/2021</t>
  </si>
  <si>
    <t>volga-85544</t>
  </si>
  <si>
    <t>Étant nouvelle adhérente je n'ai pas encore pu évaluer le fonctionnement de cette mutuelle en ce qui concerne la prise en charge et les remboursements. Cependant je peux témoigner qu'il est plutôt facile de rentrer en communication avec un chargé de clientèle ce qui est un bon point. J'ai pu échanger avec Gwendal qui s'est montré très à l'écoute et qui a su trouver rapidement une solution à mon problème. J'ai beaucoup apprécié son professionnalisme et sa gentillesse.</t>
  </si>
  <si>
    <t>Néoliane Santé</t>
  </si>
  <si>
    <t>06/01/2020</t>
  </si>
  <si>
    <t>01/01/2020</t>
  </si>
  <si>
    <t>couprie-p-112529</t>
  </si>
  <si>
    <t>simple pratique très bonne communication ,personnel agréable efficace rapide. prix correct le personnel a une bonne bonne aptitude a expliquer.
je recommande.</t>
  </si>
  <si>
    <t>L'olivier Assurance</t>
  </si>
  <si>
    <t>04/05/2021</t>
  </si>
  <si>
    <t>01/05/2021</t>
  </si>
  <si>
    <t>virginie-117251</t>
  </si>
  <si>
    <t>jouant sur l incompetence des gens,sur les frais de sante et les tarifs des veterinaires de leur animal,ils vous vendent du reve,pour ne participer a aucun frais !!!!!!</t>
  </si>
  <si>
    <t>Eca Assurances</t>
  </si>
  <si>
    <t>animaux</t>
  </si>
  <si>
    <t>16/06/2021</t>
  </si>
  <si>
    <t>01/06/2021</t>
  </si>
  <si>
    <t>stephanie-b-105192</t>
  </si>
  <si>
    <t>Je suis très mécontente, je découvre des prélèvements sur mon compte de 18€ pour lequel je n'ai aucun contrat en cours !!!
J'attends un remboursement immédiat de ces sommes !!!</t>
  </si>
  <si>
    <t>02/03/2021</t>
  </si>
  <si>
    <t>moret-j-139649</t>
  </si>
  <si>
    <t>Je suis satisfaite du prix de l assurance et de l efficacité de l Olivier assurance. Cordialement melle Moret jessyka. Bonne journée à tous ..........</t>
  </si>
  <si>
    <t>15/11/2021</t>
  </si>
  <si>
    <t>01/11/2021</t>
  </si>
  <si>
    <t>rebecca-k-132537</t>
  </si>
  <si>
    <t>Je suis satisfait du service. Prix correct. Rapidité. Tout va pour le mieux. Merci direct assurance. Je la recommande vivement à tout le monde!!!!!!!!</t>
  </si>
  <si>
    <t>12/09/2021</t>
  </si>
  <si>
    <t>01/09/2021</t>
  </si>
  <si>
    <t>melan-138269</t>
  </si>
  <si>
    <t>Lors de mon sinistre ils m ont carrément laisser sur le bord de la route avec ma fille,c une vraie catastrophe j avais demandé d être assurer pour les accidents avec du gibier on m a assuré que oui oui oui j y étais et le jour où j ai tapé bizarrement je ne suis pas couverte.Je ne recommande vraiment pas cette assurance.Tant que tout va bien ils sont supers mais j espère qu il ne vous arrivera rien</t>
  </si>
  <si>
    <t>26/10/2021</t>
  </si>
  <si>
    <t>01/10/2021</t>
  </si>
  <si>
    <t>hugues-y-125995</t>
  </si>
  <si>
    <t>enregistrement pratique 
informations claires avec tous les détails en ligne
j'ai demandé à être rappelé pour renseignements ce qui a été fait en moins de 3 minutes
excellent accueil téléphonique</t>
  </si>
  <si>
    <t>AMV</t>
  </si>
  <si>
    <t>moto</t>
  </si>
  <si>
    <t>02/08/2021</t>
  </si>
  <si>
    <t>01/08/2021</t>
  </si>
  <si>
    <t>francuzik-l-134988</t>
  </si>
  <si>
    <t>l'un des meilleurs prix du marché; voir si tous ira aussi bien lors d'un accident.
pour l'instant contente d'avoir souscrit ma première assurance auto chez vous.</t>
  </si>
  <si>
    <t>29/09/2021</t>
  </si>
  <si>
    <t>mehmet-d-133309</t>
  </si>
  <si>
    <t>Je suis satisfait de l’adhésion, je verrai à l’utilisation si un jour je devais utiliser les services de direct assurance. Enregistrement rapide sur le site.</t>
  </si>
  <si>
    <t>17/09/2021</t>
  </si>
  <si>
    <t>vajo-81386</t>
  </si>
  <si>
    <t>Pas de réponse lorsque vous adressez une demande de remboursement par email. Il faut intervenir par téléphone après plus d'1 mois.</t>
  </si>
  <si>
    <t>Solly Azar</t>
  </si>
  <si>
    <t>27/11/2019</t>
  </si>
  <si>
    <t>01/11/2019</t>
  </si>
  <si>
    <t>nans-s-109281</t>
  </si>
  <si>
    <t>merci pour cette assurance pas chère et rapidement faite sur internet je suis content dd ce site qui aide les jeunes je pense conseiller cette assurance a d autres personnes</t>
  </si>
  <si>
    <t>APRIL Moto</t>
  </si>
  <si>
    <t>06/04/2021</t>
  </si>
  <si>
    <t>01/04/2021</t>
  </si>
  <si>
    <t>celine-97798</t>
  </si>
  <si>
    <t xml:space="preserve">Je suis assurée chez Generation par le biais de mon entreprise, pour la totalité de la famille, qui compte 2 adultes et 2 enfants. 
Auparavant assurée à la MGEN, je suis aujourd'hui bien mieux couverte par Génération. 
Les tarifs, négociés, sont très compétitifs, ce qui nous permet de bénéficier d'un niveau élevé de couverture. 
Les remboursements sont effectués rapidement, grâce à la télétransmission mise en place, et les notifications sont efficaces. 
Le site internet et l'application mobile sont ergonomiques, j'en suis aussi satisfaite. 
Il est possible de contacter un conseiller par téléphone en cas de besoin; c'est un service qui devient malheureusement bien souvent rare, donc autant le souligner !
En cas de questionnement concernant un remboursement, la possibilité de photographier un devis pour avoir une simulation de remboursement est bien pratique. 
D'une manière générale, je suis donc parfaitement satisfaite de la qualité et recommande chaudement Generation ! :))
</t>
  </si>
  <si>
    <t>Génération</t>
  </si>
  <si>
    <t>24/09/2020</t>
  </si>
  <si>
    <t>01/09/2020</t>
  </si>
  <si>
    <t>laetitiaprt-90076</t>
  </si>
  <si>
    <t xml:space="preserve">Bonne assurance en règle générale, sauf quand vous décidé de vivre à l'étranger. Demande d'une rallonge de 2 mois suite à la fermeture des frontières entre la France et la Suisse (pays dans lequel je vis actuellement), puisque ma voiture devait être vendu en France. Acceptation par une conseillère + paiement du premier mois (166e pour 3 véhicules) pour finalement me dire que je ne suis plus assurer depuis mon départ de la France. Donc ça fait 2 mois que je roule sans assurance !!!!!!! Il faudrait peut être revoir la communication entre les conseillers. </t>
  </si>
  <si>
    <t>MACIF</t>
  </si>
  <si>
    <t>30/05/2020</t>
  </si>
  <si>
    <t>01/05/2020</t>
  </si>
  <si>
    <t>danaelle-v-108420</t>
  </si>
  <si>
    <t>Les prix sont très compétitifs, nettement inférieur à la concurrence même en étant jeune conducteur. L'interlocuteur que j'ai eu au téléphone m'a très bien conseillé. Je recommande !</t>
  </si>
  <si>
    <t>29/03/2021</t>
  </si>
  <si>
    <t>avok-50189</t>
  </si>
  <si>
    <t xml:space="preserve">Tarif attractif à la souscription, sauf qu'au bout de quelques jours  on m'imposait un avenant que j'ai refusé et auquel ils ont renoncé, puis cette année à l'issue d'un an sans aucun sinistre, 27% d'augmentation qu'après discussion ils ont ramené à 20 % évoquant une prétendue sinistralité générale... </t>
  </si>
  <si>
    <t>23/10/2017</t>
  </si>
  <si>
    <t>01/10/2017</t>
  </si>
  <si>
    <t>jevtic-s-132396</t>
  </si>
  <si>
    <t xml:space="preserve">Simple et pratique d’utilisation 
Grand merci à l’Interlocutrice à l’écoute et très professionnelle 
Bonne assurance 
Convient parfaitement à mes besoins 
A conseiller </t>
  </si>
  <si>
    <t>11/09/2021</t>
  </si>
  <si>
    <t>agdad-n-132595</t>
  </si>
  <si>
    <t>Réactivité appréciable, échanges téléphoniques et conseils agréables. 
A voir si en cas de litige le service sera au rendez-vous, je demanderai des devis pour autre type d'assurance ;-)</t>
  </si>
  <si>
    <t>13/09/2021</t>
  </si>
  <si>
    <t>m--c--c-135098</t>
  </si>
  <si>
    <t xml:space="preserve">Quelle dégradation dans les services rendus par la MAIF! Nous sommes sociétaires depuis 45 ans, mais déception, la MAIF devient une assurance comme une autre. Impossible de joindre un conseiller par téléphone, pas de réponse aux messages envoyés via le site. On est loin de la conseillère personnelle qui suivait nos dossiers. L'entreprise qui a fait des travaux suite à un sinistre a malgré tout été remboursée mais pas nos frais personnels. Un peu moins de pub et davantage de services SVP !!! </t>
  </si>
  <si>
    <t>MAIF</t>
  </si>
  <si>
    <t>habitation</t>
  </si>
  <si>
    <t>philippe-d-123778</t>
  </si>
  <si>
    <t>Client depuis très très longtemps...et très mécontent du dernier contrat auto ! nouvelle auto, nouveau contrat, un devis annoncé ok, finalement une livraison voiture avec une finition moindre et une assurance plus élevée ! à n'y rien comprendre et aucune explication plausible donnée... j'ai donc l'intention de quitter la compagnie avec mes 3 contrats (auto, scooter, maison). Vous ne faites des efforts que pour les nouveaux clients</t>
  </si>
  <si>
    <t>19/07/2021</t>
  </si>
  <si>
    <t>01/07/2021</t>
  </si>
  <si>
    <t>lynda-94658</t>
  </si>
  <si>
    <t xml:space="preserve">Formulaire de saisie simple et clair, les prix proposés semblent plutôt corrects. Déjà Cliente Direct Assurance depuis plusieurs années, jusqu'ici le service a toujours été à la hauteur.
</t>
  </si>
  <si>
    <t>20/07/2020</t>
  </si>
  <si>
    <t>01/07/2020</t>
  </si>
  <si>
    <t>lena-c-134452</t>
  </si>
  <si>
    <t>Bien, prix intéressants mais site compliqué (trop peu de détails). Concernant les prix, je pense que plus d'options et de personnalisation serait bien.</t>
  </si>
  <si>
    <t>25/09/2021</t>
  </si>
  <si>
    <t>solene-p-124314</t>
  </si>
  <si>
    <t>Très satisfaite du service GMF et de mes interlocuteurs.
Des personnes que j'ai eu en ligne, surtout suite à ma panne véhicule survenu il y a 10 jours.
Dommage que la fidélité ne paie pas !</t>
  </si>
  <si>
    <t>GMF</t>
  </si>
  <si>
    <t>22/07/2021</t>
  </si>
  <si>
    <t>lulu22eme-62331</t>
  </si>
  <si>
    <t xml:space="preserve">Conseiller jamais au courants de rien
Incapable de donner des réponses claires 
L'annulation du contrat après avoir payé 
Remboursements tardifs
7o€ pour 10 jours </t>
  </si>
  <si>
    <t>14/03/2018</t>
  </si>
  <si>
    <t>01/03/2018</t>
  </si>
  <si>
    <t>lombard-l-122182</t>
  </si>
  <si>
    <t>super je suis assurée , la raison pour laquelle je souscrit en ligne. c'est simple, rapide, et efficace. A voir plus tard l’efficacité en cas de litige et dégradation du véhicule.</t>
  </si>
  <si>
    <t>02/07/2021</t>
  </si>
  <si>
    <t>gege74-101519</t>
  </si>
  <si>
    <t xml:space="preserve">Bonjour
A la vue de certains commentaires, je me dois de donner mon avis sur cet assureur. Je suis adhérent Matmut depuis 37 ans. J'ai malheureusement eu des sinistres véhicules, par exemple.
Mon fils assuré à notre nom qui rencontre un blaireau. Matmut a identifié un tiers par des poils retrouvés sous le moteur (Rien à payer).
Notre premier camping car acheté d'occasion chez un concessionnaire volé au bout de 11 mois (remboursement intégral suivant facture).
Accrochage récent de notre voiture par un camion (prise en charge rapide, et sans frais)
Donc vraiment, rien à dire si ce n'est que je suis entièrement satisfait de mon assureur. 
Le bureau dont je dépend est toujours disponible et très réactif.
j'ai 5 contrats à la Matmut. Je recommande.
Cdlt
</t>
  </si>
  <si>
    <t>Matmut</t>
  </si>
  <si>
    <t>16/12/2020</t>
  </si>
  <si>
    <t>01/12/2020</t>
  </si>
  <si>
    <t>sane-o-122427</t>
  </si>
  <si>
    <t xml:space="preserve">Je suis trop satisfait de vos services et je compte recommander à mes parents, mes connaissances et toutes ma famille. Je suis aussi très satisfait de vos conseillers. </t>
  </si>
  <si>
    <t>05/07/2021</t>
  </si>
  <si>
    <t>ouille-77469</t>
  </si>
  <si>
    <t>assurance habitation prise chez lcl
sinistre du a fuite d eau..1 mois que ca dure..vous passez par plusieurs services qui sont au courant de rien...plombier qui ne passe jamais...assurance a éviter et a fuir au plus vite...</t>
  </si>
  <si>
    <t>Pacifica</t>
  </si>
  <si>
    <t>09/07/2019</t>
  </si>
  <si>
    <t>01/07/2019</t>
  </si>
  <si>
    <t>pinpin-51657</t>
  </si>
  <si>
    <t xml:space="preserve">Tout va bien lorsque nous payons nos cotisations puis, en cas de problème, il n'y a plus personne..
En effet, après de longues années sans sinistre tout se passait pour le mieux jusqu'à ce que nous soyons confronté à deux incidents en deux ans (dont les sommes engagées étaient loin d'être exorbitantes). Hormis le fait qu'il ne fut pas simple d'obtenir les indemnisations correspondantes, notre assurance nous a fait parvenir peu après un courrier en nous  informant qu'elle ne souhaitait plus nous couvrir à l'avenir et qu'elle mettait un terme à notre contrat. Merci la MACIF, quelle honnêteté! Vous êtes loin d'être aussi fidèle que vos assurés; l'unique chose pour laquelle vous êtes efficace est le respect de la date et du montant du prélèvement mensuel. </t>
  </si>
  <si>
    <t>25/01/2017</t>
  </si>
  <si>
    <t>01/01/2017</t>
  </si>
  <si>
    <t>guillard-c-139537</t>
  </si>
  <si>
    <t>premier contact avec l'Olivier Assurance ce mois-ci. 
A voir dans le temps la qualité de la relation clients. Pas d'avis particulier à ce stade. Toutefois premier contact ++</t>
  </si>
  <si>
    <t>13/11/2021</t>
  </si>
  <si>
    <t>guillaume--b-125218</t>
  </si>
  <si>
    <t>Satisfait du service ..Sa ne met pas bcp de tps pour finalise la assurance .site à conseiller aux proches et famille 
Cordialement 
Monsieur bocquillon</t>
  </si>
  <si>
    <t>28/07/2021</t>
  </si>
  <si>
    <t>jousset-a-114403</t>
  </si>
  <si>
    <t>Je suis globalement satisfait, les prix sont raisonables, les documents sont arrivés rapidement, j'ai pu m'assurer très rapidement en ligne. En espérant que les tarifs resteront les mêmes.</t>
  </si>
  <si>
    <t>20/05/2021</t>
  </si>
  <si>
    <t>gil-b-114650</t>
  </si>
  <si>
    <t>je suis satisfait du service le prix ma plus très content simple et pratique une très bonne assuance  ma fille ma très bien parle de vous  très contente</t>
  </si>
  <si>
    <t>23/05/2021</t>
  </si>
  <si>
    <t>agnesenmer--134440</t>
  </si>
  <si>
    <t xml:space="preserve">Je suis très mécontente de ma Mutuelle qui refuse de me verser  sans raison mon forfait de 600 euros pour ma cure thermale effectuée en juin 2021.
Je fais depuis 28 ans des cures pour ald.
Jusqu ici je présentais à ma mutuelle Mercer ma facture de cure et prise en charge de SS puisque je suis à 100 %
Ayant des revenus supérieurs au plafond pas de participation bien sûr de SS pour hébergement et transport.
Je paie plus de 200 euros pour mon mari et moi et ce forfait fait partie des garanties offerte par Total puiqu ils donnent aussi 65 euros pour notre mutuelle. 
Suivant les garanties que nous avons prises je dois toucher 600 euros que je peux utiliser  à ma guise pour mon transport ou hébergement.
Cette année j envoie comme d habitude à la fin de ma cure en juin tous les documents et à ma grande surprise la mutuelle refuse de me donner mon forfait sans aucune raison.Après maints appels au service réclamation où l on me dit qu effectivement je dois toucher cette somme qui me sera versée dans les plus brefs délais, j ai envoyé une lettre recommandée, sans réponse j alors que le mois de délai est dépassé. Je me sens démunie et ne sais plus quoi faire.
Quel qu un pourrait il m aider et me donner la démarche à suivre.
Vous est il arrivé la même chose avec Mercer ?
Merci beaucoup à ceux qui voudront bien m aider. </t>
  </si>
  <si>
    <t>Mercer</t>
  </si>
  <si>
    <t>kiki-69777</t>
  </si>
  <si>
    <t xml:space="preserve">Depuis début Novembre 2018, j'ai envoyé le certificat de ma fille ... par téléphone ils m'ont assuré que son dossier était en ordre et que je recevrais la carte mutuel fin 12/2018. En fait, rien n'a été fait, ma fille se fait opérée le 08/01 sans couverture. Il faut attendre, sans savoir combien de temps !!! La plateforme me dit d'avancer les frais de l'intervention ... c'est inqualifiable. </t>
  </si>
  <si>
    <t>Ag2r La Mondiale</t>
  </si>
  <si>
    <t>31/12/2018</t>
  </si>
  <si>
    <t>01/12/2018</t>
  </si>
  <si>
    <t>guillaume-d-105388</t>
  </si>
  <si>
    <t xml:space="preserve">le site est simple et rapide, j'ai pu faire mon devis rapidement avec les options de mon choix  pour mon prochain véhicule !
félicitations pour les prix qui sont abordables
Bonnes continuations. </t>
  </si>
  <si>
    <t>03/03/2021</t>
  </si>
  <si>
    <t>naruto-69961</t>
  </si>
  <si>
    <t>Sinistre déclaré ce jour, chute avec dégât sur lavabo, la MAAF me dit que ce n'est pas pris en charge à quoi sert la responsabilité civile?? dommage je viens de payer mon échéance sinon je résiliais.</t>
  </si>
  <si>
    <t>MAAF</t>
  </si>
  <si>
    <t>07/01/2019</t>
  </si>
  <si>
    <t>01/01/2019</t>
  </si>
  <si>
    <t>sylvie-g-124743</t>
  </si>
  <si>
    <t xml:space="preserve">Satisfait du prix et des conditions la rapidité et les avantages souscription rapide et simple d'utilisation espace client clair et précis je recommencerai  directeur assurance </t>
  </si>
  <si>
    <t>26/07/2021</t>
  </si>
  <si>
    <t>diane-b-132025</t>
  </si>
  <si>
    <t xml:space="preserve">Simple et rapide.
J’ai pu faire mon contrat en quelques clic vraiment parfait 
Je recommande milles fois 
Je suis ravi d’avoir pu être assurer rapidement </t>
  </si>
  <si>
    <t>09/09/2021</t>
  </si>
  <si>
    <t>manuel-antonio--o-131854</t>
  </si>
  <si>
    <t xml:space="preserve">Je suis satisfait de la valeur de l’assurance.                                                                                                         . </t>
  </si>
  <si>
    <t>08/09/2021</t>
  </si>
  <si>
    <t>vinvin--104318</t>
  </si>
  <si>
    <t xml:space="preserve">Assurer chez axa en 2017, jais subit un  incendie en 2018 et toujour en procédure avec eux en 2021.
SDF pendant 1 ans avec ma femme enceinte 2 chien et 2 chat dans une voiture pendant plus de 4 mois car il ne voulait ni reloger ni fournir une provision. 
Quand est arrivé le règlement final avec l'inspecteur regleur, (mafia) sa a était le chantage ou vous signer ou vous avez rien et on va vous enmerder. 
Jais signée en pensant pouvoir aller en justice mais la il mon fait signer un texte de lois qui dit que je ne peux pas les attaquer en justice. 
Assurance habitation à fuire et à ne pas souscrire. </t>
  </si>
  <si>
    <t>AXA</t>
  </si>
  <si>
    <t>16/02/2021</t>
  </si>
  <si>
    <t>01/02/2021</t>
  </si>
  <si>
    <t>diarra-m-109808</t>
  </si>
  <si>
    <t xml:space="preserve">Je suis tres satisfait le prix me convient énormément je recommande à des amis qui en ai besoin d'assurer leurs voitures ou des connaissances c'est un assurance parfaite </t>
  </si>
  <si>
    <t>09/04/2021</t>
  </si>
  <si>
    <t>benoit-b-126173</t>
  </si>
  <si>
    <t xml:space="preserve">Les Prix sont satisfaisant. Par rapport à mon assureur actuel pour une voiture de plus de 10 ans rien ne sert de mettre plus. Je recommanderais si dans les années avenir en cas de sinistre tout se passe correctement. </t>
  </si>
  <si>
    <t>03/08/2021</t>
  </si>
  <si>
    <t>ncalle-60958</t>
  </si>
  <si>
    <t>Jusqu'à présent j'étais très satisfaite de la Maif mais depuis mon accident de voiture mon dossier est traité par une conseillère gestion sinistre qui est juste absolument antipathique. Je ne me manifeste que rarement mais à chaque fois j'ai été reçue plus que froidement au téléphone, elle me faisait clairement comprendre que je l'embêtais. Et lorsque je demande où en est mon dossier car pas de nouvelle depuis 3 mois, je reçois un mail une nouvelle fois plus que froid avec en pièce jointe un courrier me rappelant son dernier courrier d'il y a 3 mois. Je n'ai donc pas de réponse à ma question, à savoir si elle a reçu les documents qu'elle a demandé à divers organismes, et une fois de plus elle me fait comprendre par son courrier que je l'em... Evidemment, je me garde bien de tte réflexion tant que mon dossier d'indemnisation n'est pas bouclé.. Comment faire pour changer d'interlocuteur, faire en sorte que ce soit quelqu'un de plus "humain" qui traite mon dossier ? (Jusqu'à présent je n'ai tjs eu que des personnes extrêmement compétentes ET très sympathiques) et à qui m'adresser pour faire par de mon mécontentement ? Un responsable, directeur... 
Evidemment, je ne donne pas ici mon nom mais un pseudo.</t>
  </si>
  <si>
    <t>30/01/2018</t>
  </si>
  <si>
    <t>01/01/2018</t>
  </si>
  <si>
    <t>vivies-k-115631</t>
  </si>
  <si>
    <t>Je suis satisfait du service, j'ai rien à redire.
Je recommanderais cette assurance à mon entourage.
Ne changez rien dans vos prix, continuez le prix bas
A bientôt</t>
  </si>
  <si>
    <t>02/06/2021</t>
  </si>
  <si>
    <t>duchilier-s-123761</t>
  </si>
  <si>
    <t>Je suis globalement satisfait même si ça ne fait jamais plaisir de mettre 53 euros par mois dans une assurance quand on est jeune et qu'on débute dans la vie active. Pour la satisfaction je jugerais au fil du temps.</t>
  </si>
  <si>
    <t>18/07/2021</t>
  </si>
  <si>
    <t>jean-louis--d-116752</t>
  </si>
  <si>
    <t>Assuré à la GMF depuis 58 ans je luis reste fidèle car satisfait de ses services que ce soit pour mes voitures ou mon habitation. J'ai en peu de sinistres mais la réponse a toujours été à hauteur de mes besoins</t>
  </si>
  <si>
    <t>11/06/2021</t>
  </si>
  <si>
    <t>witna-76096</t>
  </si>
  <si>
    <t xml:space="preserve">Je subis un dégat des eaux depuis fin 2017 .Jusqu'à recemment , je n'ai pas reçu beaucoup d'aide de la MAIF, si ce n'est d'enregistrer mon sinistre . Il est impossible de joindre la personne qui doit s'occuper de mon dossier . toujours la même réponse: Elle est en réunion, ou au téléphone. elle vous rappelle . Que nenni . Au bout de 15 jours je dois rappeler moi-même ^pour obtenir la même réponse .Aucune communication, aucune écoute pour des gens qui se disent militants et pour une société qui se donne le nom de mutuelle .
L'expert est passé après plus d'un an .J'ai du demandé le rapport pendant 6 mois .Les dégâts augmentent mais l'assureur s'en fichent . Il fait de la pub mensongère pour attirer de nouveaux adhérents qui paieront pour le travail non fait .
En résumé, aucun professionnalisme, aucune empathie pour le malheur des assurés. Même les dirigeants contactés n'ont pas la politesse et le respect de répondre .
On vous parle d'un service juridique, mais il semble qu'il soit inexistant, ou du côté de l'adversaire .
</t>
  </si>
  <si>
    <t>21/05/2019</t>
  </si>
  <si>
    <t>01/05/2019</t>
  </si>
  <si>
    <t>yves-g-133038</t>
  </si>
  <si>
    <t xml:space="preserve">Parfait (1) Je rejoins mon épouse qui a deja un contrat chez Direct Assurance.
(1) Aussi bien pour le prix que pour le contact conseiller.
A voir en cas de sinistre.
</t>
  </si>
  <si>
    <t>16/09/2021</t>
  </si>
  <si>
    <t>pat-101248</t>
  </si>
  <si>
    <t>Prix et disponibilité client très bien. Je suis à la matmut depuis plus de 20ans j'en suis très content.
J'y ai RC incendie apparemment + voiture + décès accident vie</t>
  </si>
  <si>
    <t>10/12/2020</t>
  </si>
  <si>
    <t>roger-129030</t>
  </si>
  <si>
    <t>j'ai fais confiance à un courtier qui m'a conseillé cette mutuelle, cela a été une grosse bêtise de ma part.
remboursement très long, personnels incompétents qui n'est pas à l'écoute de l'assuré
aucun suivi des devis</t>
  </si>
  <si>
    <t>22/08/2021</t>
  </si>
  <si>
    <t>dag-104155</t>
  </si>
  <si>
    <t xml:space="preserve">La matmut est pour nous.la meilleure assurance.  Voiture ou maison la matmut assure vraiment.  Notres maison a brûlé il y a 8 ans.et ils.ont étaient très réactive car très vite relogé et indemnisé pour nos vêtements et notres maison reconstruite mieux qu avant et vite indemnisé pour tout
 Ont est très fidèle à notres assurance et heureusement qu ont étaient bien assurés car ont avaient tout perdus merci merci merci pour leur professionnalisme 
 Mr et MMe daguin
</t>
  </si>
  <si>
    <t>15/02/2021</t>
  </si>
  <si>
    <t>thomas78700-62669</t>
  </si>
  <si>
    <t>Adhérant à cette mutuelle depuis 2014, je suis satisfait par les prestations au niveau remboursement de santé, ainsi que par le service client.
Les prix sont très compétitifs au niveau du marché.
Les remboursements sont très rapides.</t>
  </si>
  <si>
    <t>Santiane</t>
  </si>
  <si>
    <t>26/03/2018</t>
  </si>
  <si>
    <t>l-108622</t>
  </si>
  <si>
    <t xml:space="preserve">L assureure Lamia a repondu de manière très efficace et très claire à mes différentes questions. Je recommande. 
Je suis satisfaite de nos échanges.  </t>
  </si>
  <si>
    <t>31/03/2021</t>
  </si>
  <si>
    <t>maxime7129-69181</t>
  </si>
  <si>
    <t xml:space="preserve">Attention a la souscription du contrat, mauvaise surprise a la fin </t>
  </si>
  <si>
    <t>Euro-Assurance</t>
  </si>
  <si>
    <t>05/12/2018</t>
  </si>
  <si>
    <t>matthieu-54442</t>
  </si>
  <si>
    <t>Le service client est catastrophique, ils ne reçoivent sois disant pas les recommandés de résiliations, cela fait 1 an qu'il me prélève, c'est une histoire de fou, j'ai un autre véhicule je resilie dès la fin du contrat</t>
  </si>
  <si>
    <t>03/05/2017</t>
  </si>
  <si>
    <t>01/05/2017</t>
  </si>
  <si>
    <t>tisserand-a-136220</t>
  </si>
  <si>
    <t xml:space="preserve">Bonjour,
Je suis satisfaite malgré que je n'ai pas obtenu 10% sur mon troisièmes contrat. 
Merci de revoir cela.
Bien à vous.
Excellente Journée.
TISSERAND Aicha
</t>
  </si>
  <si>
    <t>06/10/2021</t>
  </si>
  <si>
    <t>marc-v-103382</t>
  </si>
  <si>
    <t xml:space="preserve">je suis très satisfait des prestations qui m'ont été proposés. Réactif et compétitif a voir dans le temps. Je recommande vivement. Ayant fait les démarches par internet j'étais perplexe. Je ne regrette pas </t>
  </si>
  <si>
    <t>Zen'Up</t>
  </si>
  <si>
    <t>credit</t>
  </si>
  <si>
    <t>28/01/2021</t>
  </si>
  <si>
    <t>chauveau-e-133626</t>
  </si>
  <si>
    <t xml:space="preserve">Je suis satisfaite du service du prix et des avantages que l’on m’a proposé simple et efficace on  a su répondre à mes question sans problème je suis très contente de mon choix </t>
  </si>
  <si>
    <t>20/09/2021</t>
  </si>
  <si>
    <t>bleu22-70922</t>
  </si>
  <si>
    <t>Depuis quelques jours je vis un cauchemar avec les services d Axa assurance suite à un accident dont je ne suis pas responsable</t>
  </si>
  <si>
    <t>05/02/2019</t>
  </si>
  <si>
    <t>01/02/2019</t>
  </si>
  <si>
    <t>lilou-97374</t>
  </si>
  <si>
    <t>Cela fait 3 ans que je suis assuré chez harmonie mutuelle, tout d'abord sa se passe super bien du moment que vous payer l'option la plus cher, vous êtes en VIP, remboursement rapide, prise en charge le TOP, mais attention le jour ou vous basculer en option Basic ou la moins cher, encore pire en ACS, CMU, vous n'exister plus, le SAV est trop occuper pour vous répondre un minimum de 20m d'attente, on vous parle mal, vous déranger, on a pas le temps pour vous, les remboursements vous les voyez jamais de votre vie, je suis a plus de 6 mois de courriers et de mails, de coup téléphone, d'accuser de réception pour plusieurs remboursements en plein épidémie de COVID, ils ont en rien a foutre, aucune réponse, sans pitié, je vous déconseille cette mutuelle si vous n'avait pas les moyens de vous payer l'option luxe chez eux.A Fuir........</t>
  </si>
  <si>
    <t>Harmonie Mutuelle</t>
  </si>
  <si>
    <t>14/09/2020</t>
  </si>
  <si>
    <t>vanessa-135415</t>
  </si>
  <si>
    <t xml:space="preserve">Je n’ai jamais vu une assurance aussi incompétente, j’ai résilié mon contrat en recommandé avec accusé de réception 3 jours après l’avoir souscrit  et à ce jour 15 mois après j’attends toujours mon remboursement. Les conseillers ne répondent jamais la même chose et nous prennent de haut. Je ne recommande vraiment pas cette assurance en cas de litige c’est une vrai galère. </t>
  </si>
  <si>
    <t>Allianz</t>
  </si>
  <si>
    <t>mefistobar--136449</t>
  </si>
  <si>
    <t xml:space="preserve">Je viens d être résilié sans aucun préavis aucun recommandé je suis restaurateur j ai traversé le Covid sans aucune aide de cette assurance… ils leurs a fallut 1ans et demi pour me rembourser 100 euros sur un lave verre d une valeur d achat de 1395 euros efficace et pas chère…
Confrères des métiers de bouche et bar on vous prendra plus de 2000euros par an et voilà je ne recommande absolument pas 
Pour l heure nous sommes en octobre je suis en contentieux pour une année entière mais plus assurer ne comptez pas sur eux aucune réponse aux mails aucun rappel quand ils vous disent qu’il le feront …
A si il savent vous téléphoner pour vous dire que vous êtes en retard de cotisation </t>
  </si>
  <si>
    <t>07/10/2021</t>
  </si>
  <si>
    <t>rosana-m-107599</t>
  </si>
  <si>
    <t>Je suis satisfaite du prix du devis, le systeme de devis en ligne est pratique et rapide, la prise en charge téléphonique été efficace. 
je recommanderai</t>
  </si>
  <si>
    <t>23/03/2021</t>
  </si>
  <si>
    <t>jennifer-d-129533</t>
  </si>
  <si>
    <t xml:space="preserve">- Facilité de souscription en ligne
- Prix attractifs en espérant que les garanties soient à la hauteur
- Résiliation auprès de l'ancien assureur pris en charge
</t>
  </si>
  <si>
    <t>26/08/2021</t>
  </si>
  <si>
    <t>kiricoo-89855</t>
  </si>
  <si>
    <t>je ne suis pas satisfait car le prix des options "assistance 0 km" est hors de prix, vous êtes filiale AXA, mettez-vous au niveau svp! sur le prix de l'assurance-auto, malgré un malus de 0.8, j'ai trouvé moins cher chez AXA....LOL!</t>
  </si>
  <si>
    <t>15/03/2021</t>
  </si>
  <si>
    <t>fredou-70789</t>
  </si>
  <si>
    <t>Après avoir fait un devis et mis une date de démarrage au lendemain de mon achat , j'ai reçu une rectification du montant de ma cotisation d'assurance de 14pourcent et 15euro de frais administratif ... De mon coté dans 1 an bye bye , j'ai beau essayer de discuter de ce sujet , on me renvoi sur cette justification..</t>
  </si>
  <si>
    <t>30/01/2019</t>
  </si>
  <si>
    <t>charline-s-133367</t>
  </si>
  <si>
    <t xml:space="preserve">Rapide et pratique.
Je suis venue sur le site pour voir un tarif (pour un nouveau véhicule) et j'ai même plus l'assurer dans la foulée ! Donc impeccable, entièrement satisfaite de mon tarif et la rapidité de prise en charge (prise de garantie immédiate) </t>
  </si>
  <si>
    <t>18/09/2021</t>
  </si>
  <si>
    <t>sabrina-v-111479</t>
  </si>
  <si>
    <t xml:space="preserve">Parfait très rapide et facile à faire je recommande
J'ai trouver avril moto par internet mais je ne suis pas déçue de la facilité de souscription
Merci </t>
  </si>
  <si>
    <t>23/04/2021</t>
  </si>
  <si>
    <t>loic-s-131837</t>
  </si>
  <si>
    <t xml:space="preserve">Je suis satisfait du service et de la rapidité de prestation. Étant déjà client chez direct assurance je recommande vivement pour son sérieux et son professionnalisme </t>
  </si>
  <si>
    <t>marlo-49052</t>
  </si>
  <si>
    <t>Je viens de me faire assister pour une expertise suite à un dommage ouvrage je suis très déçu de la suite de l expertise. Aucun moyen de communication directe avec le conseiller Et L expert  ils prétendent que l affaire est classée soit disant que j ai déclaré la fin des travaux ??? Ils se sont servis d'une phrase sur une question qui avait été posée sur la pose d un accessoire. J'ai recu le rapport deux mois après Et j en oublie</t>
  </si>
  <si>
    <t>13/10/2017</t>
  </si>
  <si>
    <t>libellule--118041</t>
  </si>
  <si>
    <t>Fuyez cette mutuelle!!!! Médiocre ,un désastre total , interlocuteurs des plus mauvais , quand ils ne connaissent pas la répondre ils raccrochent au nez.
Un service infligeant ,leur dernière nouveauté ils ne permettent pas la télétransmission sur deux numéros  de sécurité sociale. Du grand n’importe quoi !!!!!!!</t>
  </si>
  <si>
    <t>23/06/2021</t>
  </si>
  <si>
    <t>thomas-92704</t>
  </si>
  <si>
    <t>Assurance au top, sinistre au top, content par rapport à AMV tout pourri.
Je pense y assurer d'autre moto 
comparé aux autres assurances, ils répondent au telephone pendant le confinement et apres</t>
  </si>
  <si>
    <t>Assur Bon Plan</t>
  </si>
  <si>
    <t>29/06/2020</t>
  </si>
  <si>
    <t>01/06/2020</t>
  </si>
  <si>
    <t>0ccommesa1-50106</t>
  </si>
  <si>
    <t xml:space="preserve">je suis client depuis un ans et croyait moi je ne vous le souhaite pas  il mette des frais de rejet sur un mode de paiement par chèque vous souhaite régler en ligne sur le site internet il coche pour vous la quittance actuelle et la prochaine résulta final vous devait payer deux quittances 
vous attendez vos quittance votre carte vert votre proposition de renouvellement vous pouvez toujours attendre vous recevrez uniquement les courriers d'un n'autre client 
vous souhaite avoir des explication ou information vous devez payer votre communication mais vous n'aurez jamais une réponse claire compréhensible et bien formulée 
</t>
  </si>
  <si>
    <t>Active Assurances</t>
  </si>
  <si>
    <t>09/12/2016</t>
  </si>
  <si>
    <t>01/12/2016</t>
  </si>
  <si>
    <t>bobleponge75-54491</t>
  </si>
  <si>
    <t xml:space="preserve">Ancien client qui a quitté cette assurance lorsque ma voiture a cessé de vivre ! C'est le style d'assurance où tout va bien lorsque vous n'avez pas de problème. Le jour où vous avez un pépin, ça se complique. </t>
  </si>
  <si>
    <t>05/05/2017</t>
  </si>
  <si>
    <t>geslain-auglans-e-117489</t>
  </si>
  <si>
    <t>Un devis simple à établir en ligne. Un conseiller disponibles et à l'écoute pour vérifier et ajuster. Bon rapport qualité prix pour un jeune conducteur.</t>
  </si>
  <si>
    <t>18/06/2021</t>
  </si>
  <si>
    <t>jeanmarc06-88601</t>
  </si>
  <si>
    <t xml:space="preserve">Bonjour, Agréable d'avoir une représentation locale à Cannes, même si en effet pour reprendre un autre commentaire elle s'avère très aimable mais peu joignable par téléphone, merci de maintenir cette antenne. Motard sans aucun accident depuis plus de 30 ans, cette année 2020 le tarif de mes deux anciens véhicules (Scooter &amp; Moto) à augmenté de façon significative (Le siége de l'AMM me donne gentiment une réponse formatée de raison conjoncturelle, d'analyse de statistiques etc. )
de plus l' AMM semble avoir changée de fournisseur de vignettes d'assurance ou décidée de faire des économies d'encre ? Car mes deux vignettes sont très bien imprimées mais les caractères imprimés si petits et fins qu'ils sont peu lisibles, alors en cas de contrôle et/ou après quelques mois d'exposition aux intempéries …. Cdt  </t>
  </si>
  <si>
    <t>Mutuelle des Motards</t>
  </si>
  <si>
    <t>31/03/2020</t>
  </si>
  <si>
    <t>01/03/2020</t>
  </si>
  <si>
    <t>christophe-b-113917</t>
  </si>
  <si>
    <t>je  ne suis pas satisfait parceque je n ai pas de portable et je n ai pas pu finaliser mon contrat directement avec le conseiller.il me demandait 1 sms.alors dites moi comment faire quand on a pas de protable.merci</t>
  </si>
  <si>
    <t>17/05/2021</t>
  </si>
  <si>
    <t>csh-64431</t>
  </si>
  <si>
    <t>Je déconseille fortement ALLIANZ comme assureur ; en effet, au moment de la souscription, ils m'ont pris trois mois d'avance, et pour un motif fallacieux, non précisé lors de la souscription, à savoir, une exigence de 36 mois ininterrompus d'assurance antérieure, ils ont résilié le contrat un mois plus tard, en faisant main basse sur mes deux autres mois déjà payés, au motif que ce serait "non remboursable", alors qu'il s'agissait d'avance de prime, et non de caution ; nous sommes actuellement au contentieux, ayant exigé le remboursement des deux mois non consommés de prime d'assurance ; de tels agissements ne sont ni plus, ni moins, que des tentatives d'enrichissement illicite, inadmissibles de la part d'une compagnie d'une telle renommée</t>
  </si>
  <si>
    <t>04/06/2018</t>
  </si>
  <si>
    <t>01/06/2018</t>
  </si>
  <si>
    <t>benjiiiia-128592</t>
  </si>
  <si>
    <t xml:space="preserve">Ils sont jamais joignable, non mais allo aucun interlocuteur ! 
Faudrait penser à recruter ou a se déconfiner .... 
lamentable! aucuns conseils, bref je recommande pas du tout </t>
  </si>
  <si>
    <t>Sogecap</t>
  </si>
  <si>
    <t>vie</t>
  </si>
  <si>
    <t>19/08/2021</t>
  </si>
  <si>
    <t>charles-b-116280</t>
  </si>
  <si>
    <t>Hors de prix aux vues de notre accidentologie... 736.44€ par an pour un 5008 de 2011, tout risque. 
Nous allons changer d'assurance très prochainement...</t>
  </si>
  <si>
    <t>08/06/2021</t>
  </si>
  <si>
    <t>nadjim-129944</t>
  </si>
  <si>
    <t>Assurance très performante pour réaliser le prélèvement des cotisation.
Toujours aussi performante pour ne pas rembourser un sinistre couvert.
Assurance à fuir absolument .
Je met 1 étoile car il n'est pas possible de mettre ZERO sur la partie satisfaction.</t>
  </si>
  <si>
    <t>Groupama</t>
  </si>
  <si>
    <t>28/08/2021</t>
  </si>
  <si>
    <t>julia-o-127512</t>
  </si>
  <si>
    <t xml:space="preserve">Service et prestation Parfait. Depuis le temps que j’entendais parler de cette assurance je me lance enfin. Tout est en ligne c’est beaucoup plus simple et pratique </t>
  </si>
  <si>
    <t>11/08/2021</t>
  </si>
  <si>
    <t>saadi-s-121289</t>
  </si>
  <si>
    <t>Très bonne écoute et agent ayant de bonnes informations pour faciliter les choix . Les prix sont corrects mis à pars la franchise bris de glace assez élevé à mon goût .</t>
  </si>
  <si>
    <t>26/06/2021</t>
  </si>
  <si>
    <t>liloute-51677</t>
  </si>
  <si>
    <t xml:space="preserve">Déçu de la prise en charge de mon sinistre auto - gmf ce moque de ses clients - 2 mois de traitement et le dossier n'avance pas - vous n'êtes pas considérer et votre bonne foi n'as pas de valeurs pour eux - assurance à fuir </t>
  </si>
  <si>
    <t>maad-el-103265</t>
  </si>
  <si>
    <t>Fortement déconseillé, j'ai payé 150e par mois pendant deux ans pour assurance tout risque et ils sont même pas capable de prendre en charge une fissure de pare brise.
Pas de service de réclamation, pas d'expert, des plafonds sorties de nul part.</t>
  </si>
  <si>
    <t>26/01/2021</t>
  </si>
  <si>
    <t>leloup-m-131733</t>
  </si>
  <si>
    <t xml:space="preserve"> Je suis satisfaite des démarches effectuées dans ma nouvelle assurance, je lui trouve un bon rapport qualité/prix. Le service téléphonique est impeccable est impeccable. </t>
  </si>
  <si>
    <t>07/09/2021</t>
  </si>
  <si>
    <t>momo-104040</t>
  </si>
  <si>
    <t xml:space="preserve">j'ai plusieurs assurance à la macif. Concernant l(habitation et mon quad après recherche il sont dans les clous. Concernant les véhicules  ils sont dans la fourchettes  moyennes des autres assureurs </t>
  </si>
  <si>
    <t>12/02/2021</t>
  </si>
  <si>
    <t>amandine-p-135078</t>
  </si>
  <si>
    <t xml:space="preserve">Prix intéressant pas tro cher et rapide facile à souscrire .assurer vite et prix raisonnable .on m’as parler de direct assurance et j’ai bien fait d’écouter les conseils </t>
  </si>
  <si>
    <t>jonathan-a-109257</t>
  </si>
  <si>
    <t>Avant j'était satisfait mais maintenant que ma voiture est vielle Directassurrance n'aide pas. Les contrats ne correspondent pas toujours aux circonstances. J'ai l'impression d'être abandonné par l'assureur :(</t>
  </si>
  <si>
    <t>samy-60205</t>
  </si>
  <si>
    <t>Remboursements rapides, je n'ai fait aucune avances de frais pour mn opération de la hanche. Je ne les connaissais pas mais j'ai été vraiment très agréablement surprise. Ils sont sérieux et pour l'instant pas de pb...je la recommande .</t>
  </si>
  <si>
    <t>05/01/2018</t>
  </si>
  <si>
    <t>sylvie-p-126554</t>
  </si>
  <si>
    <t xml:space="preserve">Les prix me conviennent 
A voir par la suite si sinistre  ou autres  comment ça se passent.
A voir  si Niveau  appelle  satisfaite  et aussi  si rapidité. 
Pour le moment  à voir si je vais  rapidement  recevoir  ma carte verte 
En attente  pour  donner  mon avis </t>
  </si>
  <si>
    <t>05/08/2021</t>
  </si>
  <si>
    <t>boissonnade-l-65371</t>
  </si>
  <si>
    <t xml:space="preserve">Suite à un accident, un mois plus tard je n'ai toujours pas était indemnisé et les opérateurs n'ont pas l'air pressé de m'aider et me disent que certaines personne restent plus de deux mois sans voiture et que tout est normal !!!! </t>
  </si>
  <si>
    <t>09/07/2018</t>
  </si>
  <si>
    <t>01/07/2018</t>
  </si>
  <si>
    <t>julien-94839</t>
  </si>
  <si>
    <t>J'assure ma 4eme moto chez AMV, ils sont au top !
Je recommande vivement cette assurance moto
Equipe à l'écoute, pro active et très disponible pour trouver des solutions ou répondre aux besoins clients.
Merci à tous</t>
  </si>
  <si>
    <t>pixako-58202</t>
  </si>
  <si>
    <t>mutuelle santé à éviter à tout prix!!</t>
  </si>
  <si>
    <t>Mgen</t>
  </si>
  <si>
    <t>19/10/2017</t>
  </si>
  <si>
    <t>pas-de-pseudo-137499</t>
  </si>
  <si>
    <t xml:space="preserve">Merci pour les explications claires de Mr Rawane, sur toutes les démarches à effectuer au sujet de la portabilité de la complémentaire santé, et de trouver une solution afin de garder une seule complémentaire santé et débloquer la télétransmission et être remboursé pour nos soins passés et à venir.   </t>
  </si>
  <si>
    <t>15/10/2021</t>
  </si>
  <si>
    <t>macapa-63240</t>
  </si>
  <si>
    <t xml:space="preserve">J’ai eu un problème mécanique avec mon véhicule.  Ayant plus dix ans je décide de me séparer de celui-ci en le cédant à casse pour destruction par un professionnel agréé.
Muni de la déclaration de cession du véhicule datée du 27/09/2017, j’envoie une lettre en recommandé au courtier d’assurance axa Guyane avis de réception 06 / 10 /2017.
Mon compte à continué  a été débité les deux mois suivants  octobre, novembre avant que je fasse opposition sur le prélèvement  mensuel  et maintenant  c’est l’avalanche de mise en demeure axa intrum,  d’appel de cotisation. Sept  lettres en trois
Je n’ai plus le véhicule 
J’ai envoyé une lettre recommandé pour résilier mon contrat avis de réception signé par l’agence 06/10/2017
Que dois-je faire ?
Merci
</t>
  </si>
  <si>
    <t>13/04/2018</t>
  </si>
  <si>
    <t>01/04/2018</t>
  </si>
  <si>
    <t>bertrand-e-138234</t>
  </si>
  <si>
    <t xml:space="preserve">Très bonnes explications, j’ai été parfaitement renseignée et tout a été fait rapidement et efficacement.
Très bonne assurance que je recommanderai à l’avenir </t>
  </si>
  <si>
    <t>25/10/2021</t>
  </si>
  <si>
    <t>mickael--98562</t>
  </si>
  <si>
    <t xml:space="preserve">                                                              
  Très mauvais assureur je déconseille fortement il en veulent juste à l'argent de leur client c'est honteux </t>
  </si>
  <si>
    <t>09/10/2020</t>
  </si>
  <si>
    <t>01/10/2020</t>
  </si>
  <si>
    <t>peyret-k-111013</t>
  </si>
  <si>
    <t xml:space="preserve">Je suis satisfaite du service rapide et efficace à des prix les plus resonable pour le moment je n 'est pas à redire quoi'que se soit je vais attendre ma carte verte </t>
  </si>
  <si>
    <t>20/04/2021</t>
  </si>
  <si>
    <t>billiejean-bbl-51820</t>
  </si>
  <si>
    <t>Bonne première assurance</t>
  </si>
  <si>
    <t>29/01/2017</t>
  </si>
  <si>
    <t>sab-68033</t>
  </si>
  <si>
    <t>6 mois après une innondation toujours pas de remboursement. Appel au service sinistre toutes les semaines, aucun suivit du dossier (mail a l'expert non envoyé, proposition d'indemnisation non faites, avis de catastrophe naturel pas traité...) Une catastrophe pas naturelle celle-ci. Apres 31 ans avec la meme compagnie c'est une triste disillusion sur le manqué total de serieux de cette entreprise dont le metier n'est finalement que d engranger des cotisations.</t>
  </si>
  <si>
    <t>24/10/2018</t>
  </si>
  <si>
    <t>01/10/2018</t>
  </si>
  <si>
    <t>midudo-78098</t>
  </si>
  <si>
    <t>Difficile de les quitter ...ils font de l'obstruction</t>
  </si>
  <si>
    <t>31/01/2020</t>
  </si>
  <si>
    <t>francois-c-109104</t>
  </si>
  <si>
    <t>Filiale d'AXA, les prix sont significativement plus attractifs pour des risques "simples", n'espérez pas assurer une Porsche par exemple, même vieille.
J'ai également constaté lors du renouvellement du contrat habitation une hausse significative...
Donc comme pour tout assureur, n'hésitez pas à vérifier le marché
Je précise ne pas avoir eu de sinistre</t>
  </si>
  <si>
    <t>04/04/2021</t>
  </si>
  <si>
    <t>fernandez-n-115210</t>
  </si>
  <si>
    <t xml:space="preserve">Je suis satisfait et en plus j'ai bénéficié de 50e de parrainage cordialement.
J'espère par la suite prendre un contrat d'assurance habitation chez Olivier assurance </t>
  </si>
  <si>
    <t>28/05/2021</t>
  </si>
  <si>
    <t>gardasevic-l-117130</t>
  </si>
  <si>
    <t>Qualité-prix ,sincérité-,excellent espace client ,employés compétentes,rapidité ,et tout est parfaitement clair et bien expliqué. 
Pour l'instant je suis satisfaite.</t>
  </si>
  <si>
    <t>15/06/2021</t>
  </si>
  <si>
    <t>claudet-138407</t>
  </si>
  <si>
    <t>Faisant suite à ma demande du 27/10/2021 concernant la visite du 27/09/
Vous m'avez demandé de vous communiquer le décompte AMELIE;
je remercie chaleureusement AMINATA pour son écoute, sa gentillesse, son professionnalisme.
mc salvin</t>
  </si>
  <si>
    <t>27/10/2021</t>
  </si>
  <si>
    <t>gillou3459-102971</t>
  </si>
  <si>
    <t xml:space="preserve">assure chez eux depuis plus de 30ans sans accident responsable a part un petit degat sans tiers en 2016 ils me resilie au 1er accident responsable que j'ai eu l'annee derniere on se demande pourquoi etre assure dans ce cas. </t>
  </si>
  <si>
    <t>Eurofil</t>
  </si>
  <si>
    <t>20/01/2021</t>
  </si>
  <si>
    <t>pierre-j-110596</t>
  </si>
  <si>
    <t>je suis entièrement satisfait et le tarif est très bien
je recommande à des amis de prendre leur assurance chez vous car très avantageux et sérieux et compétitif</t>
  </si>
  <si>
    <t>16/04/2021</t>
  </si>
  <si>
    <t>dominique-r-108989</t>
  </si>
  <si>
    <t>Le service de souscription est intuitif. Les interlocuteurs sont réactifs et disponibles.
Le délai de réponse du service médical est rapide. Je n'ai en revanche pas eu le temps d'utiliser les garanties souscrites.</t>
  </si>
  <si>
    <t>02/04/2021</t>
  </si>
  <si>
    <t>deplanchon-46037</t>
  </si>
  <si>
    <t xml:space="preserve">Cette assurance n écoute plus ses sociétaires elle préfère écouter ses experts et ne JAMAIS dédommager. Suite à déclaration de catastrophe naturelle dans les temps commune sous arrêté préfectoral et fissures sur les murs et bien Non ce n est pas la canicule!!!! D après un expert qui n a pas levé le nez de son téléphone. Aucun relevé aucune photo </t>
  </si>
  <si>
    <t>05/09/2019</t>
  </si>
  <si>
    <t>01/09/2019</t>
  </si>
  <si>
    <t>chris-139531</t>
  </si>
  <si>
    <t>Service clients catastrophique! Sinistre bris de glace déclaré en septembre, gelé pour un problème administratif, j'ai fourni les pièces justificatives pour débloquer la situation, et me retrouve dans l'impossibilité d'avoir le respect des engagements pris. J'ai donc demandé le 4 septembre que mon contrat soit ramené au strict minimum, et là, refus de leur part, ils continuent de me prélever 37€ par mois avec un bonus de 50¨depuis plus de 8 ans et pour un contrat au tiers confort!!! Cette compagnie joue sur sa position de force en obligeant à continuer de payer sous peine d'une résiliation pour non paiement de prime. A FUIR!!!</t>
  </si>
  <si>
    <t>lilysumm-109577</t>
  </si>
  <si>
    <t>Mutuelle d'entrprise avec des prix négociés. Remboursements très limités en soins dentaires.
Délais de réponse pour les devis ou les remboursements très longs. Le service client est à revoir, les conseillers sont désabusés et dans certains cas, limite désagréable.</t>
  </si>
  <si>
    <t>08/04/2021</t>
  </si>
  <si>
    <t>youssef-k-128734</t>
  </si>
  <si>
    <t>Madame, Monsieur,
Je suis satisfait du service., je suis très content, et bonne continuation.
Veuillez agrée, madame,Monsieur, mes salutations distinguées.</t>
  </si>
  <si>
    <t>nikko-80789</t>
  </si>
  <si>
    <t>Client depuis que j'ai eu ma première voiture chez eux (2010), maison,, deux roues.... me voilà résilié (contrat auto) du jour au lendemain...toujours là quand il faut payé mais viré au moindre accrochage...grotesque...</t>
  </si>
  <si>
    <t>07/11/2019</t>
  </si>
  <si>
    <t>tazz97-2041</t>
  </si>
  <si>
    <t xml:space="preserve">&gt;&gt;&gt; A l'attention du gentil modérateur : TEGO contient ALIANZ, AGPM et GMPA… Je me permets de mettre le même avis sur ALLIANZ, qui nous a directement enfoncés. Si vous trouvez que c'est trop d'efforts… Par contre, les trois Pit Bull Terriers auraient sans aucune peine tué vraiment si ç'avais été ma femme qu'ils auraient prise... Il y a des actualités très actuelles et très tristes de ces chiens-là. Bon, j'ôte "tué", puisque pour vous les Pit Bull ne tuent pas.
Bonjour,
Je commence à redouter le pire compte tenu de l'attitude de TEGO qui tergiverse et qui ne cesse de me demander encore et encore des documents, semblant bien avoir comme seul but de me faire renoncer à obtenir réparation.
Ainsi que cela apparaît déjà dans les avis, j'étais moi aussi assuré au GMPA, mais aussi chez ALLIANZ dans le cadre habitation.
L'incroyable « fusion » ALLIANZ TEGO et GMPA TEGO concomitantes avec celle de AGPM TEGO (aucun émoi suscité par cette atteinte à la concurrence ! ) aura eu des conséquences graves pour moi, et le conflit d'intérêt ne semble pas du tout émouvoir TEGO.
En effet mes voisins dont les pitbulls m'ont déchirés les jambes après s'être introduits chez nous, sont assurés chez AGPM. De notre côté, notre assureur ALLIANZ a rejeté notre demande de prise en charge argumentant que nous n'étions pas couverts car c'étaient des chiens de première catégorie qui avaient essayé de me terrasser. Devant l'inertie des pouvoirs publics (l'élevage des chiens d'attaque s'est poursuivi sous le regard indulgent des autorités), je me suis fait assister par un avocat, à ma charge. Après de longues tractassions et argumentations, ALLIANZ ayant tenté de nous convaincre de notre violation du contrat pour ne pas avoir demandé son accord pour le choix d'avocat (sic), enfin le service Indemnisation Corporel a consenti à reconsidérer l'affaire et a versé les primes initiales prévues par les CG du contrat ; nous n'avons plus droit à rien depuis, bien sûr. Mes dépenses n'ont par ailleurs rien à voir avec les honoraires de mon avocat…
Après le rejet de la prise en compte de mon invalidité (expertise judiciaire), j'ai envoyé les pièces et justificatifs à trois reprises à ALLIANZ/TEGO/GMPA.
Je viens de recevoir ce 11 mars 2021 une nouvelle demande de pièces, que je dois renvoyer par courrier au médecin conseil TEGO/ALLIANZ : leur lettre ne possède pas d'adresse de renvoi et, m'en suis inquiété au n° indiqué 01 58 85 04 00 : le répondeur me parle tellement rapidement que je n'ai pas réussi à noter OÙ je devais envoyer pour la quatrième fois mes documents !
Je crois que devrai me résigner à subir cet oukase du GMPA/TEGO qui ne semble pas trop aimer les flics dans sa clientèle en fin de compte (oui, Caliméro). Car enfin, comment pourrions-nous avoir la moindre chance d'avoir le soutien de l'hydre TEGO si, d'un côté nous avons du batailler avec notre assurance ALLIANZ et que de l'autre, les propriétaires des chiens ont été VRAIMENT couverts (par quel effet magique ? ) par l'AGPM qui a réussi à faire passer des pitbulls pour de gentils épagneuls !
On dit à tort qu'on ne peut être juge et parti (sic), la preuve nous a pété au nez.
AH, précision : après deux opérations graves et un mois d'hôpital en janvier 2018, l'affaire n'est pas jugée en ce mois de mars 2021…
Cherchez l'horreur.
Les faits sont là, je participe ici un peu désespéré, mais il nous faut communiquer.
Bonne chance à vous tous.
</t>
  </si>
  <si>
    <t>12/03/2021</t>
  </si>
  <si>
    <t>nath2207-88627</t>
  </si>
  <si>
    <t>Déjà adherente par le biais de mon employeur j'ai choisi Mercer Optimal 300 pour ma surcomplementaire car je n'avais jamais eu de problème avec Mercer. Les garanties Optimal ne sont jamais appliquées, il faut constamment se battre pour obtenir gain de cause. Je n'ai jamais vu autant d'incompétence concentrée !  A fuir..</t>
  </si>
  <si>
    <t>01/04/2020</t>
  </si>
  <si>
    <t>hamid-l-115410</t>
  </si>
  <si>
    <t xml:space="preserve">
vous n'êtes pas capable de trouver des solutions quand on y est confronté aussi il n'a pas de concordance entre le standard et le centre de gestion  </t>
  </si>
  <si>
    <t>31/05/2021</t>
  </si>
  <si>
    <t>gigi-108398</t>
  </si>
  <si>
    <t xml:space="preserve">Assuré chez CEGEMA pendant 4 années. Chaque année ils envoient des hausses abusives en 2021 
malgré les recommandations du gouvernement de réduire le niveau des augmentations de cotisations  augmentation de 6,6% je demande de réviser à la baisse leurs prétentions d'augmentation mais aucune réponse du courtier "MA SANTÉ FACILE" malgré de multiples relances. Toujours impossible de les obtenir au téléphone.
Je déconseille fortement et le courtier "MA SANTÉ FACILE" ainsi que l'assureur CEGEMA. </t>
  </si>
  <si>
    <t>Cegema Assurances</t>
  </si>
  <si>
    <t>david-l-137502</t>
  </si>
  <si>
    <t xml:space="preserve">Je suis très satisfaite, c'est l'assurance la moins chère que j'ai pu trouver
les conseillers sont à l’écoute 
c'est très efficace 
je recommande cette assurance </t>
  </si>
  <si>
    <t>maya-106649</t>
  </si>
  <si>
    <t>Pour les contrats motos, sachez que c sans engagement,  donc vous pouvez résilier à n'importequel moment car vous êtes pas obligé de rester toute l'année et d'ailleurs marqué sur leur site et contrat aussi</t>
  </si>
  <si>
    <t>im-107879</t>
  </si>
  <si>
    <t>Transparence et clarté des Informations. Rapidité de gestion des dossiers d’inscription et disponibilité pour les clients.Site web simple d’utilisation.</t>
  </si>
  <si>
    <t>24/03/2021</t>
  </si>
  <si>
    <t>bob66-64708</t>
  </si>
  <si>
    <t>Surtou fuyez. J'ai souscris en pensant que c'était une bonne idée. Il faut payer 7 mois d'avance, alors que j'ai demandé être prélevé par mois. Ensuite soit disant il me manquait un relevée de situation alors que j'avais envoyé mes 4 dernières années. Il font la sourde oreille, de plus leur numéro est surtaxer, ils nous invitent à chaque fois de composé ce numéro. résultat 7 minute 7euros sans la moindre info. Au finale, il me résilie en me ponctionnant les deux tiers de ma sommes. FUYEZZZZZ</t>
  </si>
  <si>
    <t>12/06/2018</t>
  </si>
  <si>
    <t>xered-99128</t>
  </si>
  <si>
    <t xml:space="preserve">Aucun service client, ne répond pas au téléphone ni au mail.
Il est très dangereux de placer son argent sur leur assurance vie.
Vous risquez d'avoir beaucoup de mal a le récupérer. 
a fuir </t>
  </si>
  <si>
    <t>Afer</t>
  </si>
  <si>
    <t>23/10/2020</t>
  </si>
  <si>
    <t>pseudo-60887</t>
  </si>
  <si>
    <t xml:space="preserve">J’ai reçu un jour une lettre AR, la matmut de Chambéry résilie mon contrat pour mauvaise relation commerciale. Je n’ai jamais eu une seule altercation, aucun sinistre responsable et aucun retard de payement. Curieux d’avoir la raison valable, après plusieurs appels téléphoniques j’ai eu enfin un manager. La seule chose qu’il m’a dit c’est qu’il faut savoir accepter même s’il n’y a pas de raison valable concernant cette résiliation. C’est pitoyable. 
De plus étant second conducteur sur un deuxième véhicule, la matmut me retire l’autorisation de conduire sous peine de n’être plus assuré. Au final personne ne peut me dire la raison de cette résiliation. Un abus pur et simple de pouvoir. Un piètre assureur, avec des incompétents à tous niveaux, autant conseillers en agence , que chef d’agence, conseillers téléphonique ainsi que managers et même les gestionnaires au siège.
Du jour au lendemain vous pouvez être résilié sans aucun motif. Fuyez de cette assurance, croyez moi, ça en vaut la peine de chercher ailleurs. </t>
  </si>
  <si>
    <t>27/01/2018</t>
  </si>
  <si>
    <t>fabienne-timmerman-137929</t>
  </si>
  <si>
    <t>J'ai 61 ans , je conduis depuis l'âge de mes 18 ans et c'est la première fois que je rencontre un assureur qui se soucie vraiment de mes préoccupations et qui y répond rapidement. Aujourd'hui, toute ma famille est chez Direct Assurance et en est pleinement satisfaite. Si je dois qualifier Direct Assurance, je dirai que c'est assureur compétent, à l'écoute, proposant des tarifs très attractifs et très réactif. Je le conseille fortement.</t>
  </si>
  <si>
    <t>21/10/2021</t>
  </si>
  <si>
    <t>denyce-131872</t>
  </si>
  <si>
    <t>Bonjour 
Après une première année sans accident et un tarif d'entrée intéressant pour un jeune conducteur, la deuxième année est une catastrophe avec une augmentation de 40% 
Au tel elle se justifie en tant que courtier par une augmentation subie et c'est tout!!!!!!</t>
  </si>
  <si>
    <t>melania-102639</t>
  </si>
  <si>
    <t>Je suis en arrêt de travail, et j'attends le complément de la prévoyance AG2r depuis le 14 novembre, quand je lis tous vos avis je commence à penser que je n'en verrai pas la couleur ! Mon employeur les a appelés début novembre c'est bon le dossier est en cours. A ce jour toujours rien.......... J'ai tenté de me connecter sur le compte impossible, ça aussi c'est voulu. J'ai envoyé deux mails sans réponse évidemment. Mon employeur a rappelé on lui dit  ils n'avaient pas reçu les documents de la sécu. Donc j'appelle hier et un charmant monsieur complètement à l'ouest, qui s'exprimait comme un robot autrement dit qui n'en avait rien à faire m'a répondu en effet votre dossier est bloqué je le transmets au centre de gestion. Vous allez me balader combien de temps encore ??? je perds patience là et quand je vois toutes les plaintes ci dessous nous pourrions créer un collectif et nous gagnerions certainement, alors remuez vous et vite !</t>
  </si>
  <si>
    <t>prevoyance</t>
  </si>
  <si>
    <t>14/01/2021</t>
  </si>
  <si>
    <t>jacques-124580</t>
  </si>
  <si>
    <t>Bonjour,
Idem pour moi ,  je suis assuré a la maif depuis 20 ans , j' étais très satisfait  , j ai même parrainé ma femme et ma fille qui étaient a la GMF , et aujourd’hui  ,suite a un bris de glace, je suis extrêmement déçu du retour de cette assurance qui ne prends pas en compte le capteur de pluie de mon véhicule Mercedes,celui ci ne peut pas être dissocie du pare brise, mais ils me disent qu ils ne le prennent pas  en charge cependant, le garage me répond que ce n est pas dissociable . Je dois alors payer de ma poche ,  c est inadmissible.
Je tiens aussi a préciser qu hier j ai un une responsable au téléphone qui a été fortement désagréable , qui me répond que c est comme ça et pas autrement . Je tiens aussi a dire que détecteur de pluie est facturé 77.18 euros HT et que la Maif m impacte de 150 euros sur la facture de remboursement du garage Mercedes.
Vraiment déçu !!!!</t>
  </si>
  <si>
    <t>24/07/2021</t>
  </si>
  <si>
    <t>sofiane-b-113459</t>
  </si>
  <si>
    <t>Mon dossier sinistre habitation en cours de traitement depuis 6mois et toujours pas de nouvelle !!!
et ne se donne meme plus la peine de repondre à mes  mails !!
SCANDALEUX !!!!</t>
  </si>
  <si>
    <t>12/05/2021</t>
  </si>
  <si>
    <t>lempereur-m-122208</t>
  </si>
  <si>
    <t xml:space="preserve">Pour le moment pas de problème. A voir si par la suite le service client se maintient et si en cas de pépin l'assurance suit... En espérant que petit prix ne rime pas avec très petit service ! </t>
  </si>
  <si>
    <t>marc-b-109867</t>
  </si>
  <si>
    <t xml:space="preserve">je suis satisfait du service proposé dans tout ce qui comporte prix et responsabilité, rapidité, souplesse écoute, toujours là quand ont veux une réponse a une question </t>
  </si>
  <si>
    <t>10/04/2021</t>
  </si>
  <si>
    <t>assura2-71837</t>
  </si>
  <si>
    <t>Un devis a 2166 euros/an pour du tout risque sur une moto valant 6000 euros, je veux bien être considéré jeune conducteur à moto mais pas n'avoir aucune expérience de conduite.</t>
  </si>
  <si>
    <t>Peyrac Assurances</t>
  </si>
  <si>
    <t>04/03/2019</t>
  </si>
  <si>
    <t>01/03/2019</t>
  </si>
  <si>
    <t>erika-g-127753</t>
  </si>
  <si>
    <t xml:space="preserve">C'est mon deuxième contrat d'assurance voiture chez direct assurance et je suis vraiment satisfait. Service simple et pratique ! Tout est claire et surtout très rapide. </t>
  </si>
  <si>
    <t>12/08/2021</t>
  </si>
  <si>
    <t>chrystelemarchal-79118</t>
  </si>
  <si>
    <t>Une attente très très longue pour que le dossier de mon fils soit traité suite à un sinistre. Des informations fournies qui se contredisent en fonction du conseiller que l'on a au téléphone. Manque de lien et de cohérence entre le Crédit Agricole et Pacifica.</t>
  </si>
  <si>
    <t>11/09/2019</t>
  </si>
  <si>
    <t>guyloup-93215</t>
  </si>
  <si>
    <t xml:space="preserve">L'offre de départ était attrayante, mais au renouvellement alors que mon bonus a progressé, mon prélèvement augmente d'une 15€ d'euro. Jamais vu ça. </t>
  </si>
  <si>
    <t>06/07/2020</t>
  </si>
  <si>
    <t>miss-alex-62322</t>
  </si>
  <si>
    <t xml:space="preserve">Les informations demander  sont très bien expliquer, mes besoin ont été compris et une solution a été trouver très rapidement. Je suis très satisfaite, et récompense santine. Personnel très a l écoute. </t>
  </si>
  <si>
    <t>coco-122810</t>
  </si>
  <si>
    <t>Les conseillers sont très à l'écoute. ils sont agréables, patients et efficaces. Ils trouvent vite une réponse à notre demande. c'est une équipe soudée.</t>
  </si>
  <si>
    <t>08/07/2021</t>
  </si>
  <si>
    <t>eloise-g-135106</t>
  </si>
  <si>
    <t xml:space="preserve">Satisfait de la rapidité des documents envoyés par mail.
Satisfait des tarifs en vigueur car raisonnables par rapport à la prise en charge. 
Cordialement </t>
  </si>
  <si>
    <t>APRIL</t>
  </si>
  <si>
    <t>pseudo-123202</t>
  </si>
  <si>
    <t>ils ont annulés le contrat d'assurance souscrit à mon nom pour un véhicule dont la carte grise est à mon nom, car j'ai eu l'honnêteté de leur dire que ma fille reprendrais la voiture à son nom dès l'obtention de son permis</t>
  </si>
  <si>
    <t>12/07/2021</t>
  </si>
  <si>
    <t>marie-sophie-c-123504</t>
  </si>
  <si>
    <t>Service efficace et rapide, plusieurs propositions mis en avant, du personnel réactif et a l’écoute. Prix intéressant, contrat clair rien a redire.
Encore merci.</t>
  </si>
  <si>
    <t>15/07/2021</t>
  </si>
  <si>
    <t>roques-marie-france-116582</t>
  </si>
  <si>
    <t>Très satisfait de la réactivité de Lamia qui a répondu aux questions posées avec efficacité et courtoisie (question suite à l'hospitalisation de mon épouse et au dépassement d'honoraire constat)</t>
  </si>
  <si>
    <t>10/06/2021</t>
  </si>
  <si>
    <t>garamondo-51984</t>
  </si>
  <si>
    <t>J'ai essayé de faire ma résiliation début Février. Ils m'ont pas répondu les mails (3 mails ont été nécessaires) jusqu'à fin Mars. Ils n'ont pas fait les démarches jusqu'à JUIN!! En plus, j'avais un contrat de protection hospitalière que, logiquement, n'ont pas résilié automatiquement... Donc, j'ai du recommencer avec les mails. Ils m'ont dit que c'était bon et quelques mois plus tard, ils continuaient à me prendre 2,14 euros par mois. Bref, aucun service de qualité, très mauvais service client et mon argent qui disparaisse sans souci.</t>
  </si>
  <si>
    <t>02/02/2017</t>
  </si>
  <si>
    <t>01/02/2017</t>
  </si>
  <si>
    <t>lauram-62153</t>
  </si>
  <si>
    <t>Je DECONSEILLE FERMEMENT cette assurance. aucune réactivité ni fiabilité. Sinistre en date du 23 Aout 2017, soit presque 7mois plus tard, toujours pas indemnisé ni responsabilités fixé, aucun véhicule de remplacement pourtant je suis en tous risque!! rien de compliqué sur ce sinistre, un accrochage basique avec une partie adverse!! Un personnel incompétent, et des garanties plus que limite pour un contrat tout risque. si vous ne souhaitez pas avoir de problème surtout éviter à tout prix  cette compagnie</t>
  </si>
  <si>
    <t>09/03/2018</t>
  </si>
  <si>
    <t>estelle-56178</t>
  </si>
  <si>
    <t>Attention, cette assurance n'hésite pas à tromper les gens afin que vous souscriviez chez eux....des frais vous sont facturés et ils prennent la liberté d'augmenter les mensualités malgré que vous refusez le nouveau devis!!! Ils refusent de reconnaitre un relevé d'information quand d'autres l'accepte !!! Pas de carte verte provisoire....</t>
  </si>
  <si>
    <t>22/07/2017</t>
  </si>
  <si>
    <t>01/07/2017</t>
  </si>
  <si>
    <t>sophie-l-135191</t>
  </si>
  <si>
    <t>La personne que j'ai eu en ligne hier a su me conseiller parfaitement sans me forcer la main pour vendre à tout prix.
Prix correct. En espérant ne pas voir d'augmentation sans raison dans 1 an, sinon je serai obligé de changer à nouveau.</t>
  </si>
  <si>
    <t>30/09/2021</t>
  </si>
  <si>
    <t>seb-88716</t>
  </si>
  <si>
    <t xml:space="preserve">Voilà 9 mois que j'attends un remboursement de mon véhicule vandalisé et toujours rien malgré mes coup de téléphone.
Même les démarches c'est moi qui ai du les faire comme demandé une expertise concervatoire. 
Les responsables du vandalisme malgré avoir été jugé je ne suis toujours pas remboursé. 
Deuxième dossier ma responsabilité toujours pas. Engagé j'attends depuis un peu plus de 6 mois remboursement de ma franchise et d'un pneu. 
Une honte. 
Chaque fois la même rengaines contactez le service relation mais il ne font rien. 
Les personnes s'occupant du dossier ne sont jamais les même et ne nous répondent jamais au questions posées. 
Malgré mon ancienneté chez la macif je pense partir car ils ont bel et bien perdu leur sérieux. 
Leur seul soucis faire de l'argent en nous diminuant nos garanties sans parfois qu'on le sache. </t>
  </si>
  <si>
    <t>06/04/2020</t>
  </si>
  <si>
    <t>thierry-f-127418</t>
  </si>
  <si>
    <t>Je suis très satisfait du service!
Très rapide et efficace!
Le tarif est très concurrentiel et l'inscription en ligne épargne les nombreuses demandes plus ou moins exotiques de certaines assurances.</t>
  </si>
  <si>
    <t>10/08/2021</t>
  </si>
  <si>
    <t>fa18-103900</t>
  </si>
  <si>
    <t xml:space="preserve">Tarif attractif / garantie satisfaisante sur le papier
Un petit degat des eaux en 2018 ou je fai s jouer la MMAF =&gt; indeminisation 1200E
un second degats des eaux fin 2020 ou je fis jouer la MAAF =&gt; indemnisation 900e
Tous se passe bien reactif present. Cependant, j'ai la desagreable surprise de recevoir un courrier m'informant que la MMAF resilie mon assurance au 31/12 pour frequences de sinistre .... 2 sinistres mineurs en 3 ans pour un montant de 2000e ....
Apres cela devient l'enfer, aucune assurance ne veut de vous avec la marque noire resiliation ... J'arrive tout de meme à plaider mon cas aupres d'un assureur qui trouve les motifs de resiliation vraiment exagérés. Il est pret à m'assurer mais demande un relevé des sinistres venantde la MAAF prouvant mes dires. 
=&gt; J'appelle mon agence MAAF, qui m'envoie sur les roses méprisant en me disant que ce papier est impossible à faire . ... Je rappelle le siége, meme position ... du coup l'autre assureur ne veut pas m'assurer faute d'avoir ce relévé ...
Bref, fuyez la MAAF. Ils ne veulent que des contrats sans sinistre et vous resilieront si vous avez le malheur de declarer un probleme. Encore pire, ils n'auront meme pas l'elegance de vous faire un papier pour que vous puissiez vous reassurer par la suite.
</t>
  </si>
  <si>
    <t>09/02/2021</t>
  </si>
  <si>
    <t>paul-91086</t>
  </si>
  <si>
    <t>Assuré depuis 45 ans, 4 contrats en cours, bonus automobile de 50% plus 10%. Je vais résilier tous mes contrats. très mal reçu lors du dernier rendez-vous, je ne m'attendais pas à ça. On ne m'y reprendra pas.</t>
  </si>
  <si>
    <t>22/12/2019</t>
  </si>
  <si>
    <t>01/12/2019</t>
  </si>
  <si>
    <t>mohammad-a-124436</t>
  </si>
  <si>
    <t>Je suis Satisfait du service merci Beaucoup pour cela Assurance direct est une Forme assez générique du besoin pour la jeunesse et les conducteurs particuliers</t>
  </si>
  <si>
    <t>23/07/2021</t>
  </si>
  <si>
    <t>rabaux-f-127447</t>
  </si>
  <si>
    <t xml:space="preserve">Je suis satisfaite du service… Les prix me conviennent parfaitement….  Meilleur tarif en service auto !                                très contente !  </t>
  </si>
  <si>
    <t>nicolas-m-131178</t>
  </si>
  <si>
    <t>Très étonné de la différence de prix entre mon ancien contrat et le nouveau. Je vais donc comparer avec d'autres assurances. 
Aucun geste commercial pour rester chez AMV après 4 ans sans incident, je trouve cela dommage.</t>
  </si>
  <si>
    <t>04/09/2021</t>
  </si>
  <si>
    <t>vadrot-j-107093</t>
  </si>
  <si>
    <t>Vraiment dommage de ne pas pouvoir souscrire a une formule tout risque pour un  import de vehicule, et impossibilité d'obtenir le tarif de celui-ci pour un futur basculement.</t>
  </si>
  <si>
    <t>18/03/2021</t>
  </si>
  <si>
    <t>delphmag-79128</t>
  </si>
  <si>
    <t>La pire des mutuelles. Ils font tout pour ne pas rembourser certaines visites à l'hôpital ou chez le médecin en demandant des documents introuvables.
Le dernier en date : rdv orl pour ma fille. Le médecin ne me fait payer que la part mutuelle. La carte vitale ne fonctionne pas et me donne une feuille à envoyer à la cpam.
J'envoie à harmonie mutuelle la copie des relevés mensuels de  remboursements et on me demande l'original de la facture justifiant le paiement du ticket modérateur.
Expliquez moi ou je vais trouver ce document ???</t>
  </si>
  <si>
    <t>markoeus-80320</t>
  </si>
  <si>
    <t>tarif correct, service client minable, temps d'attente interminable au telephone, le site internet ne fonctionne pas bien afin de rendre les recherches de son propre compte inaccessible</t>
  </si>
  <si>
    <t>22/10/2019</t>
  </si>
  <si>
    <t>01/10/2019</t>
  </si>
  <si>
    <t>scombrus-79470</t>
  </si>
  <si>
    <t xml:space="preserve">Je me suis assuré aprés la fin de la portabilité de mon ancienne mutuelle eovi. j'ai eu besoin se soins dentaires et j'ai tenté de voir avec carte blanche les professionnels de santé de ma ville .tous ceux que j'ai contacté sont référencés sur carte blanche mais en réalité ils ne connaissent pas carte blanche ou n'y ont jamais adhéré. je crains le pire pour mes futurs remboursements . Si je n'ai pas moyen de résilier mon contrat je passerai par la justice car cela me coutera moins chers que de payer des années indésirées . Il n'y a que 15j que mon contrat a démarré déja des problémes  cegema est à fuir </t>
  </si>
  <si>
    <t>25/09/2019</t>
  </si>
  <si>
    <t>mailys-r-131545</t>
  </si>
  <si>
    <t>Les prix sont attractifs à voir sur la durée pour le service , c’est simple et rapide . 
Le site et clair et l’inscription et de ce fait facilite .
Les garanties sont correct le rapport qualité prix et vraiment interessant</t>
  </si>
  <si>
    <t>06/09/2021</t>
  </si>
  <si>
    <t>eric35-57433</t>
  </si>
  <si>
    <t>Il n'y a pas d'assurance parfaite, seul votre conseiller peut l'être. J'ai choisi, testé mon conseiller, clairement dit ce qui était assuré ou pas, vérifiable sur les conditions générales, qui il faut bien l'avouer sont indigestes au possible. Comme certains j'ai préféré une bonne couverture à un bon prix . 
J'assure quoi, qu'elle seront mes déconvenues en cas d'accident , de panne, d'incendie etc, et là, nous n'avons pas tous les mêmes priorités.
Jusque là axa à respecter ses engagements, tant au niveau des autos, de la maison de la protection juridique, la GAV étant plus un petit cadeau à l'intention de mon assureur pour service rendu.
Mon agence est à Guer coetquidan dans le Morbihan.</t>
  </si>
  <si>
    <t>18/09/2017</t>
  </si>
  <si>
    <t>01/09/2017</t>
  </si>
  <si>
    <t>guillet-e-112243</t>
  </si>
  <si>
    <t xml:space="preserve">Je suis satisfait service client sympathique et réactif prix avantageux comparé aux autres assurances nous j était chez euro assurance j y suis resté un mois l’es télé conseillère agressif voulant faire de la vente forcée on vous fais du chantage pour la moindre envie de voir ailleurs je recommande vivement l Olivier assurance je paie moins de 1000 euros contrairement à Europe assurance ou j était à 2000 pour les mêmes prestations </t>
  </si>
  <si>
    <t>30/04/2021</t>
  </si>
  <si>
    <t>arthurg-61865</t>
  </si>
  <si>
    <t xml:space="preserve">Après avoir souscrit à un contrat assurance auto il y a un mois et demi je n'ai toujours pas de carte verte. 
Leur ayant signalé une erreur sur le contrat à savoir un mauvais bonus-malus  (la cause : un document de mon précédent assureur qui n'était pas à jour)  il n'ont toujours pas ajusté mon contrat. Je les ai contacté pour rectification quelques jours après avoir payé mon assuranceje n'ai eu aucun signe de vie de leur part depuis et mon assurance temporaire arrive à échéance !!
J'ai contacté trois fois le service client pour leur signaler l'anomalie et ajuster mon contrat. Ces derniers m'ont assuré revenir vers moi ce qu'ils n'ont jamais fait.
Je leur ai envoyé quatre mail en leur indiquant le problème pour effectuer un changement de contrat et procéder à un ajustement tarifiaire et j'attends toujours leur "retour sous 48h"
Mon assurance temporaire arrive à échéance dans quelques jours et je n'ai toujours pas de carte verte. L'Olivier assurance me met dans une situation dangereuse. </t>
  </si>
  <si>
    <t>28/02/2018</t>
  </si>
  <si>
    <t>01/02/2018</t>
  </si>
  <si>
    <t>jeremy-m-135316</t>
  </si>
  <si>
    <t>Pour le moment pas de retour négatif, mais je n'en suit qu'à la souscription. Reste à confirmer cette bonne impression en cas d'aléas ou d'accident avec mon véhicule.</t>
  </si>
  <si>
    <t>amelie-o-131695</t>
  </si>
  <si>
    <t>Je trouve que la cotisation pour la mensualisation est un peu élevée.
Sinon nous avons toujours été très bien reçu par vos conseillé que cela soit au téléphone ou en agence.</t>
  </si>
  <si>
    <t>agnes-54331</t>
  </si>
  <si>
    <t>Cliente depuis plus de 20 ans je n'ai que des compliments a faire a la MACIF. Compétents réactifs, prix doux, que du plus.Je suis assurée pour les voitures, maison etc.Même en cas de sinistre je n'ai jamais rencontré de problème avec leurs services tout se règle très rapidement</t>
  </si>
  <si>
    <t>27/04/2017</t>
  </si>
  <si>
    <t>01/04/2017</t>
  </si>
  <si>
    <t>pascalegilles94-50661</t>
  </si>
  <si>
    <t>Attention, ne pas avoir à se servir de la Macif en effet des qu'il y a un problème celle ci est incapable  d'expliquer comment va se dérouler le traitement du dossier .   En effet aprés avoir eu un dommage ( tentative d'effraction du domicile) Il y a 2 semaines 
IMHA nous explique que notre dossier ne peut être traiter en l'état et qu'il faut faire passer un expert. au début il nous a été confirmé que cela n'était utile !!  comprenne qu'il pourra.</t>
  </si>
  <si>
    <t>26/12/2016</t>
  </si>
  <si>
    <t>wanty-m-128370</t>
  </si>
  <si>
    <t>Je suis satisfait des services, les conseillés sont super.
Les prix me conviennent, ils sont super pour les jeunes conducteurs ayant plusieurs accidents</t>
  </si>
  <si>
    <t>17/08/2021</t>
  </si>
  <si>
    <t>jeguirim-a-112581</t>
  </si>
  <si>
    <t xml:space="preserve">je trouve que les prix mensuel est raisonnable par contre il y a beaucoup de franchise a payé ce qui revient vite très chère en cas d'accident , mais bon dans l'ensemble ca me convient. </t>
  </si>
  <si>
    <t>jerome-d-121511</t>
  </si>
  <si>
    <t xml:space="preserve">je suis très content de la qualité de prise en charge de Direct Assurance .
tout est clair fluide ,équipe à l'écoute de vos problèmes 
rapidité ,qualité d'éxécution en un mot super 
bien cordialement 
Mr Doré
</t>
  </si>
  <si>
    <t>29/06/2021</t>
  </si>
  <si>
    <t>franck-l-109618</t>
  </si>
  <si>
    <t>Très satisfait des prestations et de la rapidité d'intervention. Je recommande vivement cette assurance. Serieux et interets pour le client pris en compte</t>
  </si>
  <si>
    <t>nicolas-p-138755</t>
  </si>
  <si>
    <t>Service d'inscription en ligne rapide, possibilité d'assurer rapidement sa moto avec des tarifs corrects. Mais il est dommage de devoir donner un avis de force a la fin de l'adhésion.</t>
  </si>
  <si>
    <t>02/11/2021</t>
  </si>
  <si>
    <t>mateo-j-133303</t>
  </si>
  <si>
    <t xml:space="preserve">Bien mais un peu compliquer pour trouver le modèle et autres si le scooter est relativement ancien. Cependant le prix est dans l’ensemble plutôt correct </t>
  </si>
  <si>
    <t>danidan-31735</t>
  </si>
  <si>
    <t>PARFAIT APPAREMMENT A VIR DANS LE TEMPS PRIX PLUS QU4INTERESSANT A SUIVRE. SERVICE CLIENT POUR LE DEMARCHAGE EST IMPECCABLE J ESPERE QU4EN CAS DE LITIGE OU DE DOMMANGE IL EN SERA DE MEME.</t>
  </si>
  <si>
    <t>papillon933-109643</t>
  </si>
  <si>
    <t>Rapide et efficace pour assurer mon nouveau véhicule, dans la minute suivant son achat. Seule plateforme ouverte à l'heure où je suis allée faire mon acquisition, ce qui m'a permis de rentrer directement au volant en étant couverte.</t>
  </si>
  <si>
    <t>romuald-p-111661</t>
  </si>
  <si>
    <t>Le prix me convient pour l'instant. J'attends de voir dans le temps pour avoir un avis sur les prestations.
Tout est ok pour l'instant, pas de remarque particulier.</t>
  </si>
  <si>
    <t>26/04/2021</t>
  </si>
  <si>
    <t>jadejado-95042</t>
  </si>
  <si>
    <t>La qualité des remboursements d'optique était à la hauteur de ce que m'avait dit le service client. Aucune mauvaise surprise et j'ai même eu droit au tiers payant sans problème</t>
  </si>
  <si>
    <t>24/07/2020</t>
  </si>
  <si>
    <t>tailhardat-l-128011</t>
  </si>
  <si>
    <t xml:space="preserve">Bon contact au téléphone .
Réactif, prend son temps pour que le dossier soie bien compris.
Voir par la suite, en espérant ne pas avoir a utilisée vos services.
Bien d'avoir pu effectuer les démarche un samedi après-midi
merci et bonne journée a vous </t>
  </si>
  <si>
    <t>14/08/2021</t>
  </si>
  <si>
    <t>prugna-53442</t>
  </si>
  <si>
    <t>Pour le bris accidentel d'un téléphone portable vieux de 6 mois, je fournis la facture orange et la MAIF outre la franchise contractuelle de 135 euros, ne se réfère pas aux prix de vente mais le conseiller me sort un prix tiré d'un site de revente "le bon coin" qui vend des objets d'occasion d'origine inconnue. Tout cela pour ne pas rembourser ne serait ce que 60 euros pour un téléphone d'une valeur de 195 euros et quand je manifeste mon étonnement on me demande si je veux un geste commercial alors que je suis adhérente depuis 20 ans et plus.</t>
  </si>
  <si>
    <t>21/03/2017</t>
  </si>
  <si>
    <t>01/03/2017</t>
  </si>
  <si>
    <t>llanes-l-110545</t>
  </si>
  <si>
    <t>Très content du service et rapport qualité prix, retard des pièces fournis pour ma part, mais très bon accompagnement du début à la fin, aussi bien par mail que téléphone, recommandé auprès de mes proches.</t>
  </si>
  <si>
    <t>15/04/2021</t>
  </si>
  <si>
    <t>eligig-50173</t>
  </si>
  <si>
    <t xml:space="preserve">J'ai signé un deuxième contrat auto chez direct assurance le 30/11 (prix payé 436 €). quelques jours après, suite à un problème de bonus, ils m'ont demandé de signer un nouveau contrat, prix 512€. J'ai envoyé rapidement le relevé d'info avec le bonus correct et il m'ont envoyé donc une nouvelle proposition à 487 €. Quand j'ai demandé le pourquoi de la différence de prix par rapport au contrat initial, ils m'ont dit que ça concernait mes antécédents (imprecisé) et demandé si j'avais été assuré avant novembre 2015. J'ai répondu que j'étais assuré chez eux pendant 4 ans avant de passer chez une autre assurance pendant un an. Depuis je n'ai plus de nouvelles. Jusqu'à là j'avais eu des réponses assez rapides par whatsapp. c'est bien sur toujours plus facile quand ils doivent augmenter les tarifs. J'ai l'impression, en plus, qu'ils attendent que l'offre de remboursement de 40€ pour un deuxième contrat auto expire (le 14/12), pour me répondre et me dire que je n'y ai plus droit. </t>
  </si>
  <si>
    <t>12/12/2016</t>
  </si>
  <si>
    <t>francis-m-126457</t>
  </si>
  <si>
    <t>je suis satisfait des services prix correct facile et rapide relation client super
attendons de voir la suite en cas de problèmes pour juger complètement les services</t>
  </si>
  <si>
    <t>04/08/2021</t>
  </si>
  <si>
    <t>lucas-102261</t>
  </si>
  <si>
    <t>Mon avis sur MAAF rapatriement, 
Panne auto, téléphone au service en 15 minutes un taxi  une réservation pour un véhicule de location pour 290 kms, retour taxi, réservation de billet de train, service très rapide et efficace, je suis très satisfait de la MAAF
Claude ver</t>
  </si>
  <si>
    <t>06/01/2021</t>
  </si>
  <si>
    <t>dany-57365</t>
  </si>
  <si>
    <t>Mon ancienne mutuelle "MUTUALIS"a fusionné cette année avec AG2R .Je n'ai donc pas eu le choix .
AG2R me garanti les mêmes prestations ,sauf qu'au passage et malgré une augmentation de la prime de 6.5% ,la prise en charge de la chambre particulière que j'avais souscrite depuis 20 ans a été supprimée .
Aucune réponse d'AG2R malgré plusieurs relances</t>
  </si>
  <si>
    <t>15/09/2017</t>
  </si>
  <si>
    <t>papygaz-108910</t>
  </si>
  <si>
    <t>Assureur vrai spécialiste du risque moto...bon rapport qualité prix...des garanties présentes chez aucun des concurrents...très satisfait pour ma part  !</t>
  </si>
  <si>
    <t>math-139661</t>
  </si>
  <si>
    <t>Non remboursement de mes frais de gardiennage et très long délais afin d'être indemniser. 
Honte à cette assurance, je ne la conseille surtout pas....
Rien n'est suivi, il ne s'occupe en rien au dossier. Enfin, je claque la porte.</t>
  </si>
  <si>
    <t>flatters-55247</t>
  </si>
  <si>
    <t>Titulaire d'un contrat autonomie , prévoyance, auprès de la macif  ,j'ai  sollicité une aide ponctuelle  d'aide a domicile  ( devant subir une intervention chirurgicale ) celle ci  m'a été refusée au titre que cette intervention est programmée  depuis un mois et non 
accidentelle !!!!  la macif fait référence à des conditions particulières qui ne m'ont jamais été remises a la signature du contrat et qui ne figurent pas sur celui ci .
RETRAITES ,  RELISEZ BIEN VOTRE CONTRAT  ET N'HESITEZ PAS A REAGIR  ,NOUS NE SOMMES DONC  COUVERTS DANS CE CAS , QUE S'IL S'AGIT  D'UNE  IMMOBILISATION  IMPREVISIBLE OU ACCIDENTELLE   ?????????
QU'EN PENSEZ  VOUS ?????????</t>
  </si>
  <si>
    <t>09/06/2017</t>
  </si>
  <si>
    <t>01/06/2017</t>
  </si>
  <si>
    <t>jc13-65815</t>
  </si>
  <si>
    <t>un service client des plus mauvais. envoie des pieces du dossier une par une et sous format photos. pieces perdues et excuses inaudibles. des rappels incessants. a eviter</t>
  </si>
  <si>
    <t>27/07/2018</t>
  </si>
  <si>
    <t>patrick1980-55245</t>
  </si>
  <si>
    <t>j'étais chez Peyrac Assurances l'année dernière et aucun soucis, tout était au top. j'ai du vendre ma moto, dès le lendemain mon assurance a été résiliée, ça a été rapide et simple. Je suis en train de racheter un nouvelle moto et c'est sans hésitation que je retourne chez Peyrac.</t>
  </si>
  <si>
    <t>fpl-80929</t>
  </si>
  <si>
    <t>50 ans de fidélité et autant de année en bonus Maxi je décide de, assurer mon habitation a la Macif et là on me répond  au,il ne peuvent pas assurer ma ma maison  parcque j,ai eu un sinistre catastrophe naturelle en 2006  sachant que tout a été réparé en 2008 . Ce genre de pratiques m,étant insupportable j,ai décidé de, aller voir ailleurs  et cela n,a posé aucuns PBS a la maaf</t>
  </si>
  <si>
    <t>12/11/2019</t>
  </si>
  <si>
    <t>nico13009-92794</t>
  </si>
  <si>
    <t>Bonjour, en parcourant ce forum, j'ai constate que plusieurs societaires maif historiques ne comprenaient pas ou plus la classification des vehicules a la maif. J'ai donc decide de contribuer puisque je me trouve depuis quelques annees dans le meme cas et a la faveur d'un prochain changement de vehicule, j'ai pu constater a quel point la situation se degrade sur ce sujet. En effet, quelle que soit la complexite du calcul de la cotisation, la maif surpondere la puissance du vehicule et ce, sans tenir compte des performances ecologiques par ailleurs. Resultat: pour le modele que j'ai choisi, la maif incite a l'achat du bloc DIESEL en premiere ligne (les vehicules Diesel seront bientot interdits dans certaines grandes agglomerations!). par ailleurs, parmi les blocs essence, elle incite a l'achat du bloc le moins puissant mais plus emetteur de polluants que le tout nouveau bloc developpe par le constructeur et affichant soit, une puissance plus elevee mais des performances reelles n'augmentant que l'agrement de conduite c'est à dire sans transformer le vehicule en Formule 1. par ailleurs, ces deux blocs essence possedent la meme technologie d'hybridation mais la maif n'en tient pas compte pour le plus puissant, donc uniquement pour le moins puissant! elle ne tient pas non plus compte de la difference entre les modeles 4X2 et transmission integrale.  resultat: une cotisation 50% plus elevee pour le moteur le plus puissant mais le plus propre. une difference que je trouve excessive. j'ai pu realiser des devis chez d'autres assureurs avec une classification bien differente. Pour moi, le choix de ce moteur est un choix qui va dans le sens des preoccupations ecologiques du moment. certains assureurs semblent d'accord avec cela, pas la maif. reflexion en cours!</t>
  </si>
  <si>
    <t>30/06/2020</t>
  </si>
  <si>
    <t>el-houcine-l-115296</t>
  </si>
  <si>
    <t xml:space="preserve">Je suis satisfait du service malgré qu il est un peu long pour avoir un conseiller. Assurance au top, je suis fidele depuis presque 8 ans ainsi que mon épouse. </t>
  </si>
  <si>
    <t>29/05/2021</t>
  </si>
  <si>
    <t>touzard-y-136445</t>
  </si>
  <si>
    <t xml:space="preserve">Je suis satisfait de l’olivier assurance pour leur rapidité et leur efficacité merci beaucoup pour pouvoir me permettre d’assurer ma voiture 
Cordialement </t>
  </si>
  <si>
    <t>lacoste-s-121357</t>
  </si>
  <si>
    <t>Personne au téléphone (Nora) très disponible et compétente. Elle a su faire preuve de conseil et d'écoute sur mes problématiques. Espérant qu'il en sera de même après signature</t>
  </si>
  <si>
    <t>27/06/2021</t>
  </si>
  <si>
    <t>lilou77-62826</t>
  </si>
  <si>
    <t xml:space="preserve">Assurance qui augmente très rapidement ses prix, qui rembourse peu, trouve toujours un truc pour ne pas rembourser, et on n'a jamais d'explication sur le remboursement! </t>
  </si>
  <si>
    <t>30/03/2018</t>
  </si>
  <si>
    <t>pascale30-56120</t>
  </si>
  <si>
    <t xml:space="preserve">Nous sommes assurés à la Macif depuis plus de 25 ans, cette année notre fils  s'est fait voler sa voiture il y a 3 mois et depuis 3 mois la Macif  nous promène afin de ne pas le rembourser et la personne que nous avons au téléphone est odieuse. </t>
  </si>
  <si>
    <t>19/07/2017</t>
  </si>
  <si>
    <t>jean-francois-d-112067</t>
  </si>
  <si>
    <t>La mensualisation à un impact trop important sur le prix de base.
Et cela (pour ce qui me concerne) ne m'à pas était clairement dit  lors de la souscription ; impliquant un non retour en arrière pour ne pas avoir cette mensualisation;  de ce fait je paie plus cher que le prix que l'on m'avis donné au départ</t>
  </si>
  <si>
    <t>29/04/2021</t>
  </si>
  <si>
    <t>florian-d-107708</t>
  </si>
  <si>
    <t>Je suis satisfait à ce jour de faire partie de votre clientèle. J'ai été très bien accueilli par téléphone, en espérant que tout ce passe bien.
Cordialement Dufossé Florian</t>
  </si>
  <si>
    <t>nul-56861</t>
  </si>
  <si>
    <t>NUL NUL ET NUL !!
ILS PASSENT UN MOIS A NOUS DEMANDER DES PAPIERS ET DES PAPIERS ET ENCORE DES PAPIERS POUR A LA FIN NOUS RESILIER LE CONTRAT SANS NOUS LE DIRE ET SURTOUT NE PAS REMBOURSER LA TOTALITE DES SOMMES PERCUES. A FUIR. LAISSEZ LES GENS ROULER SANS ETRE ASSURES. LES CONSEILLERS NE COMPRENNENT RIEN A NOS DEMANDES SE MELANGENT LES PINCEAUX DANS LEURS REPONSES. C'EST UNE HONTE ET ENCORE JE PESE MES MOTS</t>
  </si>
  <si>
    <t>24/08/2017</t>
  </si>
  <si>
    <t>01/08/2017</t>
  </si>
  <si>
    <t>moussouni-s-115315</t>
  </si>
  <si>
    <t>mon coefficient bonus est normalement à 0,54 vous avez appliqué 0,57 je vais consulté mes anciens contrats souscrits chez direct assurance et vous fournir la preuve</t>
  </si>
  <si>
    <t>herve31-102416</t>
  </si>
  <si>
    <t xml:space="preserve">Après 15 ans de paiement de cotisation d'assurance de prêt, nous nous apercevons qu’April nous a prélevé à tort des cotisations. Suite à une erreur administrative, APRIL a continué de prélever des cotisations d'un premier prêt immobilier qui avait été renégocié et soldé. Nous avons signalé cette erreur au service réclamation d'avril en novembre 2020. En décembre 2020, APRIL a régularisé la situation en nous remboursant les 5 ans auxquels la loi l'y oblige. En plus de cela, APRIL a fait preuve de professionnalisme puisqu'en Janvier  2021,  il nous a remboursé le trop-perçu des cotisations sur la période  2005 à 2015 alors qu'il aurait pu se réfugier derrière le code des assurance et la justice.
C'est pourquoi, je remercie APRIL pour son écoute et  son service de qualité. A cette occasion, je remercie en particulier Elsa J. pour sa réactivité et son professionnalisme.
A l'avenir, si je devais à nouveau contracter un prêt immobilier, je n'hésiterai pas à faire appel à leur service et aussi à les recommander.
</t>
  </si>
  <si>
    <t>10/01/2021</t>
  </si>
  <si>
    <t>feuillatey-f-109357</t>
  </si>
  <si>
    <t xml:space="preserve">je suis satisfait du service
je valide le tarif et l'approche client par votre service téléphonique ainsi que l'accompagnement pour la signature du contrat </t>
  </si>
  <si>
    <t>gin27-87079</t>
  </si>
  <si>
    <t>Ms diego gomez assureur très aimable qui ma très bien expliquée et résolu mon problème je suis très satisfaite de l'entretien que j'ai eu avec Mr gomez personne très aimable et de très bon conseil. Je souhaite que toutes les équipes chez NEOLIANE aient le même professionnalisme.je donne 10/10</t>
  </si>
  <si>
    <t>12/02/2020</t>
  </si>
  <si>
    <t>01/02/2020</t>
  </si>
  <si>
    <t>dunet-111913</t>
  </si>
  <si>
    <t xml:space="preserve">Bonjour,
Assureur qui ne tient pas ses promesses...Ne transmets pas les deux demandes en temps et en heure que mon ancien assureur souhaite connaitre ...Donc reparti pour 1 an avec mon assurance actuelle....
Aucun professionnalisme.
</t>
  </si>
  <si>
    <t>28/04/2021</t>
  </si>
  <si>
    <t>roseline-b-109260</t>
  </si>
  <si>
    <t>satisfaite du service, une augmentation de 30 Euros que nous ne comprenons pas compte tenu du confinement depuis un an ,par contre la baisse du prix du contrat serai justifié.</t>
  </si>
  <si>
    <t>vero-80157</t>
  </si>
  <si>
    <t xml:space="preserve">Cet été j ai eu un dégât des eaux un peu compliqué puisque il s agissait d un canalisation enterrée qui était percée. La MAIF est intervenue et a pris en charge les réparations. </t>
  </si>
  <si>
    <t>17/10/2019</t>
  </si>
  <si>
    <t>gribouille-102988</t>
  </si>
  <si>
    <t xml:space="preserve">Mutuelle à fuir 
Tres chere et remboursement minable notamment pour les dents 
Inegalites de traitement ds le rembiursement plus vous payez moins vous etes rembourse inadmissible 
Aucune reponse aux multiples reclamations faites 
Montant du remboursement variable sans justification aucune 
On.se demande oú va l argent des cotisations 
Scandaleux </t>
  </si>
  <si>
    <t>doudou-97738</t>
  </si>
  <si>
    <t>Super assurance , j'ai eu deux sinistres ( 1 responsables et 1 non responsables) et a chaque fois tout à été régler très rapidement et très professionnellement.  Je recommande plus plus plus</t>
  </si>
  <si>
    <t>23/09/2020</t>
  </si>
  <si>
    <t>circeisis-50647</t>
  </si>
  <si>
    <t>j'ai été assurée 23 ans a la maaf  et virée comme une malpropre il y a 3 mois suite a un accident responsable en 2013 et un sans responsablilité en 2015 .je pense que lors du second accident on aurait pu me prévenir du fait que ça risquait d'arriver puisque dans leur contrat il est ecrit (en tout petit sans doute) que 2 accident en 5 ans entraine une radiation mais le pompon a été que mon assurance habitation a également été radier sans raison .
voila la maaf fait de bellespib a la tele mais c'est du blanla</t>
  </si>
  <si>
    <t>olivier-8300-98000</t>
  </si>
  <si>
    <t xml:space="preserve">horreur fuyez 
ils ne respectent pas les clients ont est juste des payeurs
garantie aucune et ne paye jamais les dégats qu'ils vous doivent  
deplus lors de ma séparations ils continu de vous décompté des frais d'assurance de prélévé 
alors qu'ils ont recu les courriers de résiliation fuyé vous dis je </t>
  </si>
  <si>
    <t>29/09/2020</t>
  </si>
  <si>
    <t>terrifortain-104478</t>
  </si>
  <si>
    <t>Bonjour,
Au moins une mutuelle qui répond au téléphone et avec un contact personnalisé.
Rapidité et souci d'expliquer sont la moteur des échanges téléphoniques.
Je recommande.</t>
  </si>
  <si>
    <t>19/02/2021</t>
  </si>
  <si>
    <t>jeluno-61984</t>
  </si>
  <si>
    <t>Bonjour,
J’ai été victime de projections de peinture d’un chantier voisin du parking sur lequel j’avais garé mon véhicule.
L’entreprise de peinture a immédiatement reconnue ses torts et a signé le constat sans aucune difficulté.
J’ai ensuite transmis le constat à mon assureur, la MACIF et voilà la réponse écrite reçue de sa part :
- Nous intervenons dans un premier temps au titre de la garantie DOMMAGES laquelle est assortie d'une franchise contractuelle. 
- Nous effectuons par la suite la réclamation auprès de l'assureur adverse au titre de votre garantie DEFENSE- RECOURS 
- La franchise retenue vous sera reversée après aboutissement du recours. 
- Les constatations de l’expert nous permettront de déterminer votre indemnisation, sachant que votre contrat comporte une franchise de 500 € 
Sidéré d’apprendre que la franchise me sera retenue - ne serait-ce même que temporairement -  je contacte la MACIF en leur demandant si étant assuré (depuis 40 ans auprès de cette compagnie d’assurance) cette dernière défend réellement mes intérêts. Celle ci me répond que ce sont les conventions entre les compagnies d’assurance, et qu'il n'y a pas d'autres solutions.
Donc, je pose les questions suivantes :
- Combien de temps va demander la réclamation auprès de l'assureur adverse ? aucune réponse !
- Que se passe t-il si il y a un problème entre l’entreprise de peinture en cause et son assurance ? aucune réponse !
En conclusion, avec la MACIF :
- Quand je suis en tort : la MACIF me retient la franchise 
- Quand je n’ai aucune responsabilité : la MACIF … retient (temporairement) la franchise ! et me répond : se sont les conventions entre assurances ! sachant que ces fameuses conventions ne précisent aucun délai pour l'aboutissement de la procédure
Pourquoi un assuré (sociétaire c'est le terme enployé dans la cas de la MACIF) doit-il subir un quelconque préjudice financier (certes temporaire, mais quand même) pour un sinistre pour lequel il n’a aucune responsabilité ?</t>
  </si>
  <si>
    <t>04/03/2018</t>
  </si>
  <si>
    <t>jaouhar-75276</t>
  </si>
  <si>
    <t>Dommage qu'on ne peut pas mettre 0 étoiles pour ce genre d'assurances.
Pour résumer, ils ont tout fait pour piquer les frais de dossiers et deux mois d'assurance à l'avance et résilier le contrat sans justification logique
D'abord, ils ont résilié le contrat car j'ai fourni un permis et une carte grise provisoires (Alors que c'est des documents officiels fournis par l'administration Française).
Ensuite, ils refusent de reprendre le contrat suite à la fourniture des documents définitifs sous prétexte que la voiture est actuellement assuré par une autre compagnie.
Sachant que n'importe qui peut souscrire à un contrat chez eux en étant assuré ailleurs (J'ai déjà fait une simulation anonyme sur leur site).
Pour finir, le service client est un numéro de téléphone surtaxé, vous pouvez imaginer les frais supplémentaires que j'ai du payer à cause de ces échanges pour rien au final</t>
  </si>
  <si>
    <t>22/04/2019</t>
  </si>
  <si>
    <t>01/04/2019</t>
  </si>
  <si>
    <t>didier-a-131584</t>
  </si>
  <si>
    <t>prix correct,facilite pour l'inscripton,bon site ,facile d'emploie,je pourrais le recommander a des amis sans probleme.pour l'instant ,je suis tres satisfait de vos servces</t>
  </si>
  <si>
    <t>erlie-m-134538</t>
  </si>
  <si>
    <t xml:space="preserve">J’ai apprécié la rapidité de la transaction, bien que j’ai eu du mal au début car j’avais mal renseigné mes informations. Assez  Bon niveau de prix également </t>
  </si>
  <si>
    <t>26/09/2021</t>
  </si>
  <si>
    <t>assure33-62905</t>
  </si>
  <si>
    <t>la maif vous assure provisoirement le jour de votre appel alors que vous n'avez rien demandé, vous demande après les documents nécessaires à votre inscription, et puis après vérification vous informe que ce n'est pas possible parce que vous ne remplissez pas les conditions nécessaires pour être assuré, mais par contre vous réclame l'assurance provisoire...moralité : que vous soyez éligible ou pas à être assuré à la maif...tu vas payer !!</t>
  </si>
  <si>
    <t>03/04/2018</t>
  </si>
  <si>
    <t>boutry-v-133922</t>
  </si>
  <si>
    <t xml:space="preserve">très satisfait conseiller très professionnel est très agréable, très a l'écoute de leurs clients, explique très très bien toute la marche a suivre et les garantie </t>
  </si>
  <si>
    <t>22/09/2021</t>
  </si>
  <si>
    <t>tiph771-105966</t>
  </si>
  <si>
    <t xml:space="preserve">Depuis le temps que je suis chez eux je n’en suis pas partie. Les tarifs sont convenables par rapport a la couverture proposée. On arrive facilement à avoir un interlocuteur sans trop attendre et ce malgré cette période. </t>
  </si>
  <si>
    <t>09/03/2021</t>
  </si>
  <si>
    <t>vanessa-s-116809</t>
  </si>
  <si>
    <t>les prix sont attractifs. par contre, le service lors de sinistre l'est beaucoup moins! impossible de faire une déclaration de sinistre en ligne,  délai de traitement long, rdv pris non honoré, une perte de temps pour moi, des relances, de l'agacement</t>
  </si>
  <si>
    <t>lilia-a-124663</t>
  </si>
  <si>
    <t xml:space="preserve">Devis rapide et simple à faire en ligne., pas besoin d’un conseiller en ligne.
Comment pouvons nous bénéficier des offres 2 mois offerts ?
Merci        </t>
  </si>
  <si>
    <t>25/07/2021</t>
  </si>
  <si>
    <t>fatmi-a-124907</t>
  </si>
  <si>
    <t xml:space="preserve">Parfait, comme d’habitude. Deuxième voiture assurée et je suis toujours aussi bien accompagné et écouté. 
Je recommande vivement l’olivier assurance. 
Adil. </t>
  </si>
  <si>
    <t>xavier-a-122494</t>
  </si>
  <si>
    <t xml:space="preserve">C'est pas chère et super intéressant bien expliquer ses une bonne assurances très pratique. On n'ai juste à remplir le formulaire et très sécurisé ses bien </t>
  </si>
  <si>
    <t>06/07/2021</t>
  </si>
  <si>
    <t>jc-61172</t>
  </si>
  <si>
    <t>j ai voulu améliorer mon contrat d assurance auto en cours d année mais on me dit que cela n est possible qu a la date anniversaire un assureur qui ne veut pas gagner d argent  c est plutot bizarre</t>
  </si>
  <si>
    <t>06/02/2018</t>
  </si>
  <si>
    <t>lolo624-57669</t>
  </si>
  <si>
    <t>Mon expérience : Ma mère décide de me désigner comme 2eme chauffeur sur son véhicule (306) il y a de ça 6 ans, elle contacte l'assurance par téléphone et fait part de sa volonté de payer pour que lorsque j'achète mon propre véhicule, je commence avec du bonus 
- "Bien entendu Madame, avec cette option votre fils acquierera du Bonus". répondit l'agence
Surprise lors de l'achat d'un nouveau véhicule perso, l'agence nous indique que le bonus n'est effectif que si je m'assure chez AXA, et qu'il est avantageux puisqu'il est de 0,76.
Je trouve ça bizarre et demande des devis un peu de toute part.
Axa propose les mêmes tarifs que ses concurrents principaux (MMA,MAAF) avec le bonus à 0,76 et la concurrence bonus de 1 car celui ci ne peut être perçu ailleurs.
Après leur avoir signaler les tarifs de la concurrence ils me disent qu'ils peuvent revoir mon devis à la baisse et qu'en aucun cas ils ne m'enverront d'avis de situation sur mon bonus car il n'existe que chez eux.
Si ça ne s'appelle pas de l'abus de pouvoir ... 
Sur mon devis ils ont simplement indiqué bonus de 0,76 pour me faire plaisir et ont appliqué le tarif Max. 
Pour votre info si vous voulez que votre 2eme chauffeur acquiert du bonus il faut payer le Supplément jeune chauffeur (A aucun moment l'agence nous l'a préciser)
Compter sur moi pour la mauvaise Pub.
Agence de Boulogne Sur Mer</t>
  </si>
  <si>
    <t>28/09/2017</t>
  </si>
  <si>
    <t>phil-61061</t>
  </si>
  <si>
    <t>impossibilité de les joindre par téléphone me ballade depuis janvier 2017 entre Rueil Malmaison Orléans paris la defence toujours envoyer les memes pièces sans avoir jamais de réponse meme mon directeur d'agence bancaire ne comprends pas</t>
  </si>
  <si>
    <t>02/02/2018</t>
  </si>
  <si>
    <t>ziz-82179</t>
  </si>
  <si>
    <t>Des menteurs ... on vous abandonne complètement en cas de sinistre : ils ne veulent rien lâcher et vous font poiroiter</t>
  </si>
  <si>
    <t>21/12/2019</t>
  </si>
  <si>
    <t>cutler-d-113798</t>
  </si>
  <si>
    <t>Un assurance toujours à l'écoute qui n'hésite pas a revenir vers vous pour vous proposer des produits qui sont des plus avantageux !
A chaque sinistre, toujours bien épaulé</t>
  </si>
  <si>
    <t>15/05/2021</t>
  </si>
  <si>
    <t>daniel-p-133708</t>
  </si>
  <si>
    <t>Je suis très satisfait…..et très fasciné pour la rapidité et la facilité des prix et les moins mise en place pour facilité la mise en place de assurances !!!</t>
  </si>
  <si>
    <t>mc92190-54888</t>
  </si>
  <si>
    <t>Équipe professionnelle, attentive, et de bon conseil. Tarif attractif, niveau de couverture satisfaisant.</t>
  </si>
  <si>
    <t>23/05/2017</t>
  </si>
  <si>
    <t>mathilde1-61646</t>
  </si>
  <si>
    <t xml:space="preserve">
Bonjour
Je suis Mme Mathide Mabilat une prêteuse . Je suis de nationalité française. J'offre des prêts aux personnes sérieux susceptible de bien me rembourser conditions de prêts sont très claire et simple. Merci de me contacter pour plus de renseignements afin d'aboutir à un financement fiable, sécurisé. Si vous êtes intéressé n'hésitez pas à me contacter directement sur: mathildemabilat2@gmail.com</t>
  </si>
  <si>
    <t>fregona-87491</t>
  </si>
  <si>
    <t>Bonjour, j'écris ce post dans l'espoir que quelqu'un pourra m'aider en comparant soit à la même assurance, soit avec une autre assurance. La Maif m'informe que je ne peux pas faire une contre expertise qui lui serait opposable (suite à une première expertise de complaisance destinée à prouver une responsabilité que je n'ai pas). Aucune référence de texte précise ne m'a été communiquée, je n'ai pas confiance. Comment me défendre car on me propose de passer directement à la tierce expertise sans avoir eu une 2ème expertise ? Je n'ai pas confiance car il y a eu trop de problèmes dans ce dossier. Est-ce que cette procédure est légale ?</t>
  </si>
  <si>
    <t>22/02/2020</t>
  </si>
  <si>
    <t>duc-100848</t>
  </si>
  <si>
    <t>j ai eu des problemes avec le garage conseille. ai du faire intervenir le concessionnaire de mon vehicule.malgre les promesses de DIRECT ASSURANCE je n ai jamais ete indemnise</t>
  </si>
  <si>
    <t>02/12/2020</t>
  </si>
  <si>
    <t>so-111895</t>
  </si>
  <si>
    <t xml:space="preserve">Bonjour, niveau accidents je ne connais pas comme c est  leur prise en charge vu que heureusement jamais arrivé. Par contre la permiere annee d assurance prix attractif pour gagne le cliente et apres au lieu de descendre comme dans toutes les assurances ils augmente le prix sans explications (car pas d incident et puis ils m on toujours augmente la cotisation) - a fuir. </t>
  </si>
  <si>
    <t>27/04/2021</t>
  </si>
  <si>
    <t>audrey-c-124956</t>
  </si>
  <si>
    <t>Étant jeune conductrice (permis moins d'1 an), je viens d'acheter une voiture.
J'ai fait plusieurs devis auprès de plusieurs assurances et Direct Assurance me proposait le plus avantageux sachant que je voulais une couverture complète (Tous Risques Renforcés, Pack Sérénité et Franchise Basse). Je suis satisfaite de ma souscription pour le moment ! À voir par la suite ... !</t>
  </si>
  <si>
    <t>27/07/2021</t>
  </si>
  <si>
    <t>chantal85-60068</t>
  </si>
  <si>
    <t xml:space="preserve">bonjour
mon mari qui est le sociétaire nominatif ne veut pas que je vous ecrive je crois que cela va me faire du bien en quoi la maif ,la raqvam est une assurance militante nous sommes arrivés chez nous le 27 décembre nous découvrons plein d'eau partout plus la chaudière en panne mon mari dit que la non prise en charge doit être dans notre contrat o k mais pas un mot de compassion mon mari est en invalidité, mon fils adulte handicapé pourquoi pas un mot de compassion: la chaudière sera réparée le 5 01
l'eau le jeudi 4  je l’espère ils ont l'habitude de baisser la tete comment fait il pour ses soins..... </t>
  </si>
  <si>
    <t>31/12/2017</t>
  </si>
  <si>
    <t>01/12/2017</t>
  </si>
  <si>
    <t>elfine-79743</t>
  </si>
  <si>
    <t>l'assurance d'habitation a été rejeté par la banque et au lieu de la renvoyer ou d'envoyer un courrier allianz a annulé le contrat par lettre recommandée après avoir appelé l'agence celle ci dit qu'il y a des frais de 40 euros j'envoi le cheque et l'agence refuse le recommandé avec le cheque. le recommandé revient et je me déplace jusqu'à l'agence et la personne me dit qu'il ne peut pas prendre l'argent et relancé le contrat meme si je paie les frais de 20 euros supplémentaire. et du coup j'ai trouvé un autre assureur. on était depuis 45 ans chez allianz et avant cela s'appelait AGF donc aucune considération pour les vieux client.</t>
  </si>
  <si>
    <t>04/10/2019</t>
  </si>
  <si>
    <t>lecoeur-100286</t>
  </si>
  <si>
    <t>Je vis un calvaire avec Pacifica.
C'est un scandale. Et en plus c'est cher !
Ne s'occupe de rien, ne répond pas à mes emails et me Renvoi la balle systématiquement. leur message à peine caché : "débrouillez vous tout seul, à vos frais. "
J'ai vraiment le sentiment qu'il essai de faire en sorte que j'abandonne l'idée de faire marcher mon assurance. Hors j'ai payé pour un service d'assurance. Je veux qu'il soit rendu.
-AU TELEPHONE : Reste fixé à leur idée pour ne rien dépenser. Raccroche après avoir mis en attente.
-MAILS : Ne répond pas aux mails depuis un mois malgré des relances au moins hebdomadaire. Pendant ce temps là, les fuites continuent.</t>
  </si>
  <si>
    <t>19/11/2020</t>
  </si>
  <si>
    <t>01/11/2020</t>
  </si>
  <si>
    <t>dorasdivalla-107240</t>
  </si>
  <si>
    <t xml:space="preserve">Une véritable catastrophe. Ils ont mis 3 ans pour remettre en état un dégât des eaux. J’ai du être en contacte avec 37 conseillers en trois ans. Il faut a chaque fois reprendre tout depuis le début. Je n’ai jamais été confronté à autant d’incompétence. Service client déplorable. A fuir. </t>
  </si>
  <si>
    <t>19/03/2021</t>
  </si>
  <si>
    <t>mimi-96593</t>
  </si>
  <si>
    <t xml:space="preserve">j etais assurée depuis 1998 , EN 2015 UN ACCIDENT NON RESPONSABLE , OCTOBRE 2019 MON CONJOINT A EU UN ACCIDENT , JE RECONNAIS TRES GRAVE , C ETAIS PAS MOI , ALLIANZ ME RÉSILIE J AI TOUT MES POINTS  50 POUR CENT DE BONUS JE SUIS UNE BONNE CONDUCTRICE , JE NE RECOMANDE PAS ALLIANZ PAS CORRECT </t>
  </si>
  <si>
    <t>23/08/2020</t>
  </si>
  <si>
    <t>01/08/2020</t>
  </si>
  <si>
    <t>sweet33-56614</t>
  </si>
  <si>
    <t xml:space="preserve">Après 3 appels de 3 interlocuteurs différents, me demandant à chaque fois différents papiers pour mon assurance auto, on finis par me dire vous êtes radiée madame car vous ne m'avez pas fait par de ceci ! Hé ho mettez vous d'accord entre collègues !!! </t>
  </si>
  <si>
    <t>11/08/2017</t>
  </si>
  <si>
    <t>steph-93001</t>
  </si>
  <si>
    <t>Aujourd'hui ,16 novembre 2021, j'ai du contacter ma mutuelle, j'ai eu le plaisir de pouvoir tomber sur une personne très agréable, sympathique, très professionnelle, très polie , parlant très simplement mais tout en sachant de mon côté que j avais à faire a une dame qui connaissait très bien son travail, sans aucune hésitation lors de ses réponses à mes questions, une dame donc qui fait que l'on est encore plus satisfaits d avoir la mgp comme mutuelle et qui contribue très certainement à son bon fonctionnement et au plaisir de savoir que lorsque l'on appel on a des professionnels compétents au téléphone.</t>
  </si>
  <si>
    <t>16/11/2021</t>
  </si>
  <si>
    <t>mimi-80946</t>
  </si>
  <si>
    <t xml:space="preserve">Des que vous avez un problème ils ne veulent rien savoir il faut se débrouille tous seuls et surtout quand ses l assistante au Maroc avec Wafa assurance ils ont pas voulu appartient mon père de86an avec la maladie de parkinson et j ai téléphoné au siège il assistante n'a rien voulu savoir elle m'a di de se débrouiller avec se du Maroc et mon père on a  pris le billet et nous l avons ramener est ce normal que la clinique décidé de l envoyé a l hôtel alors que la personne se tenter apeine debout
</t>
  </si>
  <si>
    <t>17/11/2019</t>
  </si>
  <si>
    <t>rasta-81061</t>
  </si>
  <si>
    <t>Assurance PIPO. Leur slogan parle de lui même "Axa Réinventons notre métier"..... je dirais apprenez le métier d'assureur. J'ai eu un sinistre début octobre 2019, ma jante avant est fissurée. je suis en assurance tous risques. Après une gestion calamiteuse de leur services délocalisés et totalement incompétent, ils tardent à me rembourser les frais que j'ai engagé, malgré mes nombreux appels. Je ne vais pas en rester là. La DGCCRF va les remettre à leur place, car pour moi ce sont des charlatants. Ils prennent l'argent, mes cotisations sont à jour, mais pour le reste.... QUE DALLE... ZERO, des experts qui rendent des rapports qui est acquis d'avance en faveur d'axa... A presque 100 euros mensuels de cotisation, on se moque de moi délibérément. C'est au pied du mur que l'on voit le maçon.... conclusion: N'allez pas chez AXA, ce sont des charlatants, ni plus, ni moins. En agence à Paris 5ème , un imcompétent qui vous dit que vous êtes un menteur et qui annonce qu'un remboursement prend 2 jours............ j'en suis déjà à 15 jours, et tjrs rien.....................</t>
  </si>
  <si>
    <t>16/11/2019</t>
  </si>
  <si>
    <t>tyrion62-87326</t>
  </si>
  <si>
    <t>L'assureur gmf me laisse sans nouvelles pour un sinistre non responsable : suite à un accident survenu le 6 février 2020 où un automobiliste ne respecte pas son stop; mon véhicule a ses portières qui ne ferment plus à clefs et qui laissent passer la pluie. Je ne peux plus aller travailler ni faire mes courses. Malheureusement, la gmf ne me loue pour 3 jours une voiture. Elle se trompe sur la date du passage d'expert. Je rends le véhicule de location, sans Indication de la gmf sur la marche à suivre. Je rentre à pied chez moi (11km, étant une personne handicapée merci la gmf pour la séance de sport imprévue). Depuis le 7 février, je passe des heures au téléphone pour résoudre ce sinistre et malheureusement la gmf est incapable de m'aider ! J'attends toujours une solution pour avoir une voiture pour pouvoir travailler...</t>
  </si>
  <si>
    <t>18/02/2020</t>
  </si>
  <si>
    <t>phroy-68942</t>
  </si>
  <si>
    <t>Service client nul.
Aucun respect des clients au téléphone quand on peut les joindre car cela est impossible ou très très difficile.
Je regrette d'avoir été chez eux.
Seul notre argent semble les intéresser.</t>
  </si>
  <si>
    <t>27/11/2018</t>
  </si>
  <si>
    <t>01/11/2018</t>
  </si>
  <si>
    <t>access-70926</t>
  </si>
  <si>
    <t xml:space="preserve">dégâts suite à une tempête en 2014, réparation "faites" par 1 couvreur (qui ferait bien de changer de métier)...refuites , expertises...constats de malfaçons avérées...,opacités sur la facturation de l'artisan qui facture des échafaudages qu'il n'a pas installé...même avec photos à l'appui, l'assureur me rend coupable de la chose...! ! ! pas banal celle là ! ! ! évidemment, il y en a qui se remplissent les  poches avec une partie de la facturation...qui du prestataire qui de l'assureur...? l'enquête va nous le dire bientôt ! ! </t>
  </si>
  <si>
    <t>04/02/2019</t>
  </si>
  <si>
    <t>gros-bill-103257</t>
  </si>
  <si>
    <t>Filiale de la banque à qui parler, injoignable au téléphone et une annonce pour patienter qui nous dit que l'on sera enregistré, mais quand vous voulez !!!</t>
  </si>
  <si>
    <t>Suravenir</t>
  </si>
  <si>
    <t>g-quenardel-50622</t>
  </si>
  <si>
    <t xml:space="preserve">Une mutuelle à fuir. Vous y êtes reçu comme un chien dans un jeu de quille. On vous rejette comme un malpropre  et le service est nul. Aucune écoute de l'agent qui vous reçoit. Pas la moindre politesse. Ne veulent pas accepter le moindre dialogue et se cachent derrière leur ordinateur. </t>
  </si>
  <si>
    <t>23/12/2016</t>
  </si>
  <si>
    <t>carreto-g-139652</t>
  </si>
  <si>
    <t xml:space="preserve">Je suis satisfait.
Le rapport qualité/prix est bon et le temps de réaction suite à ma souscription de contrat à été très rapide.
Les avantages des contrats sont intéressants.
</t>
  </si>
  <si>
    <t>misternaad-58517</t>
  </si>
  <si>
    <t xml:space="preserve">C'ETAIT BIEN ... malheureusement, ça a bien changé! J'ai fait un test avec un simulateur sur internet pour connaître le prix de mon assurance avec eux ... 125 au lieu de 200 euros ... je les appelle par téléphone, en fait, c'est un tarif préférentiel pour les nouveaux clients !! pour ceux qui sont déjà clients, il vaut mieux résilier.... </t>
  </si>
  <si>
    <t>31/10/2017</t>
  </si>
  <si>
    <t>mellal-m-126001</t>
  </si>
  <si>
    <t>Satisfait de la communication efficace rapide et sérieux content de vous avoir comme assurance pour mon habitation et mes voiture merci cordialement monsieur et madame Mellal</t>
  </si>
  <si>
    <t>anthony-m-128315</t>
  </si>
  <si>
    <t>Je possède déjà une assurance maison chez vous je suis très satisfait et donc j'ai souscrit une assurance voiture et j'espère être autant satisfait...</t>
  </si>
  <si>
    <t>tripe-107631</t>
  </si>
  <si>
    <t>Lenteur +++ dans la gestion des dossiers , difficilement joignable , chaque interlocuteur vous dis qu' il traite votre demande mais lorsque vous rappelez 1 semaine après , aucune saisie dans le dossier...
continue a prélever plusieurs mois après leur avoir communiqué le certificat de vente du véhicule...
A fuire !</t>
  </si>
  <si>
    <t>dadouavis-64486</t>
  </si>
  <si>
    <t xml:space="preserve">Assuré depuis plus de 20 ans chez AXA (22 ou 23 ans), je constate qu'AXA ne fait qu'encaisser les chèques et ne traite pas les dossiers. Incapables de gérer un changement d'adresse (alors que j'ai signé un nouveau contrat habitation AVEC ma nouvelle adresse) AXA vous envoie sur le système de contentieux avec des frais supplémentaires. Il faut voir l'effort fait par AXA pour pour vous informer : 0 mail, 0 coup de téléphone (assuré depuis 22 ou 23 ans) Par contre dans le même temps , un message téléphonique personnalisé pour les assurances emprunteur, des pubs sur les mails, c'est pas comme si vous étiez inconnus. AXA pense avoir tous les droits une fois leur mise en demeure envoyée alors qu'ils ne l'ont pas envoyé à mon adresse !! Ils vous expliquent que c'est à vous de les payer si ils ne font pas leur boulot !! Je vais donc voir ce que je peux faire pour résilier mes contrats AXA au plus vite. </t>
  </si>
  <si>
    <t>05/06/2018</t>
  </si>
  <si>
    <t>abdelaziz-h-128087</t>
  </si>
  <si>
    <t>Je suis satisfait du service qui est rapide . Le prix est très intéressant. Le site est très simple d'utilisation. 
Je vous conseil cette assurance ..</t>
  </si>
  <si>
    <t>15/08/2021</t>
  </si>
  <si>
    <t>sebastien-d-133209</t>
  </si>
  <si>
    <t>Très bien bien que c est un peu difficile à s y retrouver dans tous les détails
Néanmoins on est renseigné correctement et rapidement via la chat box mer i</t>
  </si>
  <si>
    <t>garcia-k-117259</t>
  </si>
  <si>
    <t>je suis satisfait de l acceuil telephonique et de toutes les informations donnees suite a ma demande en ligne . reaction tres rapide et clarte des explications</t>
  </si>
  <si>
    <t>ana1972-54023</t>
  </si>
  <si>
    <t xml:space="preserve">suite a un accident de voiture  , il m'indemnise 169 euros pour 3000kms effectué en soins divers , et je vous parle pas du reste , super comme assurance et en plus ne répond pas au lettres recommandé , je suis assuré depuis 1994 et je possède 4 contrats </t>
  </si>
  <si>
    <t>11/04/2017</t>
  </si>
  <si>
    <t>chantal1-79359</t>
  </si>
  <si>
    <t xml:space="preserve">
Suite à un orage de grêle le 4.6., gouttière du voisin détruite - déclaration le 6.6. - après avoir repris contact le 5.8 une conseillère m'envoie 1 déclaration qui précise que celui-ci est civilement responsable. Je contacte un avocat qui me renvoie vers ma protec. juridique. Je me pose la question : suis-je assuré chez vous ou défendez-vous l'adversaire en lui donnant toutes ses chances ? Reprise de votre lettre du 11.9. Dans le cadre de la R.C. le dommage doit être certain (photos transmises) et déterminé (inondation à chaque averse) travaux non réalisés à ce jour. Article 681 du C.Civil : écoulement des eaux de gouttière, doivent faire en sorte que l'eau s'écoule chez vous et non chez le voisin. A.C.M. ne reprend pas en compte.  A ce titre, un recours contre votre voisin sera difficilement recevable devant les tribunaux. Un recours devant le tribunal d'instance semble inopportun. Dès lors nous ne pouvons pas prendre en charge ce litige. Malgré un mail du 15.9 laissé sans réponse, aucun courrier à mon voisin ni à moi-même. Je crains des dégats supplémentaires à l'environnement (mur + végétations) dus à l'incompétence de l'assurance.
</t>
  </si>
  <si>
    <t>Crédit Mutuel</t>
  </si>
  <si>
    <t>21/09/2019</t>
  </si>
  <si>
    <t>berdud-j-130707</t>
  </si>
  <si>
    <t xml:space="preserve">Très satisfait du service, rapidité et conseiller tres competant, je reviendrais rapidement pour le vehicule de ma compagne, acquisition prevue ce mois ci </t>
  </si>
  <si>
    <t>lili-100235</t>
  </si>
  <si>
    <t>Arpège stam ec allianz me propose un rendez vous avec un médecin conseil a 284 km en période de Covid et étant malade de surplus et sans 1 e en poche je précise !!! 3 semaine que je leur demande de me trouvez un rdv à Mulhouse plutôt que Strasbourg mais là seul réponse reçu est négatif car c’est au médecin mandaté par eux de décider de me changé ou pas ?! Cette assurance au multiples noms n’est en aucun cas professionnel ou même humain . Je précise que la responsable qui prend les décisions est la seule en télétravail non stop , car impossible à avoir en ligne chaque fois je dois rappeler ou des petites mains m’appelle. 
Le pire c’est que je n’y vais pas se sera de ma faute de pas avoir accepté d’aller  à 284km de chez moi.</t>
  </si>
  <si>
    <t>18/11/2020</t>
  </si>
  <si>
    <t>sofifon-63773</t>
  </si>
  <si>
    <t>A fuir absolument!!
J'ai été victime d'un accident non responsable et le traitement de mon dossier a été une grosse blague et a trainé pendant des mois. Leurs partenaires ne sont pas pro, j'ai récupéré mon véhicule après 5 mois de galère et d'échanges houleux, il était dans un état lamentable (sale, poussiéreux, peinture mal faite) - on m'a prêté au moins 4 voitures différentes, plus petites que la mienne, une vraie GALERE!! Personne ne répond aux mails, appels non retournés, FUYEZ</t>
  </si>
  <si>
    <t>18/07/2019</t>
  </si>
  <si>
    <t>olivier-b-128707</t>
  </si>
  <si>
    <t>Je suis satisfait du prix et des prestations. A voir avec le temps en espérant ne pas avoir à avoir a contacter votre service d'assistance.
Au plaisir</t>
  </si>
  <si>
    <t>franck-d-112579</t>
  </si>
  <si>
    <t>Assurance efficace dans l'inscription, les instructions sont claires, les présentations précises et l'efficience remarquable
Seul bémol pour l'instant, c'est une étude personnalisée pour un éventuel regroupement de contrat d'assurance</t>
  </si>
  <si>
    <t>antony-m-107304</t>
  </si>
  <si>
    <t>La personne a pris le temps de faire en sorte que nos demandes et besoins soient pris en compte pour concrétiser le contrat.
Cela est appréciable et actuellement bien trop rarement le cas.</t>
  </si>
  <si>
    <t>20/03/2021</t>
  </si>
  <si>
    <t>lylou-87608</t>
  </si>
  <si>
    <t>Mon conseiller NICOLAS a répondu de façon très efficace et satisfaisante à mon appel téléphonique malgré la difficulté de mon dossier. NICOLAS est doté d'une grande capacité d'écoute et sait transmettre sa bonne humeur à ses adhérents. Il est très opérationnel. Quel professionnalisme ! Je le recommande fortement</t>
  </si>
  <si>
    <t>25/02/2020</t>
  </si>
  <si>
    <t>mkiddem-m-128510</t>
  </si>
  <si>
    <t>Je suis satisfait du service client ainsi que la réactivité a assuré mon véhicule. Merci a la conseillère qui m’a très bien aiguillé. Cordialement. MM</t>
  </si>
  <si>
    <t>18/08/2021</t>
  </si>
  <si>
    <t>hatcheps-89474</t>
  </si>
  <si>
    <t>Bonjour , j'ai finalisé mon devis fait par internet au téléphone avec Théo . Ses explications ont été très claires. Il m'a bien orienté vers une assurance auto qui me correspondait au mieux .</t>
  </si>
  <si>
    <t>07/05/2020</t>
  </si>
  <si>
    <t>selvaggio-g-136054</t>
  </si>
  <si>
    <t>L'avenir ns le dira pour le prix c'est super pour le reste on verra bien le jour où il y aura un problème j'espère que tout ce passera bien en cas de litige</t>
  </si>
  <si>
    <t>05/10/2021</t>
  </si>
  <si>
    <t>gege13220-53776</t>
  </si>
  <si>
    <t xml:space="preserve">Assuré depuis de nombreuses années depuis presque depuis au moins 40 ans chez AXA pour 2 et des fois 3 voitures ainsi que pour la maison, j'ai suivis l'évolution des tarifs et ceux-ci sont arrivés cette année à un niveau extravagants. J'ai donc fait une prospection sur Internet (grâce à Assurland) et avec le devis le plus bas, j'ai mis mon assureur au courant demandant si, éventuellement, il était prêt à s'aligner compte tenu dans des bénéfices d'Axa qui l'année dernière ont dépassés largement les 5 Milliards d'€.
A ma grande surprise il s'est mis d'accord! 
Comme quoi il faut toujours faire jouer la concurrence. Mes 3 contrats vont me couter cette année grosso-modo 700€ de moins. Bon, mon assureur reste un chouia plus cher, mais je ne vais pas le quitter car... </t>
  </si>
  <si>
    <t>02/04/2017</t>
  </si>
  <si>
    <t>sebastien-m-132228</t>
  </si>
  <si>
    <t xml:space="preserve">Assurance rapide, service nickel 
Site facile à prendre en main, clair et efficace ! 
Prix pas trop excessifs malgré un véhicule "couteux" 
Je recommande </t>
  </si>
  <si>
    <t>10/09/2021</t>
  </si>
  <si>
    <t>hebert-a-112599</t>
  </si>
  <si>
    <t>Nikel et parfait. Très bon conseiller, bonne accueil et les tarifs conforment à mon devis.
Rapide et efficace pour souscrire mon assurance et mon interlocuteur m'a très conseillé suivant l'usage de mon véhicule</t>
  </si>
  <si>
    <t>soum-139233</t>
  </si>
  <si>
    <t>Il cherche par tous les moyens de ne ne pas vous indemniser en cas de sinistres , je parle en question de cause car pour une tentative d'effraction chez moi malgré la facture du serrurier mentionnant le modèle du cylindre changé et la copie du dépôt de plainte cette compagnie ne veut pas me rembourser malgré que je sois fidèle depuis plusieurs années. A Fuire ( Ref 213M75681U)</t>
  </si>
  <si>
    <t>08/11/2021</t>
  </si>
  <si>
    <t>jimmy-85581</t>
  </si>
  <si>
    <t xml:space="preserve">Aucune asisstance. Un vehicule quasiment neuf toujours pas repare depuis plus de 4 mois ... Assureur peu fiable, peu ou pas concerne par ses anciens clients. C ' est vraiment dommage. </t>
  </si>
  <si>
    <t>07/01/2020</t>
  </si>
  <si>
    <t>pascal-d-113568</t>
  </si>
  <si>
    <t>Je suis satisfait du service. Facilité de souscription très appréciable.. Prix compétitif par rapport à mon assurance précédente. Dommage que la mensualisation ne soit pas possible.</t>
  </si>
  <si>
    <t>salvador-b-114799</t>
  </si>
  <si>
    <t xml:space="preserve">je suis satisfais des tarifs, et le service client est rapide à répondre. très professionnel et agréable au téléphone. je recommande sans hésiter cet assureur.  </t>
  </si>
  <si>
    <t>25/05/2021</t>
  </si>
  <si>
    <t>franck-s-108903</t>
  </si>
  <si>
    <t xml:space="preserve">Je trouve pas mieux donc satisfait ??
Assez simple pour souscrire à une assurance , déconseillée à l'écoute je recommande cette assurance aux amis motards
</t>
  </si>
  <si>
    <t>kenzo-35642</t>
  </si>
  <si>
    <t>sérieux doute sur la sincérité des experts mandatés par  GMF et sur leur compétence.La GMF refuse de communiquer le rapport complet d'expertise fait par le cabinet Elex et ce dernier renvoie sur GMF.
J'envisage de saisir le médiateur.
Refuse de communiquer par e mail</t>
  </si>
  <si>
    <t>25/07/2018</t>
  </si>
  <si>
    <t>abasille-64662</t>
  </si>
  <si>
    <t>Je suis client Santiane depuis plusieurs années. Ils restent joignable facilement et gèrent tout pour moi en ligne.</t>
  </si>
  <si>
    <t>11/06/2018</t>
  </si>
  <si>
    <t>tomy-g-111686</t>
  </si>
  <si>
    <t>Super pour les débutants avec Youdrive pour avoir l'économie.
Pratique, Facile à inscrire, Rapide 
en plus on peut contacter par le réseau social, mail  etc.</t>
  </si>
  <si>
    <t>bennevault-j-133976</t>
  </si>
  <si>
    <t xml:space="preserve">Je suis satisfait du prix, et des services . De leurs réactivité en cas de problèmes ou autres. De la simplicité à accéder au site. Je suis ravie de fair partie du réseau de l'oliver assurance. </t>
  </si>
  <si>
    <t>olivier-a-122996</t>
  </si>
  <si>
    <t xml:space="preserve">Très bien facile pas cher , 
rapport qualité prix sur toutes options !
largement modifiable a volonté ! 
Nous pouvons l'avoir sur PC ou téléphone.    </t>
  </si>
  <si>
    <t>10/07/2021</t>
  </si>
  <si>
    <t>toufa-106520</t>
  </si>
  <si>
    <t xml:space="preserve">Bonjour !
J'attend  mon relevé d'information , demandé en recommandé par mon nouveau assureur depuis le 23 Février 2021 , jusqu'à ce jour ( 13 Mars 2021 ) aucune nouvelle de la part de L'OLIVIER ASSURANCE qui avait clôturé mon compte client dés réception du courrier bien entendu après prélèvement . Le code des assurance stipule que le délai est de 15 jours au maximum Largement dépassé  . Lors de la souscription tout étai fait en ligne aucun échange n'était fait hors ligne mise à part la vignette , et là bizarrement RIEN     </t>
  </si>
  <si>
    <t>14/03/2021</t>
  </si>
  <si>
    <t>mohamed-k-127206</t>
  </si>
  <si>
    <t xml:space="preserve">Je suis satisfait de service et le prix 
Le prix et moin chère que les autres compagnies
!!!???
Le prix et moin cher 
Facile sur internet cool tout tes simple sur direct assurance </t>
  </si>
  <si>
    <t>09/08/2021</t>
  </si>
  <si>
    <t>fanfan-135869</t>
  </si>
  <si>
    <t xml:space="preserve">J'ai eu affaire à Emeline, elle  a été parfaite, j'ai été très bien renseignée. Elle m'a renvoyé les papiers nécessaires Aimable et disponible merci , je n'ai rien d'autre </t>
  </si>
  <si>
    <t>04/10/2021</t>
  </si>
  <si>
    <t>philippe--c-129693</t>
  </si>
  <si>
    <t>Simple et efficace je recommande assure en seulement quelque click pour pas très très chère en tous risque ! 
Je recommande vraiment cette assurance en ligne</t>
  </si>
  <si>
    <t>27/08/2021</t>
  </si>
  <si>
    <t>jean-pierre-l-123310</t>
  </si>
  <si>
    <t>clients depuis des années je suis satisfait, le prix est cohérent et le service joignable. Lors d'un besoin suite à bris de glace ou accrochage ( pas de ma faute ) les dossiers ont été très bien gérés</t>
  </si>
  <si>
    <t>13/07/2021</t>
  </si>
  <si>
    <t>nono-77510</t>
  </si>
  <si>
    <t>Erika m'a répondu sans tarder en me renseignant de façon claire et précise. Elle avait mon dossier sous les yeux, ce qui simplifie toujours la tâche de description.</t>
  </si>
  <si>
    <t>10/07/2019</t>
  </si>
  <si>
    <t>papoune38-77915</t>
  </si>
  <si>
    <t xml:space="preserve">Je me suis retrouvé en contentieux juste pour un faute de leur part. J'ai envoyé plusieurs fois le rib mais personne ne suis réellement le dossier . Aucune écoute a évité </t>
  </si>
  <si>
    <t>25/07/2019</t>
  </si>
  <si>
    <t>juju45-70728</t>
  </si>
  <si>
    <t xml:space="preserve">Bonjour je résume la situation, début décembre je suis licencié par mon employeur et bénéficie par conséquent de la portabilité de ma mutuelle pendant 1 an . Je renvoie le bulletin de portabilité signer a mon employeur qui le joint a l AG2R , la pas de nouvelles jusqu'à fin décembre . Je decide donc de joindre la mutuelle qui me dit qu ils n ont pas eu le bulletin de portabilité envoyé par mon ancien employeur et qu il leur manque des papiers . Je m arrange donc pour leur envoyer le tout il y a déjà 3 semaines . Ils me disent que tout va se régler sous peu . J essaye de les appeler aujourd'hui et pour réponse le service client me raccroche au nez . Je suis fortement déçu par AG2R . </t>
  </si>
  <si>
    <t>29/01/2019</t>
  </si>
  <si>
    <t>mourtaza-h-106709</t>
  </si>
  <si>
    <t>Les prix sont un peu cher. En période Covid, la voiture n'a quasiment pas circulé et malgré tout mon assurance ne baisse pas. Je souhaiterais revoir les prix</t>
  </si>
  <si>
    <t>sebastien-i-132411</t>
  </si>
  <si>
    <t>Les démarches administratives sont compliquées après validation du devis.
Il est très désagréable de devoir re donner toutes les informations personnelles alors que je suis déjà client.</t>
  </si>
  <si>
    <t>tesss-134188</t>
  </si>
  <si>
    <t xml:space="preserve">Mutuelle d’entreprise donc obligatoire ! Elle ne sert à rien. 
Remboursement minimum aucune information sur quoi que ce soit.
Service hotline inexistant! 
</t>
  </si>
  <si>
    <t>23/09/2021</t>
  </si>
  <si>
    <t>22licorne-114373</t>
  </si>
  <si>
    <t>Je suis entièrement satisfaite de la qualité de la prestation que j'ai reçue. La conseillère s'est montrée très professionnelle. Et, elle n'a pas hésité à me rappeler le jour et l'heure qu'elle m'avait indiqués, afin de pouvoir finaliser le contrat d'assurance voiture.</t>
  </si>
  <si>
    <t>dimitri-c-107217</t>
  </si>
  <si>
    <t xml:space="preserve">les prix me convenaient  précédemment  ,  mais aujourd'hui , je trouve des services égaux sur d'autre assurances connu  , ce qui va me faire changer prochainement ... </t>
  </si>
  <si>
    <t>menard-m-138171</t>
  </si>
  <si>
    <t>Je suis satisfait du prix et des conditions.
Rapide et bon rapport qualite prix. 
Contact facile.
Bon accueil de l equipe l oliviet assurance.
Je conseille cet assureur.</t>
  </si>
  <si>
    <t>24/10/2021</t>
  </si>
  <si>
    <t>marius78-51403</t>
  </si>
  <si>
    <t>Bonjour 
Après avoir souscrit 4 contrat auto chez eux Eurofil en 2015.  3 d'entre eux ils ont été resilié en octobre 2016 sans motif et sans me prévenir ,juste un simple mail avec une entête relève d'information.et qu'on dit qu'on va résilie le 4 eme aussi ils réponds "ça serait bien.en gros il faut éviter cette assurance c'est la plus mauvais du marché actuel. Si vous avez un accident non responsable c'est une autre boîte qui gère les sinistre et la galère commence</t>
  </si>
  <si>
    <t>17/01/2017</t>
  </si>
  <si>
    <t>nounette-60827</t>
  </si>
  <si>
    <t>Bonjour à tous, voilà les faits: nous avons remboursés un prêt en janvier 2016 auprès de BNP Paribas  malgré nos différents échanges avec Cardiff assurances nos prélèvements continuent d'être fait sur ce prêt, une fois ils n'ont pas notre dossier,ensuite il est aux archives ,ensuite il manque l'attestation de remboursement nous avons envoyé un recommandé avec accusé de réception avec tout les documents justifiants de notre remboursement,notre directeur d'agence nous dit que normalement tous les documents sont scannés dès réception.Nous allons demander l intervention d'un médiateur de la BNP nous demandons le remboursement du trop perçu ainsi que l'arrêt de cette assurance comment peut-on encore aujourd'hui ne pas avoir de boîte EMAIL</t>
  </si>
  <si>
    <t>Cardif</t>
  </si>
  <si>
    <t>neige55-71526</t>
  </si>
  <si>
    <t>La réalité ne correspond pas à ce que nous dit le service client lors de la souscription. Attention aux informations données mal comprises car c'est direct déclaration au fichier des mauvais payeurs... A fuir !!</t>
  </si>
  <si>
    <t>21/02/2019</t>
  </si>
  <si>
    <t>kevin-v-134017</t>
  </si>
  <si>
    <t xml:space="preserve">Je suis satisfait,rapide,efficace!bonne prestation merci beaucoup,je vous aime sincèrement de tout mon cœur à bientôt pour de nouvelles aventures merci </t>
  </si>
  <si>
    <t>whynot-70640</t>
  </si>
  <si>
    <t>J'ai souscrit mon assurance sur le net. Un an après sans sinistre, le 6 janvier, je reçois un sms stipulant que mon prélèvement n'était pas passé (normal, je n'avais pas donné mes coordonnées bancaires)l'échéance était pourtant au 18 janvier. Je reçois mon appel de cotisation et là hooo surprise!!! elle a pris 130euros d'augmentation !!J'envoie donc un chèque du montant de l'année précédente en stipulant que je refusais cet excédent. Je les appelle car ils me harcèlent de mails et de sms. Leur réponse : vous devez payer la totalité de la somme avant de pouvoir discuter !!! du coup, j'ai résilié mon contrat. Ils appâtent les clients la première année et les assommant l'année d'après. Des fois qu'ils ne vérifient pas. Une honte !!!!Je ne recommande pas cette assurance</t>
  </si>
  <si>
    <t>26/01/2019</t>
  </si>
  <si>
    <t>smain-b-128800</t>
  </si>
  <si>
    <t xml:space="preserve">Je suis satisfait des service est des prix merci réponse à toutes les questions demander je suis content d’avoir signer avec vous merci 
Cordialement 
</t>
  </si>
  <si>
    <t>20/08/2021</t>
  </si>
  <si>
    <t>dayli-115347</t>
  </si>
  <si>
    <t>Je roule très peu; j'ai demandé à Direct Assurance un tarif faible kilométrage mais il ne le fait pas; je vais chercher un autre assureur. Pour l'accueil téléphonique, en dehors d'une très longue attente, l'accueil a été satisfaisant.</t>
  </si>
  <si>
    <t>30/05/2021</t>
  </si>
  <si>
    <t>yann-57407</t>
  </si>
  <si>
    <t xml:space="preserve">fidélisation respect client écoute
Veut fonctionner comme assureur en ligne sans en avoir les moyens les modes
Ne sait pas fonctionner comme un assureur en succursale </t>
  </si>
  <si>
    <t>17/09/2017</t>
  </si>
  <si>
    <t>ninie7624-102431</t>
  </si>
  <si>
    <t>Après x appels (appels qui sont automatiquement coupés après 1/4 d'heure de musique), toujours pas de versement des assurance vies de mon père, décédé il y a deux mois, et les pompes funèbres ne sont toujours pas payés non plus. Mais la cerise sur le gâteau, lors de mon appel du 31/12, le conseiller m'a soutenu mordicus que c'était normal si les pompes funèbres n'étaient pas réglés puisque..... MON PERE N'ETAIT PAS DECEDE !!!!
Ben oui bien sûr quand j'ai pas envie d'aller bosser je dis à mon employeur que mes parents sont décédés ça me fait des jours !!!!
Je précise qu'ils ont bien reçu le certificat de décès.</t>
  </si>
  <si>
    <t>CNP Assurances</t>
  </si>
  <si>
    <t>11/01/2021</t>
  </si>
  <si>
    <t>belhachemi-o-115477</t>
  </si>
  <si>
    <t>c'est très bien passé mais il me manque un papier de mon ancien assureur je veux voir avec eux et je l'envoie par email avec ma nouvelle carte grise .</t>
  </si>
  <si>
    <t>loricb-134482</t>
  </si>
  <si>
    <t>Mauvaise expérience avec cette assurance, même pour un remboursement il le font sur le compte bancaire de quelqu'un d'autre et impossible de récupérer le remboursement. J'ai bien insisté avec la personne au téléphone sur les coordonnées bancaires sur lesquelles effectuer le remboursement car je me doutais bien qu'ils allaient se tromper et bien ça n'a pas loupé. Vraiment très déçu j'ai quitté pour un autre assureur et honnêtement je regrette pas.</t>
  </si>
  <si>
    <t>chris-64102</t>
  </si>
  <si>
    <t>Il m ont radier pour ne pas prendre en charges les frais de ma voiture suite a un accident vu que ma caete grise a mis du temps a etre traiter vu les soucis du nouveau systeme du service carte grise en ligne de la prefecture</t>
  </si>
  <si>
    <t>19/05/2018</t>
  </si>
  <si>
    <t>01/05/2018</t>
  </si>
  <si>
    <t>clientdu21-65073</t>
  </si>
  <si>
    <t>ATTENTION à tous les sociétaires actuels et à tous ceux qui veulent venir à la MAAF, la nouvelle politique de la MAAF, et je le tiens d'un agent qui travaille chez eux, et de résilier les contrats des sociétaires qui déclarent plusieurs sinistres responsables ou pas,  en peu de temps (bris de glace compris) ou au minimum de majorer très fortement votre franchise (c'est mon cas), sans aucun remords, quelle que soit votre ancienneté chez eux, le nombre de contrat, et vos antécédents. Comme il m'a dit en plaisantant, ils se vantent d'être les premiers à avoir inventé le bonus à vie et d'autres dispositions que les autres ont suivies, et avec cette politique ils vont être les premiers à résilier les contrats pour pas grand-chose et sans s'occuper de la rentabilité de leurs clients. D'ailleurs il s'inquiète de savoir comment les conducteurs vont pouvoir s'assurer à l'avenir. Donc si vous avez déclaré dans les 2 ou 3 dernières années des sinistres de toutes sortes, il vaut mieux partir de chez eux avant qu'il ne soit trop tard. Pour ma part j'attends l'année prochaine car j'ai un contrat voiture pour mon enfant, qui a moins de 2 ans d'assurance, j'attends la fin des 2 ans pour qu'il ne soit plus jeune conducteur et je reprends tous mes contrats (plusieurs véhicules, plusieurs habitations, assurance vie)</t>
  </si>
  <si>
    <t>26/06/2018</t>
  </si>
  <si>
    <t>tchibinda-c-114180</t>
  </si>
  <si>
    <t xml:space="preserve">Je suis très satisfait du service de qualité de votre assurance, des nombreuses options proposées et de la rapidité pour effectuer l'ensemble des démarches. </t>
  </si>
  <si>
    <t>19/05/2021</t>
  </si>
  <si>
    <t>eliane-s-110461</t>
  </si>
  <si>
    <t xml:space="preserve">c'est super pour une assurance en ligne ou il est impossible de trouver quelqu'un sauf pour souscrire une assurance, apprès plus rien, c'est la croix et la bannière pour avoir un numéro pour les joindre!!! </t>
  </si>
  <si>
    <t>benmabrouk-f-133332</t>
  </si>
  <si>
    <t>Je trouve que je payé un peut chère pour une touran  2005 si non rien à dire 10/10.
Une assurance comme la vôtre il trouve pas beaucoup vous bien casser continuez sur cette voie et essayer de vous améliorer du jour en jour.</t>
  </si>
  <si>
    <t>mouss-114740</t>
  </si>
  <si>
    <t xml:space="preserve">Nul sur toute la ligne a déconseillé.
Retard sur les remboursements service téléphonique impossible de les avoirs cela fait une semaine que j'essaie de les avoir pour une prise en charge. Ils ne répondent pas
Cette mutuelle m'ai imposé par mon entreprise aussinon je ne resterais pas chez eux 
Il ne mérite même pas une étoile </t>
  </si>
  <si>
    <t>mrtonydu33-60283</t>
  </si>
  <si>
    <t>Trés bonne assurance, tarif très abordable, juste une question pour Active Assurance.
Sur l'attestation sur l'honneur de non assurance d'un véhicule au niveau du petit 3 il est écrit: "a subis les dommages suivants que je reporte avec précision sur le schéma ci-après": j'ai entouré d'un petit cercle le phare en bas a gauche sur le schémas, que comprennez vous?</t>
  </si>
  <si>
    <t>08/01/2018</t>
  </si>
  <si>
    <t>hotdog-51081</t>
  </si>
  <si>
    <t>Mutuelle sans esprit de solidarité:
 Livret vie  représente la majeure partie des souscriptions  mais désormais il est impossible de souscrire de nouveaux contrats pour favoriser Multi vie et imposer les unités de compte.
La rémunération sur le fond euros est plus importante  désormais sur Multi vie ce qui est une véritable injustice au détriment des anciens clients possesseurs de livret vie.
Mutavie a orienté  les nouveaux clients  vers les unités de compte qui ont perdu plus d'un tiers de leur valeur depuis le début de l'année .
Par ailleurs sur 8 ans Le fond euros de Mutavie se place au dernier rang des assureurs...</t>
  </si>
  <si>
    <t>cbd-66529</t>
  </si>
  <si>
    <t>Les tarifs sont les plus élevés du marché mais la prise en charge est bonne ...</t>
  </si>
  <si>
    <t>31/08/2018</t>
  </si>
  <si>
    <t>01/08/2018</t>
  </si>
  <si>
    <t>kxng-89990</t>
  </si>
  <si>
    <t>A FUIR / INCOMPÉTENTS ET PLUS CHERS QUE LES AUTRES ASSURANCES. BREF A FUIR TOTALEMENT PUISQU'ON TROUVE LARGEMENT MOINS CHERS AILLEURS AVEC BEAUCOUP PLUS DE GARANTIES ET UN VRAI SERVICE CLIENT. ICI ON EST FORCÉMENT EN TORT.</t>
  </si>
  <si>
    <t>27/05/2020</t>
  </si>
  <si>
    <t>anne-101935</t>
  </si>
  <si>
    <t>Cliente depuis 24 ans, la gestion de mon sinistre est juste catastrophique. Moisissures et champignons au plafond suite à un dégât des eaux , je bataille juste pour avoir la procédure à suivre.( depuis plus d un mois) . Et un parcours du combattant pour être remboursé de l'intervention du plombier.
Bien que prévu dans le contrat pas de plombier disponible partenaire. Réponse "trouvez vous-même ca ira plus vite. " bon... pas tellement.le choix....Comme du coup le plombier n est pas partenaire j ai du avancer les factures ... 
Et Hallucinant mais bien réel , on m a répondu par téléphone ;
- vous êtes à coté de la plaque dans vos message
- si vous voulez vous complaire dans votre situation
- vous pouvez résilier ca changera pas mon discours...
- si votre message n n'etait pas agressif j aurai répondu plus vite à votre dossier.... ( mon message demandait à ce que qqun prenne mon dossier en charge ,je disais que leurs délais étaient démesurément trop longs, le tout ponctué par merci et s il vous plaît. peut-être que les points d exclamations et les mots en majuscules ont été perçu comme trop agressif...;) 
Et j en passe...
Un bémol pour le conseiller en agence. Le service sinistre est basé dans le 47, mais devant la situation je me suis déplacée en agence locale. Celui ci a été très bien, très professionnel. 
Ca ne change pas tout de même pas ces réflexions hallucinantes... 
Le client n est bon qu à payer. Toutes les valeurs mutualistes semble , malheureusement avoir disparues...
Les tarifs ne sont plus concurrentiels. Apres 24 ans je vais changer l ensemble de mes contrats pour un autre assureur. 
Prospecter doit être plus rentable semble  til que de fidéliser sa clientèle de plus de 20 ans...</t>
  </si>
  <si>
    <t>28/12/2020</t>
  </si>
  <si>
    <t>rafiozi-98882</t>
  </si>
  <si>
    <t xml:space="preserve">compagnie a fuir absolument , mails sans réponse, appels téléphoniques sans jamais avoir une réponse claire , ils me baladent de services en services jamais la meme reponse des affirmations éronées , on doit tj me rappeller . la derniere personne me dit absolument l inverse d' une autre interlocutrice , et me dit ce sont des stagiaires qui ne sont pas au courant POUR UNE COMPAGNIE D ASSURANCE c vraiment grave 
tres décu a la prochaine écheance je change d' assureur vite vite </t>
  </si>
  <si>
    <t>18/10/2020</t>
  </si>
  <si>
    <t>teddy-d-117278</t>
  </si>
  <si>
    <t xml:space="preserve">tOP faut continuer comme sa vous êtes les meilleures ! Le prix est raisonnable bon travail. Ensemble nous sommes protéger et plus fort pour avancer dans la vie ! </t>
  </si>
  <si>
    <t>lemkecher-m-135170</t>
  </si>
  <si>
    <t>Les renseignement au telephone ont ete tres bons, meme si je trouves le montant des franchises eleves pour le prix. Mais j'espere etre satisfait de cette assurance.</t>
  </si>
  <si>
    <t>redhotmily-132826</t>
  </si>
  <si>
    <t xml:space="preserve">Une honte , ça perd des infos , ça dit faire le nécessaire , ça dit gérer, ça dit rembourser et prendre en charge... Un an que j'attends qu'ils fassent le nécessaire. Aujourd'hui même leur commercial est incohérent , j'envoies une résiliation il y a 6 mois consciente de leur incapacité. On me répond c'est trop tôt , "rappelez nous au cas où on oubli"; Aujourd'hui je m'assure que ma demande est bien prise en compte " Ha bah non c'était trop tôt " , bien , comment dois je procédé " Renvoyez un courrier pour dire que vous ne voulez plus"... Déjà fait ... "Oui mais un mois avant période légale" ... On est à 1 mois et demi de l'échéance... une honte ... Une honte commerciale, une perte de temps et une mauvaise foi impressionnante. A fuir ! </t>
  </si>
  <si>
    <t>14/09/2021</t>
  </si>
  <si>
    <t>dute65-57809</t>
  </si>
  <si>
    <t>ne souscrivez jamais de produit d'assurance avec cette compagnie qui ne respectera aucun de ces engagements, vous racontera n'importe quoi au téléphone pourvu que vous versiez des cotisations.</t>
  </si>
  <si>
    <t>04/10/2017</t>
  </si>
  <si>
    <t>kevin83230-64814</t>
  </si>
  <si>
    <t xml:space="preserve">Assurer 3 ans chez eux je dis FUYEZ ! Assurance via une plateforme chinoise où les interlocuteurs parle à peine français, ne comprenne pas grand chose, n’arrive pas à ouvrir un mail ou encore moins vous renseignez. 
Raccroche au nez, ne rappel jamais comme convenu et en prime ne manque pas à vous parler mal
</t>
  </si>
  <si>
    <t>07/12/2020</t>
  </si>
  <si>
    <t>maryam-a-132589</t>
  </si>
  <si>
    <t>je suis satisfaite du service clientele au telephone ainsi que des prix mais la mensualité est quand meme un peu chere par rappoet a l’annuel. mais en tout bonne assurance on ma la beaucoup recommande</t>
  </si>
  <si>
    <t>edith-p-138415</t>
  </si>
  <si>
    <t>je suis satisfaite des informations apportées sur votre site.
En espérant avoir une satisfaction dans le remboursement des soins et des médicaments, je dirais un peu plus après car je ne suis assuré que le 30 .</t>
  </si>
  <si>
    <t>calmels-a-139542</t>
  </si>
  <si>
    <t>L accueil téléphonique a été agréable. Une hôtesse gentille et aimable qui a su répondre aux différentes questions que j ai posée. Merci pour sa patience!</t>
  </si>
  <si>
    <t>encolereinhumain-76846</t>
  </si>
  <si>
    <t>Mon père est décédé il y a quelques semaines, ma maman se trouvant sans ressources a signalé le décès les jours qui suivent le départ de mon papa. Depuis elle se fait balader de services en services avec des personnes très désagréables impossible de répondre à de simple questions ! Un jour on lui dit que les documents sont envoyés un autre jour ha ben non le dossier n'est pas encore parti etc... en attendant les prélèvements eux sont toujours bien ponctionnés sur son compte, elle risque de se retrouver interdit bancaire etc... elle ne peut pas payer les échéances du prêt ! Et le comble c'est qu'à la signature on ne demande aucun questionnaire santé, mon père a signalé qu'il avait eu un cancer il y a quelques années etc... cela ne posait aucun problème pour la signature et là on réponds à ma mère que de toute façon il va y avoir un questionnaire médical à faire remplir par le médecin traitant...facile non comme procédé ?? Une honte, un scandale  !!! Fuyez !</t>
  </si>
  <si>
    <t>18/06/2019</t>
  </si>
  <si>
    <t>01/06/2019</t>
  </si>
  <si>
    <t>amal-c-130951</t>
  </si>
  <si>
    <t>Satisfaite des tarifs appliqués
simple et rapide
site très simple d'utilisation et réponse très rapide 
la possibilité de souscrire en ligne est un vrai gain de temps !</t>
  </si>
  <si>
    <t>02/09/2021</t>
  </si>
  <si>
    <t>roger-l-131715</t>
  </si>
  <si>
    <t xml:space="preserve">tarif attrayant. A voir si les prestations sont à la hauteur. Rapidité pour obtenir des réponses et d avoir un bon interlocuteur qui comprend immédiatement. </t>
  </si>
  <si>
    <t>pwati-111252</t>
  </si>
  <si>
    <t xml:space="preserve">Un contrat résilié en 2018 qui continue à prélever les mensualités ! On rêve !
Pas moyen de joindre un interlocuteur habilité à intervenir, on ne tombe que sur des enregistreurs qui eux-même feront un mail... et qui en plus se permettent un ton condescendant et disent comprendre tout notre agacement ! On rêve une seconde fois ! Le Médiateur, au secours !
Et pour la réponse, merci Allianz de ne pas me recycler le classique copié/collé des autres messages. </t>
  </si>
  <si>
    <t>22/04/2021</t>
  </si>
  <si>
    <t>suicidenoel2020-98366</t>
  </si>
  <si>
    <t xml:space="preserve">La, macif a mis mon mari en prison pour insultes...
Nous avons été cambriolé, 20 ans chez eux, 15000 eu perdu, o eu reçu de la macif... Par contre facture de 4599 eu de frais de dossiers, expertises,.  
La macif se fait du fric avec les cambriolages
Pourriture... </t>
  </si>
  <si>
    <t>05/10/2020</t>
  </si>
  <si>
    <t>l--130760</t>
  </si>
  <si>
    <t xml:space="preserve">Suite catastrophe naturelle ....contact avec diverses PLATEFORMES TEL incompétentes  qui renvoient de l'une à l'autre...
TROIS mois après sinistre l'ASSISTANCE  GMF /FIDELIA propose un PRESTATAIRE  EXCLUSIF qui n'accepte pas les ordres donnés par L'ASSISTANCE ....L'assistance devrait intervenir IMMEDIATEMENT et non tergiverser avec LE PRESTAIRE unique ( obligatoire pour prise ne charge...)  qui ne bouge pas .....et ne répond pas aux messages 
Publicités MENSONGERES  TV ET RADIO  
Tout est fait pour gagner des NOUVEAUX CLIENTS mais RIEN pour les anciens et fidèles clients . DECEPTION TOTALE 
 </t>
  </si>
  <si>
    <t>justice-71149</t>
  </si>
  <si>
    <t xml:space="preserve">Atentions aux abus. 
Ils vous font payer même des années suivantes sans vous assurer. Pour un petit retard du paiement suite à l'attaque cardiaque sévère de mon père ils m'ont résilié sans entendre et comprendre mes explications après sept années que j'ai payé très correctement sans aucun accident. 
On m'ont obligé de payer pour l'année suivante depuis trois mois avant l'échéance de mon contrat.
attention à cette assurance </t>
  </si>
  <si>
    <t>10/02/2019</t>
  </si>
  <si>
    <t>delphine-101641</t>
  </si>
  <si>
    <t>excellent accueil. personne très agréable et serviable. problème résolu rapidement avec clarté.
Rien a dire si ce n'est le prix peut être  de cette mutuelle.</t>
  </si>
  <si>
    <t>18/12/2020</t>
  </si>
  <si>
    <t>nicola-c-131184</t>
  </si>
  <si>
    <t>Je me suis inscrit en temp record Service très rapide les prix abordable et une énorme gagne de temp pas de problème niveau papier... Je suis très satisfait je le conseille</t>
  </si>
  <si>
    <t>assure-135275</t>
  </si>
  <si>
    <t>Bonne assurance.
Réponse rapide et facile
Documents disponibles via espace pro et par courrier
Carte verte définitive envoyée rapidement
Service client de qualité et efficace.
Prix raisonnable et compétitif.
Je recommande l’olivier Assurance.</t>
  </si>
  <si>
    <t>pas38-107797</t>
  </si>
  <si>
    <t xml:space="preserve">Je suis Globalement très satisfaite un an sur deux puisque la 2ème année, la cotisation augmente démesurément ce qui m incite à changer d assureur. Détentrice de plusieurs contrats  j aimerais que ce critère soit pris en compte dans le calcul des cotisations 
</t>
  </si>
  <si>
    <t>sarah67-70300</t>
  </si>
  <si>
    <t>Mon papa décédé avait conclu un contrat d'assurance vie. J'ai envoyé le dossier complet il y a maintenant plus de deux ans. Depuis aucun signe de vie de la part de Swisslife malgré de multiples tentatives de contact : mails, formulaire sur le site, etc. Les agents ont choisi d'ignorer mes relances. Il n'y a aucun moyen de savoir s'il manque une pièce, si le paiement aura lieu un jour, etc. La politique est-elle de décourager les personnes pour ne pas payer ce qui est du ?</t>
  </si>
  <si>
    <t>SwissLife</t>
  </si>
  <si>
    <t>17/01/2019</t>
  </si>
  <si>
    <t>claude-f-123758</t>
  </si>
  <si>
    <t>Je suis très contente de cette assurance je verait avec le temps si tous se passe sans problème  le prix et correct et le site et facile simple et top</t>
  </si>
  <si>
    <t>candasamy-k-129546</t>
  </si>
  <si>
    <t>information assez claire
Le conseillé est claire dommage il n'a pas la main pour effectué i=un geste commerciale
Sachant que je suis un ancien client qui revient chez vous comme assurance</t>
  </si>
  <si>
    <t>sogreg-63332</t>
  </si>
  <si>
    <t>Bonne .......prestation..............................................................................................................................................................</t>
  </si>
  <si>
    <t>17/04/2018</t>
  </si>
  <si>
    <t>hello-62069</t>
  </si>
  <si>
    <t xml:space="preserve">Il faut 1 an pour se faire avoir. Aucun sinistre quel qu'il soit déclaré et pourtant première surprise, à la date anniversaire + 30% d'augmentation sur le tarif de mon contrat. Je cherche des explications auprès de "L'olivier" on me dirige vers le service commercial d'office pour me proposer un rabais de 10% par rapport à l'offre proposer. Que je refuse bien évidemment. Mais je ne suis pas au bout de mes surprises. A terme de mon contrat que j'ai donc précipitamment résilie étant donné que je ne dispose que de 20 misérables jours pour résilier (heureusement pour moi, je suis rentré à temps de mes vacances). Je m'aperçois d'un prélèvement direct de 10% du montant annuel directement sur mon compte sans préavis et surtout sans devoir le moindre centime. J'essaie donc d'appeler pour avoir plus d'informations je compose donc le même numéro que d'habitude et comme par hazard le numéro et coupé et on nous dirige uniquement vers le site web. Pas d'autre numéro proposer. Je suis insatisfait. La solution serait t elle de rouler sur les trottoirs avec cette compagnie pour bénéficier d'un rabais justifié d'une année sur l'autre ? Qui est récompensé si on nous prends encore plus d'argent ? </t>
  </si>
  <si>
    <t>06/03/2018</t>
  </si>
  <si>
    <t>pafou-102454</t>
  </si>
  <si>
    <t>Technique de vente agressive par les courtiers et énorme difficulté à faire résilier les contrats que vous n'avez pas souscrit!
Ne respecte pas leur propre charte sur la signature électronique (a consulter sur leur site)
Il essaient par ailleurs de prélever avec vos coordonnées bancaires anciennes si vous avez déjà été client chez eux!
Enfin si vous avez un contrat chez eux ils peuvent le faire évoluer sans vous prévenir!
Dommage que ces pratique entachent Neoliane qui est par ailleurs une mutuelle qui offre des prestation similaires aux autres.
Je confirme l'impossibilité quasi totale d'avoir un correspondant au téléphone.</t>
  </si>
  <si>
    <t>12/01/2021</t>
  </si>
  <si>
    <t>deaazero-99927</t>
  </si>
  <si>
    <t>Service client = Zéro
Attente téléphonique = supérieur à 10min
Accueil client = Zéro
Solution = Zéro
Geste commercial? Ça existe ca? Ah non pardon le geste commercial chez eux ressemble à ca ??
Alors la tchatche du Covid, la meilleure excuse au monde pour se décharger, continuez comme ça, vous êtes des champions ????
Cette assurance hormis encaisser, ils ne savent rien faire d’autres.
C’est sur ils sont de A à Zéro avec nous.</t>
  </si>
  <si>
    <t>09/11/2020</t>
  </si>
  <si>
    <t>florina-102279</t>
  </si>
  <si>
    <t>Très bon équillibre prix/services, rapidité pour obtenir l'assurance, gentillesse du conseiller, je serais bien restée leur cliente si je n'avais pas cédé la voiture pour quitter la France</t>
  </si>
  <si>
    <t>turpin-r-123799</t>
  </si>
  <si>
    <t>Je suis satisfait du service.les prix sont très bien..les conseillers au téléphone sont très compétant. Et très agréable.on arrive facilement à les joindre .</t>
  </si>
  <si>
    <t>pas-de-pseudo-110244</t>
  </si>
  <si>
    <t>Angelique de chez Santiane a répondu avec amabilité et d'une manière très professionnelle à toutes mes questions concernant mon changement de mutuelle.</t>
  </si>
  <si>
    <t>13/04/2021</t>
  </si>
  <si>
    <t>gurvan-l-134537</t>
  </si>
  <si>
    <t xml:space="preserve">Très bien. Je suis très content. J’ai effectué un devis sur les sites comparatifs et j’ai rapidement été dirigé vers direct assurance. Très simple d’utilisation </t>
  </si>
  <si>
    <t>jean-bernard-g-130224</t>
  </si>
  <si>
    <t>Devis rapide et simple à renseigner.
10min pour obtenir le contrat d'assurance.
Tarifs très compétitifs par rapport à la concurrence.
Je recommanderai a mes proches.</t>
  </si>
  <si>
    <t>30/08/2021</t>
  </si>
  <si>
    <t>jpd60-52181</t>
  </si>
  <si>
    <t>je suis client "AXA".
Assuré tous risques pour mon véhicule récent ;j'ai subi une dégradation volontaire de la part d'un tiers alors que mon véhicule était en stationnement.L'assureur axa a refusé la prise en charge de ma réparation pour un montant de 300€.
J'apprends par la radio que l'ex 1er ministre a   été payé par AXA ( somme conséquente).A vous de juger?</t>
  </si>
  <si>
    <t>08/02/2017</t>
  </si>
  <si>
    <t>sandrine-r-106384</t>
  </si>
  <si>
    <t>je suis satisfaite,  en ce qui concerne les tarifs,  et prestations que vous appliquez.
Je suis susceptible de recommander " direct Assurance" aux personnes qui constituent mon entourage.</t>
  </si>
  <si>
    <t>thomas-m-113073</t>
  </si>
  <si>
    <t>TRES SIMPLE POUR L'INSCRIPTION; J'ESPERE QUE LE SERVICE EN CAS DE PROBLEME SERA DU MEME ACABI. IMPOSSIBLE DE JUGER POUR L'INSTANT. EN TERME DE PRIX PARFAIT.</t>
  </si>
  <si>
    <t>08/05/2021</t>
  </si>
  <si>
    <t>moricet-63187</t>
  </si>
  <si>
    <t>Mépris des clients ,courrier adressé le 9 janv. relance avec AR  le 1 mars toujours pas de réponse ,3 appels service client ,relance également de la part de mes agents.Litige concerne 2 contrats d'assurance vie offerts à mes enfants pour Noël ,commande du 6 Déc 2017 ,dossiers postés  par AXA le 2 Jan.2018 .Une fois les contrats signés il semble  qu'AXA se moque du suivi.Agée de 77 ans je ne puis  changer de compagnie sans perdre tous les avantages.Depuis l'âge de 15 ans j'ai des contrats d'assurance vie à LA Séquanaise reprise par UAP ,puis AXA.Je compte beaucoup avoir satisfaction à ma demande de dédommagement pour avoir gâché le  beau cadeau  de  mes enfants.</t>
  </si>
  <si>
    <t>12/04/2018</t>
  </si>
  <si>
    <t>mick-49641</t>
  </si>
  <si>
    <t xml:space="preserve">L'assureur militant, seulement du vent.
En cas d'accident de voiture, je pensais naïvement être un peu mieux traité à la Maïf. Erreur, la Maïf se comporte comme n'importe quel assureur lambda et vous laisse vous débrouiller avec l'expert qui n'a visiblement qu'une seule mission : faire traîner et vous imposer une somme moindre. 
Ma voiture a été percutée au parking. Je ne suis donc en aucun cas responsable. L'expert m'a laissé un message laconique indiquant qu'il me proposait une somme qui correspond à 1500 euros de moins que la côte et au bas mot à 2500 de moins que les annonces de voitures équivalentes. J'ai osé dire très respectueusement que la somme proposée me paraissait sous-estimée. Résultat : "Je vais vous adresser un courrier, vous me répondrez par courrier" et l'expert raccroche. Depuis, j'attends le courrier qui n'arrive pas. Le seul pénalisé c'est moi.
Je pensais également naïvement que le fait de pouvoir parler de visu à un conseiller était un plus. Erreur, il ne sait et ne fait rien si ce n'est appeler le même numéro de téléphone que les clients et vous passer la personne au téléphone. Donc si vous avez un téléphone, l'agence Maïf ne sert à rien qu'à gonfler votre facture. 
Maïf ou une autre, le petit jeu sera donc de s'abriter derrière les experts ...qui travaillent donc pour toutes les assurances.
</t>
  </si>
  <si>
    <t>28/11/2016</t>
  </si>
  <si>
    <t>01/11/2016</t>
  </si>
  <si>
    <t>motard-en-colere-107196</t>
  </si>
  <si>
    <t xml:space="preserve">21 ans assuré à la mutuelle des motards, depuis que je suis assuré chez eux je leur ai donné 15 000€ de cotisations, je n'ai jamais eu aucun accident, la seule fois ou je les appelés j'étais en panne au bord de la route et ils ont refusé d'intervenir car j'étais à moins de 50kms de mon domicile. 
Le prix ne baisse jamais, même si les machines prennent de l'âge et que nous n'avons pas d'accident.... et cette année, en tant que récompense  j'ai eu une bonne surprise: 100 euros d'augmentation (17%)! Ca doit correspondre au fait que nous ayons beaucoup plus rouler l'année dernière.... Mais vous comprenez monsieur, me disent-ils, il y a eu beaucoup de corporel en 2020.... une telle augmentation, je ne sais pas comment j'appelle ça, surtout que visiblement ils le font avec tous leurs sociétaires! 
</t>
  </si>
  <si>
    <t>dany-j-116588</t>
  </si>
  <si>
    <t>Satisfait du service, professionnel et aimable, à voir à l’avenir.
Concernant mon ancien contrat auto, les prix défient toutes concurrence pour les mêmes prestations.</t>
  </si>
  <si>
    <t>ronaldo--f-115317</t>
  </si>
  <si>
    <t>Très contente ' rapide à faire ' je suis heureux' avec 15 minute je suis déjà assuré,  tous sans sorti de la maison , je gagné de temp en plus c'est dimanche</t>
  </si>
  <si>
    <t>gilles-b-105571</t>
  </si>
  <si>
    <t xml:space="preserve">je suis satisfait de l'accueil, les prix me conviennent. Je ne manquerai pas de recommander afin de parrainer dès que possible à mon entourage.
Bonne réception.
Cordialement, </t>
  </si>
  <si>
    <t>05/03/2021</t>
  </si>
  <si>
    <t>carles-77703</t>
  </si>
  <si>
    <t>agtres reable tres professionnel bonus fideliter beneficie de la carte blanche on ma assister pour la resiliation et qu on offre medecin direct et 2 avis .fr</t>
  </si>
  <si>
    <t>17/07/2019</t>
  </si>
  <si>
    <t>olivier-m-128173</t>
  </si>
  <si>
    <t>Rapide et simple, la ou j avais des doutes le chat en ligne (avec une vrai personne) a pu y répondre. On verra la suite si les tarifs reste vraiment attractif</t>
  </si>
  <si>
    <t>16/08/2021</t>
  </si>
  <si>
    <t>karineb15-85605</t>
  </si>
  <si>
    <t>On est où là chez l'épicier du coin ? Tout d'abord pour avoir le service client il faut s'armer de patience : à chaque fois que j'ai appelé, j'ai attendu au mieux 10 minutes, au pire plus de 20 minutes !
J'ai résilié mon contrat auto le 02 décembre 2019, j'ai malgré tout été prélevée le 07 décembre. Après appel, le conseiller m'explique que c'est "normal", la date de résiliation étant trop proche de celle de prélèvement, qu'ils ont bien reçu ma résiliation mais comme il y a 3 semaines de retard je ne serai remboursée que fin décembre, bon, soit...
Seulement le 6 janvier, non seulement je ne suis pas remboursée mais je suis de nouveau débitée ! Après une attente de plus de 11 minutes, la conseillère me confirme de la réception de ma résiliation, qu'il y a un mois de retard...Et que je ne suis pas la seule ! Chic alors ! Et le plus fort c'est que je viens de recevoir un courrier de renouvellement de contrat !
C'est juste inadmissible ! 
Nous, si l'on ne paie pas les cotisations, c'est 10 % de pénalités voire même l'annulation du contrat.</t>
  </si>
  <si>
    <t>alexei-77557</t>
  </si>
  <si>
    <t>Je suis extrêmement déçu des pratiques commerciales de cet assureur, notamment dès lors qu'on leur demande de l'aide. Pour encaisser les cotisations il n' y a jamais aucun problème, mais pour assumer leur rôle d'assureur tout devient très compliqué</t>
  </si>
  <si>
    <t>11/07/2019</t>
  </si>
  <si>
    <t>isabelle-m-107435</t>
  </si>
  <si>
    <t>je suis satisfaite de vos services,tarif trés bien ,rapide recherche trés rapide et efficace.super travail de bonne qualité j'éspere.merci beaucoup pour tous</t>
  </si>
  <si>
    <t>22/03/2021</t>
  </si>
  <si>
    <t>moureix-s-115552</t>
  </si>
  <si>
    <t>Efficacité de la souscription en ligne. Simple, intuitif, efficace et clair. La navigation est aisée et la signature électronique ne beug pas. Il est facile de pouvoir souscrire.</t>
  </si>
  <si>
    <t>emilie-c-105371</t>
  </si>
  <si>
    <t>Je suis satisfait devis service et de vos prix. J’attendrai aussi de voir comment vos services seront réactifs à mes possibles  problèmes. Je tiens à vous adressez toute ma reconnaissance.</t>
  </si>
  <si>
    <t>celia-53737</t>
  </si>
  <si>
    <t xml:space="preserve">Lenteur dans la pris en charge du dossier ça fait 15 jours que j'attends un retour suite à l'envoi des pièces en recommandé. Je n'ai pas mon attestation d'assurance et c'est très grave. </t>
  </si>
  <si>
    <t>30/03/2017</t>
  </si>
  <si>
    <t>yb-70893</t>
  </si>
  <si>
    <t>Après 30 ans de fidélité + Bonus à vie, j'ai eu 2 accrochages mineurs responsables. Le dernier avec une voiture dont l'arrière était très abimé avant cet accrochage. Ma voiture n'avait pas une égratignure (photos des 2 véhicules à l'appui). Pas d'expertise. La Maaf a choisi de payer tout le bouclier arrière de la voiture adverse et de doubler ma franchise. Voyant que je protestais, ils ont décidé de résilier une de mes 2 voitures prétextant que je n'avais pas renvoyé le contrat à temps alors que mes 2 voitures étaient sur le même contrat puis d'entacher mon dossier d'une mention fâcheuse. Enfin quand j'ai changé ma voiture restant assurée chez eux, ils ont refusé d'assurer la nouvelle.</t>
  </si>
  <si>
    <t>02/02/2019</t>
  </si>
  <si>
    <t>philusa-71615</t>
  </si>
  <si>
    <t xml:space="preserve">Bonjour , suite à un dégat des eaux et  évènement  climatique , problème de cheneau  sur une maison  ancienne.
Devis du  couvreur  correct , bien sur  revu à la baisse par  un "expert" derrière un ordinateur.
Donc passage d'un "expert" pour  évaluation .
Le ceheau étant une pièce extérieur au  niveau de la toiture. Cet  "expert " arrive sans échelle il est resté dans ma cuisine à faire son rapport  dont  je vous passe ses commentaires , pour  lui  pas dévènement  climatique , après lui avoir  montré la carte météo il l'admet .me dit  que le prix sur le devis est  correct.
Après son passage aucune intervention de Axa. je relance maintes fois (  cellule  délocalisée au Maroc) Temps de  réponse  en accord avec la distance...
Le cheneau aurait pu  être réparé l'été mais avec cette réactivité il le sera bien plus tard ..; pour  l'indemnisation pareil il  faut  pas être pressé... </t>
  </si>
  <si>
    <t>25/02/2019</t>
  </si>
  <si>
    <t>vincent--g-136338</t>
  </si>
  <si>
    <t xml:space="preserve">Satisfait. 
Tarifs intéressants. 
Couverture correspondant à mes attentes.
Satisfait 
Couverture correspondant à mes attentes. 
Satisfait. 
Couverture correspondant à mes attentes. </t>
  </si>
  <si>
    <t>sixtjmm-50052</t>
  </si>
  <si>
    <t xml:space="preserve">1 accident responsable depuis 3 ans 1/2 ! (En nov 2015) et 49,7 % d'augmentation pour 2017!
INACCEPTABLE !
Et des explications qui n'en sont pas! 
Alors attendez vous au pire en cas de sinistre! 
J'ai quand même trouvé 3 assureurs moins chers que la MAIF ........en 2016 .
Pour 2017 , MAIF 53,5 % plus cher que mon futur nouvel assureur !
Ils se passeront donc de l'assurance de mes 2 voitures ! 
Réfléchissez deux fois avant de vous engager avec la MAIF!
</t>
  </si>
  <si>
    <t>08/12/2016</t>
  </si>
  <si>
    <t>laguzzi-a-112308</t>
  </si>
  <si>
    <t xml:space="preserve">Prix convenable pour début de contrat, à voir par la suite. 
Service clientèle à l’écoute et réactif pour des propositions intéressantes sur les contrats en tant que nouvel arrivant chez l’olivier 
</t>
  </si>
  <si>
    <t>alc-86531</t>
  </si>
  <si>
    <t xml:space="preserve">service déplorable!!j'ai effectués 3 demandes de rembourser car mon dossier a été clôturé 3 fois sans en donner les raisons et sans remboursement de mes frais de dépassement d'honoraire qui je le precise ont étés remboursé sur une premiere facture 6 mois avant
Lorqu ils sont ENFIN joignable au telephone la conseillere me dit que en effet elle ne comprend pas pourquoi et qu elle va s en occuper! (miracle)
et non 3 semaines après toujours rien.
Je refait ma demande de remboursement (4ieme) via mon espace et en plus j envoie un mail.
Et la on me dit qu'il n y a pas de date sur la facture!!!(totalement faut)
Je rappelle une nouvelle fois mais cette fois ci ils n ont pas accès à mon dossier car leur logiciel beug!il faut que je rappelle.
Même facture à 6 mois d'écart pour de l'orthodontie </t>
  </si>
  <si>
    <t>30/01/2020</t>
  </si>
  <si>
    <t>dubuc-t-125232</t>
  </si>
  <si>
    <t>Super satisfaite même du service client très précis et sérieux je le recommande à tous mes amis ainsi qu'à la famille merci pour votre professionnalisme</t>
  </si>
  <si>
    <t>lou80-80032</t>
  </si>
  <si>
    <t>Conseiller a l'écoute des clients , rapidité d'envoi des documents, prix tres attractifs</t>
  </si>
  <si>
    <t>14/10/2019</t>
  </si>
  <si>
    <t>franck-g-116542</t>
  </si>
  <si>
    <t xml:space="preserve">au fil du temps une petite baisse de prix. je pense qu'il serait intéressent de prendre en compte les années passées et d'ne déduire une remise sur le tarif des assurances; </t>
  </si>
  <si>
    <t>09/06/2021</t>
  </si>
  <si>
    <t>demartinon75-67156</t>
  </si>
  <si>
    <t>A fuir. Un service client incompétent un total mépris de l'assuré. Des attentes interminables au téléphone, des semaines d'attente pour le moindre petit remboursement. A éviter absolument. Le client n'est pas considéré dans cette entreprise et les responsables sont injoignables. Expérience désastreuse, allez voir ailleurs.</t>
  </si>
  <si>
    <t>28/09/2018</t>
  </si>
  <si>
    <t>01/09/2018</t>
  </si>
  <si>
    <t>michel--135024</t>
  </si>
  <si>
    <t>Efficacité et simplicité pour souscrire.
Tarifs attractifs et contact professionnel.
Qualité de la plate plate-forme.
En espérant que cette 1ère expérience favorable se poursuive.</t>
  </si>
  <si>
    <t>duncacois-67581</t>
  </si>
  <si>
    <t>L'assureur ne répond jamais aux emails, sauf au moment de la souscription du contrat .L'accès à mon compte client en ligne est bloqué depuis des semaines, et vu la non réponse à mes emails demandant le déblocage , je me trouve dans l'impossibilité de consulter mon contrat en ligne et tout ce qui le concerne .On vient de m'adresser la reconduction de mon contrat que je dois signer en ligne , alors je fais comment !!!</t>
  </si>
  <si>
    <t>11/10/2018</t>
  </si>
  <si>
    <t>jcr-100996</t>
  </si>
  <si>
    <t>Tout allait bien jusqu'à aujourd'hui ou je reçois un mail m'informant de mon échéancier pour l'année 2021  et la.............surprise , alors que ce que j'ai payé en 2020 à Génération est bien supérieur à ce qu'ils ont remboursé ,  le montant de ma mensualité augmente de 38 % !!!!!!!!!!!!!!!!!!   Est ce normal ??? Ont ils le droit de faire cela ?????</t>
  </si>
  <si>
    <t>05/12/2020</t>
  </si>
  <si>
    <t>pigeon-71430</t>
  </si>
  <si>
    <t>les assurés aussi se font exploser</t>
  </si>
  <si>
    <t>19/02/2019</t>
  </si>
  <si>
    <t>adrien-l-133984</t>
  </si>
  <si>
    <t xml:space="preserve">Rapide , je recommande pour tout achat de véhicule à assurer dans la journée,  recherche de modèle simple et démarches simplifiées je recommande à tous </t>
  </si>
  <si>
    <t>adam-87610</t>
  </si>
  <si>
    <t>A eu Coralie au téléphone pour un devis, claire, précise et très aimable, avait demandé à être rappelé suite au devis à 17h et l'as fait à la minute près</t>
  </si>
  <si>
    <t>philippe-p-125668</t>
  </si>
  <si>
    <t>Je suis client depuis de trente ans 
la relation client se dégrade .... il n'y a plus le coté mutualiste mais une vision mercatique qui vous laisse sur le coté au moindre pb
c'est dommage,</t>
  </si>
  <si>
    <t>30/07/2021</t>
  </si>
  <si>
    <t>m-ft-112735</t>
  </si>
  <si>
    <t xml:space="preserve">Un mutuel que je recommande absolument pas. Incapable de répondre à des demandes, des dossiers de perdus, énormément de temps au téléphone, jamais les mêmes personnes. Avec jamais le même discours, 2mois attente pour une demande de prise en charge pour une monture de lunette.. Une HONTE!! Et j'ai toujours pas de réponse puisque faut toujours rajouter des documents à chaque fois, alors que le dossier à été envoyé entièrement. 
Alors OK il y avait de bon remboursement mais le reste c'est 0 </t>
  </si>
  <si>
    <t>05/05/2021</t>
  </si>
  <si>
    <t>guillaume33300-55521</t>
  </si>
  <si>
    <t xml:space="preserve">AG2R nous informe d'un refus de capital décès. En effet nous avons envoyé l'ensemble des pièces nécessaires pour obtenir ce dû au titre de la portabilité des droits de prévoyance de notre papa décédé en début d'année  (bulletins de paie, prise en charge pôle emploi,....). Il semblerait que AG2R ne tient pas compte des éléments envoyés. AG2R préfère envoyer un courrier type sans traiter le dossier sérieusement. AG2R ne respecte pas ses obligations contractuelles. Nous avons fait une réclamation pour obtenir gain de cause. </t>
  </si>
  <si>
    <t>21/06/2017</t>
  </si>
  <si>
    <t>johury-80590</t>
  </si>
  <si>
    <t xml:space="preserve">Trop cher beaucoup trop cher 7 euros d'augmentation pour 2020 !!! Je change de mutuelle. Cela fait un changement de mutuelle pratiquement tous les ans !!! Et une telle augmentation pour une retraitée et bien c'est trop </t>
  </si>
  <si>
    <t>31/10/2019</t>
  </si>
  <si>
    <t>medoucet-122657</t>
  </si>
  <si>
    <t>Je détaille tous les aspects qui peuvent intéresser un internaute en recherche d'assurance :
disponibilité des conseillers de clientèle
prix de l'assurance
qualité de l'intervention en cas de sinistre
montant des remboursements en cas de sinistre
Mon retour personnel :
Le contact que j'ai eu avec le conseiller pour pouvoir mettre en place le contrat sante s'est  très bien passé. Accueil sympathique et professionnel. 
Une fois avoir signé le contrat j'ai reçu des mails pour pouvoir créer mon espace mais ça ne fonctionnait pas. J'ai appelé x fois le service clients pour pouvoir résoudre le problème technique. Aucune suite...j'ai donc décidé de me rétracter et d'annuler mon adhésion avec Sentiane. Je suis allée voir un autre courtier. Mais même pour se rétracter c'est compliqué, aucune confirmation de leur part. J'ai donc payé un courrier un courrier par recommandé pour me couvrir juridiquement. Je ne recommande pas Sentiane</t>
  </si>
  <si>
    <t>07/07/2021</t>
  </si>
  <si>
    <t>massutin-v-112819</t>
  </si>
  <si>
    <t>Bon prix, simple et pratique. 
Je suis satisfait du service et des tarifs... pour l'instant, j'espère rester chez l'Olivier Assurance quelques années. L'appel téléphonique s'est bien passé, mon interlocuteur a semblé être très clair, en revanche le tarif proposé en ligne était sensiblement différent de celui calculé sur votre site.</t>
  </si>
  <si>
    <t>06/05/2021</t>
  </si>
  <si>
    <t>jebam50-70699</t>
  </si>
  <si>
    <t>Cette compagnie se moque complètement de ses clients.Une seule chose les intéresse, et déploient pour ce faire beaucoup de baratin et d'énergie, faire signer le prospect. Après, vogue la galère. N'ayant pas reçu, ou perdu mes identifiants, je les ai réclamés par mail. Même pas de réponse.....C'est vrai aussi que téléphoner à 80 cts la minute , c(est vraiment " par ici la bonne soupe "..........</t>
  </si>
  <si>
    <t>deborah-52833</t>
  </si>
  <si>
    <t>EALLANZ = ASSURANCE A FUIR;
j'ai toujours privilégié les grands groupes d'assurance quitte à payer plus cher , voire beaucoup plus cher comme chez EALLAINZ car naivement je pensais qu'au final je pensais que j'allais m'y retrouver en cas de soucis.
Et ben détrompez vous , ce n'est pas le cas avec ELLIANZ.... en lisant les avis laissés ici, je retrouve exactement ce que j'ai vécu....un sertvice client incompétent, qui donne des réponses à côté de la plaque voire carrément mensongères....la difficulté de résilier ses contrats....ils m'ont ainsi refusé une résiliation HAMON pour des motifs les plus absurdes...
Bref, eallianz est une assurance à eviter.</t>
  </si>
  <si>
    <t>28/02/2017</t>
  </si>
  <si>
    <t>charignon-j-131116</t>
  </si>
  <si>
    <t>L'olivier assurance m'a donné satisfaction à plusieurs reprises. Ils sont efficaces et joignables facilement avec des tarifs compétitifs. De plus mes interlocuteurs ont toujours été clairs et agréables.</t>
  </si>
  <si>
    <t>03/09/2021</t>
  </si>
  <si>
    <t>jean-claude-m-110170</t>
  </si>
  <si>
    <t>Je suis satisfait du produit et content d'avoir choisi Direct Assurance .
 Les prix me conviennent . 
J'ai profité pour m'adhérer à d'autres propositions d'assurance très intéressantes .
Merci DIRECT ASSURANCE</t>
  </si>
  <si>
    <t>12/04/2021</t>
  </si>
  <si>
    <t>vanes-57474</t>
  </si>
  <si>
    <t>Malgré le fait que cette assurance propose des tarifs raisonnable avec des formules complètes. Il est fort regrettable de toujours les menacer par mail pour qu'ils procèdent aux remboursements des soins à chaque fois et mettent pratiquement 1 mois pour rembourser. Une honte. Je quitte cette assurance et ne l'a recommande pas du tout.</t>
  </si>
  <si>
    <t>20/09/2017</t>
  </si>
  <si>
    <t>mary0107-81079</t>
  </si>
  <si>
    <t>Suite à une effraction sur le logement que je loue, le traitement dossier a été fait par téléphone pour obtenir l'indemnisation des travaux de remise en état. Outre le fait que ce n'est jamais la même personne qui traite le dossier, j'ai eu autant de réponses différentes que d'appels téléphoniques !Aucun sérieux. Franchement à éviter ! Ce ne sont pas des assureurs !</t>
  </si>
  <si>
    <t>18/11/2019</t>
  </si>
  <si>
    <t>11patou-104252</t>
  </si>
  <si>
    <t xml:space="preserve">J'ai appelé ce jour car l'accès à mon espace client était bloqué, j'ai eu rapidement une conseillère qui a très vite répondu à mon problème et a solutionné rapidement mon accès.
Avec beaucoup de courtoisie.
</t>
  </si>
  <si>
    <t>hicham-b-105685</t>
  </si>
  <si>
    <t>Pas satisfait du tout,j'ai perdu mon assurance auto suite à mon divorce mais malgré mon intervention pour expliquer que le retard de paiement n'était en aucun de ma faute car mon ex femme jeté  systématiquement mon courrier a la poubelle 
 vous n'avez pas cherché à en savoir plus et vous m'avez résilié mon contrat engendrant une plus grande précarité   dans laquelle mon divorce m'avait mis...Pourtant en 8 ans de contrat d assurance chez vous je n'avais eu aucun sinistre de déclarer ni aucun retard de paiement ! Il a suffit d'un petit problème qui pouvait se régler  pour voir que nous clients sommes  que des numéros   de contrats...</t>
  </si>
  <si>
    <t>06/03/2021</t>
  </si>
  <si>
    <t>marco94-65082</t>
  </si>
  <si>
    <t xml:space="preserve">Contrat performance habitation !!!
Dégâts des eaux 40 cm suite aux inondations du 11 juin Sur les communes Fresnes et Antony, déclaration au bureau Matmut d’Antony le 12 Juin est à la date d’aujourd’hui aucune visite d’expert 27 juin.
Heureusement que j’ai un contrat performance !
</t>
  </si>
  <si>
    <t>27/06/2018</t>
  </si>
  <si>
    <t>xavier-c-105879</t>
  </si>
  <si>
    <t xml:space="preserve">des prix très compétitifs, mais difficile d'avoir le support. J'ai tenté de les joindre à plusieurs reprises avant d'avoir quelqu'un au tel, puis on m'a dit que pour une démarche de déclaration de bris de glace je devais passer par une demande email. </t>
  </si>
  <si>
    <t>08/03/2021</t>
  </si>
  <si>
    <t>rodrigues-f-113973</t>
  </si>
  <si>
    <t>Je suis satisfait du service et de la communication téléphonique, ainsi que du tarif. Les options et le contenu du contrat son favorables et cohérents avec mes demandes.</t>
  </si>
  <si>
    <t>sandra-60057</t>
  </si>
  <si>
    <t xml:space="preserve">Très compliqué pour résilier un contrat malgré la loi Chatel à 4jours près ma demande a été refusé, inacceptable et non commercial! </t>
  </si>
  <si>
    <t>30/12/2017</t>
  </si>
  <si>
    <t>tamouza-69374</t>
  </si>
  <si>
    <t>assurance qui n a pas trop augmenté ses prix depuis les 10 ans que je suis chez eux mais je suis en pleine prospection et je quitte si je trouve les mêmes garantie avec l'assurance scolaire incluse.</t>
  </si>
  <si>
    <t>13/12/2018</t>
  </si>
  <si>
    <t>petris-e-135552</t>
  </si>
  <si>
    <t>Mise en place rapide du contrat. Réception rapide de la carte verte.
Il serait plutôt utile d'envoyer tous les documents lors de la création du contrat pour éviter les oublis.
Sinon tout est parfait :)</t>
  </si>
  <si>
    <t>02/10/2021</t>
  </si>
  <si>
    <t>akhtar-i-112149</t>
  </si>
  <si>
    <t>Globalement satisfait, Tarifs raisonnables
petit souci pour signer mon contrat via mon téléphone...
réussi avec l'ordinateur.
Rapport/qualité TOP
Je recommande</t>
  </si>
  <si>
    <t>pierre13-97977</t>
  </si>
  <si>
    <t>Prudemment ALLIANZ ne peut être noté ici sur leur garantie "protection juridique" qui se limite à la prestation suivante: "VOUS PAYEZ, ET ENSUITE ON VOUS DIRA EVENTUELLEMENT QUOI ECRIRE DANS VOS COURRIERS". Couverture zéro, mais harcèlement dès qu'on veut résilier!</t>
  </si>
  <si>
    <t>cyril--d-114486</t>
  </si>
  <si>
    <t>Votre méthode de création d'un nouveau contrat est usante: vous redemandez les mêmes infos que vous possédez déjà à mon sujet et a chaque fois cela ne se passe pas correctement bien que je vous envoie tout ce que vous demandez. Il serait judicieux lors de la création d'un nouveau contrat de préremplir le dossier avec les éléments dont vous disposez déja: bonus, relevé d'information, adresse etc</t>
  </si>
  <si>
    <t>21/05/2021</t>
  </si>
  <si>
    <t>trahisondetresse-67976</t>
  </si>
  <si>
    <t xml:space="preserve">PLUS DE 100.000 EUROS DE CREDIT DU SOCIETAIRE NON ENCORE REMBOURSES OFFERTS gracieusement à des fraudeurs par la MAIF.
LE CONTRAT DE PROTECTION JURIDIQUE est une tromperie.
Entre la banque qui devait rembourser le crédit immobilier pour ne pas avoir respecté les termes de son contrat et le sociétaire qui se retrouvait obligé de rembourser un crédit sans avoir de maison, la MAIF a défendu la banque qui a envoyé le sociétaire chez le notaire, sous dix jours, en sachant que deux des documents primordiaux manquaient dans le dossier.
Votre avis m'intéresse car, demain, ce sera peut-être vous la victime de la MAIF. - Ca peut vous arriver. La MAIF a refusé de faire paraître la lettre ouverte qui demandait une aide aux sociétaires dans la revue MAIF ! Aucun soutien ! Plus de cinquante années de cotisations pour être traitée comme un détritus !
Si je comprends bien le site, les excellentes et étonnantes étoiles de simples et modestes remboursements compensent les douloureuses étoiles des affaires plus lourdes pour conserver une image propre ( dommage que les notes négatives soient impossibles).
Le PIEGE de toutes les publicités mensongères (confiance; des juristes toujours à votre écoute ; une garantie dommage-ouvrage rembourse en premier lieu et se retourne ensuite contre les responsables) a pu se refermer brutalement sur le sociétaire. La défiance doit être de mise devant de telles défaillances !)
Depuis plus de dix ans, je vois ma mère vivre dans un garage et se trainer comme elle le peut encore actuellement à 84 ans, dans des passages de 30 à 50 cm pour préparer ses repas, manger sur un tabouret avec son assiette sur ses genoux, poser sur son lit encastré entre les meubles ses courses pour pouvoir les ranger, avoir des difficultés pour faire le ménage entre les meubles entassés, ouvrir de temps en temps la porte pour avoir de la lumière quand il ne fait pas trop froid, avoir un simple lave-mains comme évier et moyen de toilette, vivre en hiver sur une dalle de béton glaciale et en été sous la canicule sans isolation et sans ventilation, en ramassant avec difficulté des objets empilés qui tombent sans cesse faute de place suffisante.
Toute cette catastrophe est due aux tricheries de la MAIF:
1. PAS un seul expert MAIF le jour de la première expertise qui a fait PERDRE  le bénéfice de la -GARANTIE DE PARFAIT ACHEVEMENT AUX PRIX ET DELAIS CONVENUS- PAYEE PAR LE SOCIETAIRE et qui aurait pu sauver sa situation en obtenant une maison construite ; pas de comparution en justice de cette garantie.
2.NON REMBOURSEMENT du crédit bancaire, alors que les deux conditions de délivrance des fonds étaient non respectées, pas de D.R.O.C.- Déclaration Réglementaire Ouverture de chantier- et existence de D.O.- assureur dommage-ouvrage.
3. REFUS de la MAIF de solliciter une enquête auprès de la mairie qui aurait permis de prouver UNE ILLEGALITE dans la DELIVRANCE des fonds du crédit, alors que ses adversaires judiciaires ont fait cette enquête  pour se défiler des remboursements ( fuite de la garantie décennale à laquelle la MAIF a offert 700 euros APPARTENANT aux sociétaires pour lui éviter de respecter un contrat du 19/11/99, alors que son activité ne cessait que le 31/12/99 ; il aurait suffi que la MAIF fasse diligenter une enquête en mairie pour éviter à ma mère de vivre plus de dix ans dans un garage ;
4. REFUS de la MAIF de solliciter une enquête sur le compte suspect du constructeur sur lequel avaient été placés les fonds du crédit délivrés illégalement par complicité interne.( cerise sur le gâteau à la banque des enseignants).
5. SOUS-ESTIMATION de la partie construite entérinée par la MAIF arrêtée à la dalle du rez-de-chaussée en oubliant toute la partie construite au-dessus pour les combles ;
6. ANNULATION du jugement qui se fondait sur les articles 1792 (ABSENCE DE FONDATIONS) et suivants du code civil que la MAIF a détourné de la juridiction pénale ; cette annulation a échappé illégalement à la juridiction en appel pour être illégalement confiée à un commerçant non magistrat du tribunal de commerce pair du constructeur ;
7. INVENTION, sans aval du sociétaire, grâce à une ruse dénommée occasionnellement -DESISTEMENT PARTIEL- et consistant avec le soutien de la MAIF à permettre à la dommage-ouvrage de faire appel en laissant la liberté au constructeur véreux de fuir ( le seul commerçant nécessitant une dommage-ouvrage est le constructeur) . Comment envisager légalement une confrontation entre une dommage-ouvrage et un citoyen français lambda sans constructeur qui a pu échapper à ses responsabilités concernant cette absence de fondations ? 
Il était IMPORTANT de ne pas tout perdre en APPEL, du fait de la fuite du constructeur par la ruse du -DESISTEMENT PARTIEL-, parce que le TGI remboursait des fondations spéciales et une démolition AUX FRAIS AVANCES du sociétaire de plus de 40.0000 euros. En appel, la décision du TGI a disparu des débats ;
8. Nombreux RENVOIS judiciaires injustifiés, mais favorables aux adversaires et soutenus par la passivité du manager de la MAIF (un audit demandé est resté sans réponse) ;
9. Laisser DISPARAITRE en cachette les biens du constructeur sous un autre nom, celui de son épouse sous son nom de jeune fille, avant la fin de la procédure pour laisser fuir les garanties de réparation et tous les biens professionnels dans la liquidation.
10. Accepter sans réagir que deux sociétaires MAIF soient traités différemment dans une liquidation DISCRIMINATOIRE douteuse, alors que les situations et les défenseurs sont identiques.; mais, dans son cas la MAIF avait le constructeur sans fondations à défendre contre elle.
11. Classement SANS SUITE en cours de cassation du fait de la ruse du -DESISTEMENT PARTIEL-;
12. DEUX TVA sur une SEULE maison pesant sur un SEUL sociétaire avec en plus une obligation de nouvelles réglementations thermiques, une augmentation des matériaux, la crise de 2008 ... ces préjudices étaient IMPOSSIBLES à ASSUMER par un seul sociétaire qui ne peut pas se relever malgré tous ses efforts ! Payer des loyers pendant 7 ans en double du crédit immobilier !
MALGRE les publicités promettant la confiance, des promesses de contact avec un juriste qui vous réponde et une grande attention pour les sociétaires jamais aucun commentaire ni explications ni respect de la promesse de se retourner vers les procureurs sur cette affaire.
POURQUOI la MAIF a-t-elle totalement soutenu le profond échec de cette affaire qui commençait par deux points positifs (garantie de parfait achèvement et remboursement du crédit) ?
POURQUOI laisse-t-elle sa sociétaire porter seule le poids de son échec et du manque de motivation professionnelle du manager responsable ?
POURQUOI avoir fait obstruction à la parution de la lettre ouverte destinée à une information dans la revue MAIF pour demander si chaque sociétaire était d'accord pour reverser à ma mère 20 centimes pour compenser le vol de toutes ses économies offert à des fraudeurs ?
POURQUOI a-t-elle refusé une demande d'intervention d'une assurance professionnelle relative aux fautes graves d'un de ses managers depuis près d'un an ?
POURQUOI la MAIF n'a-t-elle rien fait pour que cette somme supérieure à 100.000 euros, toujours pas remboursée, ne serve pas uniquement à la construction de la maison au lieu de servir au soutien financier d' vaste une tromperie ?
Je me suis RUINE avec un crédit personnel de 70.000 euros pour tenter de sauver la situation financière de ma mère. Je suis endetté, mais cela n'a pas suffi à redresser le projet et à couvrir les nombreux frais annexes non prévisibles de cette tromperie. J'ai présumé de mes possibilités pour sauver son NOEL 2018. Aujourd'hui je suis dans l'obligation de négocier l'argent que je mettais de côté pour ma retraite.
Trouvez-vous cela normal et est-ce qu'une contribution de 20 centimes par sociétaire aurait été exagérée au regard du préjudice causé par la MAIf qui nuit à l'ensemble des sociétaires, à leur insu, bien entendu, puisqu'elle refuse toute parution de lettre ouverte dans son journal pour les informer des faits et que le dernier de ses soucis est le sociétaire puisqu'elle ne veut plus que des clients. Un abandon total ! Que pensez-vous d'un tel sacrifice de sociétaires pendant 18 ans au bénéfice d'un constructeur véreux qui a réussi grâce à cette indulgence à poursuivre tranquillement son activité douteuse ? Si les instances officielles contactées lui trouvent une solution pour la réception elle n'a plus rien à faire chez eux malgré plus de 50 ans de cotisations.
</t>
  </si>
  <si>
    <t>andregsousa-68204</t>
  </si>
  <si>
    <t>Très satisfait du service client et des garanties
Très satisfait du service client et des garanties</t>
  </si>
  <si>
    <t>30/10/2018</t>
  </si>
  <si>
    <t>olivier-l-105899</t>
  </si>
  <si>
    <t>prix correct, mais pas le meilleur du marché, augmentation régulière et difficultés à joindre le service client par téléphone, mais réactif par mail, je suis globalement satisfait</t>
  </si>
  <si>
    <t>magalie-l-129191</t>
  </si>
  <si>
    <t>Simple et pratique. Prix attractif pour moment, à voir sur le temps.... Toujours mieux que Natixis. 
Le devis se fait rapidement, en quelques minutes c'est fait</t>
  </si>
  <si>
    <t>23/08/2021</t>
  </si>
  <si>
    <t>eric-m-107535</t>
  </si>
  <si>
    <t>je suis satisfait du service
les tarif sont correct a part pour les franchise que je trouve un peu élevé surtout le bris de glace ainsi que pour les dégât non responsable sinon les tarif mensuel sont très intéressant</t>
  </si>
  <si>
    <t>tatiana--99937</t>
  </si>
  <si>
    <t xml:space="preserve">Très mauvaise qualite au niveau des réceptions d apels,on me dit toujours un responsable va vous rapeler, mais c est a moi de rapeler 
Et surtout au niveau du REGLEMENT DE L INDMNISATION ,IL NE REMBOURSE PAS ,ou du moins la moitié,il cherche la petite petite bêtes en demandant des documents inexistants même quand on est en règle, au niveau du contrat.  ALORS FAITE ATTENTION, LISEZ BIEN VOS CONTRATS
Niveau qualité prix très faible 
Vraiment déçu ,car j ai 4 vehicules assures chez eux ,depuis plusieurs années  sans aucun sinistre, et la ou je suis victime d inondation, il ne me rembourse même pas et en plus il gage mon véhicules. </t>
  </si>
  <si>
    <t>10/11/2020</t>
  </si>
  <si>
    <t>v-moreau-138759</t>
  </si>
  <si>
    <t>A l'écoute, c'est suffisamment rare pour être dit, mon problème résolu dans la journée...
       Merci pour vos renseignements et votre patience... ;)</t>
  </si>
  <si>
    <t>nunus-97754</t>
  </si>
  <si>
    <t>Très bonne assurances autos règlement fractionnés comme on veut puis si bris de glace réparation rapide avec artisan compétant payer directement par l'assurance l'olivier 
( sauf franchise ) bien sûr .
Nickel .</t>
  </si>
  <si>
    <t>aurore-47354</t>
  </si>
  <si>
    <t>Je ne suis plus à la MGEN depuis 1an. Malgré les nombreuses demandes et recours. Ils sont toujours connectés au lien noemie...de ce fait je n'ai pas la télétransmission....une honte! Et ils me disent qu'ils ne peuvent rien faire...</t>
  </si>
  <si>
    <t>16/12/2016</t>
  </si>
  <si>
    <t>rabouteau-l-122741</t>
  </si>
  <si>
    <t>Très bon service, site simple d'utilisation. Les offres sont claires et très intéressantes. Bon rapport qualité prix. Je recommanderai vos services avec plaisir.</t>
  </si>
  <si>
    <t>philippe--l-129109</t>
  </si>
  <si>
    <t xml:space="preserve">Je suis satisfait de votre prestation et les prix me conviennent parfaitement  .reponse rapide  et clair dans un bonne esprit. Merci Cordialement Philippe </t>
  </si>
  <si>
    <t>nokia-75406</t>
  </si>
  <si>
    <t>Je suis très satisfaite du service rendu . Très bon renseignements, patience et pertinence avec le client . Je recommande santiane</t>
  </si>
  <si>
    <t>26/04/2019</t>
  </si>
  <si>
    <t>hach-101542</t>
  </si>
  <si>
    <t>Une bonne mutuelle, je l ai souscrite via un courtier onvousassure, qui est a l ecoute, toue est bien expliqué, la procedure de la signature electronique la garantie, ils prennent en charge la résiliation de la mutuelle adverse, rien a rapproché, on peut les joindre par mail et par telephone, pour toute demande je communique avec une gestionnaire qui est a l ecoute et repond a mes demandes sans retard. Bravo</t>
  </si>
  <si>
    <t>corinne-l-127036</t>
  </si>
  <si>
    <t xml:space="preserve">je suis tout a fait  satisfait du site amv 
les prix sont tout a fait correct pour un quad homologué route  
le site est rapide et  simple 
je recommande 
</t>
  </si>
  <si>
    <t>07/08/2021</t>
  </si>
  <si>
    <t>soufiane-64322</t>
  </si>
  <si>
    <t xml:space="preserve">Le service téléphonique est déplorable aucune compréhension, dès heures et des heures au téléphone pour des futilité 
Diminution rapide de mon coefficient cela aurait logiquement dû diminuer mon tarif car sans sinistre depuis 3 ans et je gagne 10 euro par mois en 3 ans sans sinistre 
Une vrai blague !
Service téléphonique commercial en France mais service client à l’etranger ! Honteux l’inverse aurai était plus juste </t>
  </si>
  <si>
    <t>31/05/2018</t>
  </si>
  <si>
    <t>gaby-122375</t>
  </si>
  <si>
    <t>Avant c'était une bonne assurance et des conseillers a votre écoute moi j étais plusieurs années maintenant  je peut vous en parler des options obligatoire comme la prévoyances c est bien pour les nouveaux pas pour les anciens qui ont des bonus 0.,50 et 15 pour la bonne conduite qui on connue les anciens tarifs conducteur , passager, voiture  0,50 et , cette  supplément de bonnes conduite qui ne ai plus maintenues pour le conducteurs maintenant</t>
  </si>
  <si>
    <t>virginie-o-130584</t>
  </si>
  <si>
    <t xml:space="preserve">Je suis satisfaite des services et des contrats proposés par la GMF depuis plusieurs années. Je ne penses pas changer d'assurance grâce aux tarifs préférentiels que l'on me propose </t>
  </si>
  <si>
    <t>kam-110536</t>
  </si>
  <si>
    <t>Très satisfait du prix et du SAV. Réactif et à l'écoute, je recommande fortement pour véhicule de collection, imbattables. Conditions claires et pas d'augmentation.</t>
  </si>
  <si>
    <t>d-djovani-97577</t>
  </si>
  <si>
    <t>Allianz, avec vous de A à Z ......  A : tu souscris, Z : tu paies, au milieu y a rien. 
Il leurs faut 3 mois pour changer un RIB, résilier relève du miracle. 
Il y a des informations différente entre Paris ( siège sociale ) et notre interlocuteur de proximité. Bref a fuir ...</t>
  </si>
  <si>
    <t>18/09/2020</t>
  </si>
  <si>
    <t>delvina-66390</t>
  </si>
  <si>
    <t>Assurée chez Eurofil depuis 7 ans, ils m'ont résilié mon contrat d'assurance auto au 1er sinistre responsable survenu au bout de 7 ans et demi chez eux. Inadmissible !!! Donc attention à ne pas aller chez eux si vous ne voulez pas être résilié au 1er sinistre! Je suis plus que mécontentement et je ferai passer ce message.</t>
  </si>
  <si>
    <t>24/08/2018</t>
  </si>
  <si>
    <t>zooma77-94652</t>
  </si>
  <si>
    <t>Facile pour souscrire par contre impossible à joindre une fois le contrat souscrit. Je me retrouve dans une situation ubuesque. Mon fils vient d'avoir son permis et depuis maintenant 15 jours je n'arrive pas à l'assurer car je n'arrive pas à joindre eAllianz. Je suis contraint de résilier et de partir chez un autre assureur pour pouvoir assurer mon fils...</t>
  </si>
  <si>
    <t>doua-v-133131</t>
  </si>
  <si>
    <t>Les prix me conviennent ils sont selon mes recherches les plus bas du marché. 
On m’a également dit beaucoup de bien de la qualité du service. J’espère être aussi satisfait.</t>
  </si>
  <si>
    <t>tonka56-98550</t>
  </si>
  <si>
    <t>Je ne comprends pas tous ces avis négatifs, depuis plus de 40 ans je suis adhérente à cette mutuelle et jamais je n'ai rencontré de problèmes, que ce soit au niveau des contacts, remboursements ou devis. J'ai voulu voir "ailleurs" quelquefois pour comparer et chaque fois j'ai gardé mon contrat Harmonie Mutuelle, car rapport "qualité/prix" cette mutuelle est au top.</t>
  </si>
  <si>
    <t>glebraud-57731</t>
  </si>
  <si>
    <t>Aprés avoir contacté Eurofil pour un simple changement d'adresse, on m'informe que l'on résilie mon contrat et que je vais recevoir un recommandé. Résilié pour un changement d'adresse sans explication, avec bien sur des conséquences très onéreuses chez l'assureur suivant (la conseillère au téléphone m'avait prétendu le contraire). Je déconseille fortement cet assureur qui se cache derrière les conditions générales de l'Assurance. Et je lis dans les commentaires que je suis loin d'être le seul à avoir connu cette situation avec Eurofil ... Dommage</t>
  </si>
  <si>
    <t>30/09/2017</t>
  </si>
  <si>
    <t>annie-c-114671</t>
  </si>
  <si>
    <t xml:space="preserve">Très compétitive sur le marché de l'assurance. 
Conseiller joignable facilement et de bon conseil.
You drive est une source d'économies non négligeable.
Je recommande </t>
  </si>
  <si>
    <t>24/05/2021</t>
  </si>
  <si>
    <t>slk-104887</t>
  </si>
  <si>
    <t xml:space="preserve">Pour mon véhicule SLK, Le Tarif Direct Assurances est de moitié prix par rapport à la Banque Postale avec une franchise à 0€ pour le bris de glace incluse </t>
  </si>
  <si>
    <t>27/02/2021</t>
  </si>
  <si>
    <t>claire-80115</t>
  </si>
  <si>
    <t>Très bonne mutuelle. Remboursements et notifications rapides.</t>
  </si>
  <si>
    <t>16/10/2019</t>
  </si>
  <si>
    <t>harphang-50462</t>
  </si>
  <si>
    <t xml:space="preserve">Impossible ou presque de résilier : la loi Chatel ne leur est pas applicable </t>
  </si>
  <si>
    <t>19/12/2016</t>
  </si>
  <si>
    <t>evert-13006-60404</t>
  </si>
  <si>
    <t xml:space="preserve">En octobre 2017 j'ai eu une  conseillère SANTIANE qui m'a vendu une mutuelle santé attrayante. Soins de ville + hospitalisation.  mutuelle Malakoff Mdederic. Et avec, vous allez être contente, me dit-elle un "bonus" 'de 150 euros par jour pendant 6 jours en cas d'accident. Je ne reçois pas de mail du contrat elle me dit ça va être fait, ne vous inquiétez pas, je vais vous envoyer un formulaire et vous entrerez votre code secret pour pouvoir signer, vous pourrez de toute façon vous rétracter si vous changez d'avis.... Confiante, je signe électroniquement sans avoir de détail du contrat . i ! Je me suis retrouvée avec une mutuelle assurant uniquement l'hospitalisation et "le fameux bonus" qui est en fait une assurance Prévoyance EPSIL (j'en ai déjà une chez mon assureur.) Après une vingtaine de coups de fils et 19 mails j'ai obtenu enfin la rétractation de la mutuelle Malakoff confirmé par mail et par téléphone ce jour, par Néoliane. Qui me dit que par contre, pour la prévoyance je dois appeler SANTIANE. Je suis prélevée depuis le 05 janvier de cette prévention accident que je n'ai jamais voulue et qui m'a été vendue frauduleusement. J'ai bien sûr fait opposition.
J'ai mis ce message sur Néoliane et je le remets sur SANTIANE car je pense que c'est le même courtier, et que l'un me dit d'appeler l'autre. 
Ce jour 23ème appel sans réponse  cohérente..
</t>
  </si>
  <si>
    <t>12/01/2018</t>
  </si>
  <si>
    <t>abo-80174</t>
  </si>
  <si>
    <t>Assuré depuis plus de 25 ans, aucune considération du client, pas de support téléphonique toujours en attente de remboursement depuis le mois de mars (6 mois) malgré une relance dans les bureaux.</t>
  </si>
  <si>
    <t>sofiane-b-121999</t>
  </si>
  <si>
    <t xml:space="preserve">Bonjour je suis monsieur bensadok sofiane je 9suis satisfait du service l Olivier assurance 5/5 je vais transmettre le service à mes collègues de travaille </t>
  </si>
  <si>
    <t>fabrice-90205</t>
  </si>
  <si>
    <t>Malgré une longue fidélité de plus de 15 ans et aucun sinistre habitation déclaré, nous avons changé radicalement d'avis sur cette assurance suite à un récent désordre apparu sur notre piscine, conséquence indirecte d'inondations reconnues en catastrophes naturelles sur notre commune par arrêté publié au JO. Ce désordre est apparu au niveau d'une ancienne réparation qui n'a pas résisté aux montées d'eau induites par ces fortes pluies. La MAIF a mandaté un expert qui n'a pas cherché à analyser la qualité de cette ancienne réparation en présence de l'entreprise qui avait effectué ces travaux (pas d'appel en responsabilité dès lors de cette entreprise), et a noté que l'arrêté de catastrophe ne portait que sur le caractère d'inondation et non les conséquences induites de montée des pressions hydrostatiques.
Nous pensions comme tenu de notre bonne situation et du faible montant en jeu que la MAIF prendrait rapidement en charge ce sinistre classique que nous subissons directement. Mais il n'y a pas eu d'écoute ni d'approche commerciale. Notre contact s'est retranché derrière une position dure de son management. Pris en "sandwich" sur un dommage pour lequel nous n'avons aucune responsabilité, nous prenons aujourd'hui la décision de changer d'assureur car nous avons perdu toute confiance dans leur relation client sur la gestion de sinistres.</t>
  </si>
  <si>
    <t>04/06/2020</t>
  </si>
  <si>
    <t>gabrielle-d-107544</t>
  </si>
  <si>
    <t xml:space="preserve">je suis satisfait du service. L'Accueil et le conseil durant la proposition du devis a été très professionnel.
prix compétitifs et accessibles aux jeunes étudiants
</t>
  </si>
  <si>
    <t>ivanka25-78945</t>
  </si>
  <si>
    <t>Suite à un accident à l'étranger avec un chevreuil donc non responsable 
Je me retrouve en contact avec l'assistance étranger où le siège social doit être situé en Allemagne avec un personnel incompétent mais au-delà de tout ça irrespectueux grossier et par-dessus tout arrogant alors pour ma part ma mésaventure me servira de leçon</t>
  </si>
  <si>
    <t>04/09/2019</t>
  </si>
  <si>
    <t>ines-d-133187</t>
  </si>
  <si>
    <t xml:space="preserve">Très bien merci c’était rapide et j’ai eu de la chance d’avoir eu votre assurance. J’espère que je ne serais pas déçu. En vous remerciant et vous souhaitant un bon courage </t>
  </si>
  <si>
    <t>baby244-70519</t>
  </si>
  <si>
    <t>Une fois le contrat signé, votre conseillère est intouchable, plus personne en ligne malgré un appel tous les jours, et aucune réponse aux mails !</t>
  </si>
  <si>
    <t>23/01/2019</t>
  </si>
  <si>
    <t>gm-62714</t>
  </si>
  <si>
    <t>Très difficile de récupérer son argent : tout est fait pour qu'on ne puisse pas contacter le bon interlocuteur et tout est prétexte à retarder le paiement. J'étais bénéficiaire d'un contrat assurance-vie. Récupérer cet argent a été long et fastidieux. De plus, suite au procès de détournement de fonds par les anciens dirigeants, l'assurée décédée s'était portée partie civile. L'association AFER devait récupérer cet argent auprès de ces dirigeants condamnés. Elle a récupéré une partie de cet argent détourné et ne me le reverse pas. Quand on appelle le Siège (0140822424), on prétexte que seule l'association AFER peut nous répondre et qu'elle n'est joignable que par courrier postal (!). 
Alors que l'Association AFER et le GIE AFER ont la même adresse de domiciliation et le même président ! Ils nous prennent pour des pigeons.
Evidemment je ne reçois aucune réponse à mes courriers de demande de paiement...
Fuyez l'AFER !</t>
  </si>
  <si>
    <t>27/03/2018</t>
  </si>
  <si>
    <t>aurelie13520-102756</t>
  </si>
  <si>
    <t xml:space="preserve">J'ai été victime d'un accident de voiture le 18/07/2020. Un véhicule est arrivé face à moi, sur ma voie de circulation. Bilan : véhicule HS, poignet cassé et fracture de la mâchoire pour mon fils de 17 ans. 
Après avoir bataillé des mois avec mon assurance AXA pour qu'ils prennent en charge les frais de gardiennage, et malgré le fait qu'ils aient reçu le PV gendarmerie et dépôt de plainte, j'attends toujours la confirmation des responsabilités de chacun et donc le remboursement de mon véhicule. 
Le service client étant peu professionnel. En effet, au départ il m'a été confirmé que le tiers n'était pas assuré, que le fond de garantie prendrait en charge l'affaire. 
Deux mois plus tard, changement : le tiers était bien assuré ! Conclusion on repart à zéro. A chaque contact avec le service sinistre, je dois raconter toute l'histoire à nouveau. 
Au niveau corporel, le contact était mieux au départ. Une expertise a eu lieu en décembre. La proposition d'indemnisation est faible vu les conséquences physiques, surtout pour mon fils, qui doit garder à vie une plaque sur sa mâchoire et a des douleurs constantes. 
Nous avions sollicité un médecin conseil pour nous assister pour l'expertise. Celui-ci nous a fourni une jurisprudence de mai 2019 indiquant que les assurances doivent régler INTÉGRALEMENT les frais des médecins conseil à l'assuré. Mais Axa me répond qu'ils ne règlent qu'un forfait de 790 euros (les factures pour mon fils et moi étaient d'un total de 1820eur). Je ne suis pas satisfaite du suivi client. 
Il y a une semaine que j'ai demandé le détail du chiffrage de l'indemnisation. Pas de retour !
Comment se fait il que depuis juillet 2020, le conducteur de la partie adverse n'a toujours pas été entendu, voir, retrouvé !
Mon véhicule ne m'a toujours pas été remboursé : j'ai dû avancer des fonds pour racheter une voiture.
J'ai toujours réglé mes cotisations. Je ne suis pas en tort (confirmation orale du conseillé suite à réception du PV Gendarmerie) et j'attends toujours ! 
Un client qui n'est pas responsable de ce qui lui arrive devrait être rassuré épaulé et correctement indemnisé par son assurance (c'est  le principe non ?)
Etre assuré oui, mais il ne doit rien vous arriver !!!
</t>
  </si>
  <si>
    <t>18/01/2021</t>
  </si>
  <si>
    <t>christelle-56308</t>
  </si>
  <si>
    <t>Augmentation de plus de 25% de ma prime d'assurance auto, qui passe ainsi de 407 euros à la souscription à 521 euros pour la deuxième année à venir.
Je n'ai pourtant eu aucun accident ni aucun sinistre depuis 7 ans.
Sur quelle base , sur quel indice vous référez vous pour justifier d'une telle augmentation ????
Je croyais que l'olivier assurance gelait ses tarifs en 2017 et n'augmentait que faiblement ses anciens clients justement pour les fidéliser..
Merci de m'envoyer le texte ou l' indice pour justifier cette augmentation hallucinante de plus de 25%..</t>
  </si>
  <si>
    <t>26/07/2017</t>
  </si>
  <si>
    <t>alfetta-57164</t>
  </si>
  <si>
    <t>Tout va bien jusqu'à ce qu'on critique une fausse promesse
Harcèlement téléphonique sans tenir compte de si on est occupé à travailler ou non, puis finalement carrément l'interdiction de souscription pour incompatibilité d'humeur. Service réclamation qui rabâche la même chose en répondant à côté, l'attitude inadmissible d'un seul agent passe à la trappe, ça ne dérange personne l'exclusion ou le harcèlement...
Donc résiliation à date d'anniversaire. Pour l'assurément humain on repassera...</t>
  </si>
  <si>
    <t>fred-79639</t>
  </si>
  <si>
    <t xml:space="preserve">C'est une bonne assurance qui m'a permis de dépanner ma voiture rapidement lors d'une panne. </t>
  </si>
  <si>
    <t>apj-53545</t>
  </si>
  <si>
    <t xml:space="preserve">Très mauvais service, suite au décès de ma mère, nous avons été contacté par le service succession qui nous demande le contact de notre notaire, cela fais plusieurs semaine que nous n'avons plus de leurs nouvelles et que le service nous balade de service en service plus de 35 minutes au téléphone avec des interlocuteurs qui se contredisent a chaque fois, plus de 4 numéro de téléphone différents, pour nous dirent qu'ils ne peuvent rien nous dire. Notre situation est bloqué et ils n'ont aucune considération pour leurs défunt client fidèle.
Il nous on même répondu qu'on pouvez prendre un avocat que ça ne changerait rien pour eux, cela montre un certain gros groupe avec les reins solides...
</t>
  </si>
  <si>
    <t>24/03/2017</t>
  </si>
  <si>
    <t>touret-l-107097</t>
  </si>
  <si>
    <t xml:space="preserve">Je suis satisfait du service.
Les tarifs me conviennent.
Les formalités sont simples, le site est pratique et convivial.
Cordialement,
Louis Touret.  </t>
  </si>
  <si>
    <t>an08-105395</t>
  </si>
  <si>
    <t>Avant satisfait mais suite import véhicule de GB francisation en 4 mois mais résilié par le siège car pas assez rapide
Ont appliqué les 2 mois sans tenir compte des informations transmises en local ni du fait que 3 autres véhicules assurés chez eux</t>
  </si>
  <si>
    <t>04/03/2021</t>
  </si>
  <si>
    <t>philippe-b-114719</t>
  </si>
  <si>
    <t>Gestion de clientèle absurde et visant uniquement a faire de l'argent et non pas a aider ses clients dans un sinistre. Vous cherchez systématiquement à maximiser le malus de vos clients pour faire monter les primes.</t>
  </si>
  <si>
    <t>melimelo-97960</t>
  </si>
  <si>
    <t>Passez votre chemin!!! Aucune indemnisation en cas de cambriolage... les bijoux ne sont pas pris en compte dans le montant de l'indemnisation... mais bien sûr c'est bien connu que les cambrioleurs s'intéressent à la vaisselle et non à l'or! Franchement ça ne sert à rien de payer tous les mois une assurance pour ne rien avoir en cas de sinistre. Vraiment allez chez un autre assureur.</t>
  </si>
  <si>
    <t>jean-edouard-d-130640</t>
  </si>
  <si>
    <t>Je suis satisfait du service conforme à mes attentes
Le service est très rapide et permet d'avoir une offre compétitive et rapidement
merci zen up pour le service</t>
  </si>
  <si>
    <t>tontonbubu-54321</t>
  </si>
  <si>
    <t>lorsque je vois les commentaires "négatifs" sur pacifica , je rigole !!!!! comment les assurés font ils pour etre aussi stupides ????? pacifica est une filiale  du credit agricole ( or le credit agricole aux dernieres nouvelles est une banque !!!!) une banque n'est pas un assureur et inversement !!! Iriez vous acheter votre pain chez le boucher ???? y a t'il un distributeur de billets a la MACIF ( ou a la MAAF ?) . A tout vouloir , on detruit tout !</t>
  </si>
  <si>
    <t>15/06/2019</t>
  </si>
  <si>
    <t>ludivine-m-128151</t>
  </si>
  <si>
    <t>Je suis satisfait des services
 les prix me conviennent
 je recommande
Simple rapide efficace.
Paiement en ligne
Je nai plus rien à rajouter sachant .</t>
  </si>
  <si>
    <t>charles-57829</t>
  </si>
  <si>
    <t xml:space="preserve">Allianz protection juridique d'une incompétence déconcertante.
Nous avons deux contrats PJ chez Allianz , un à mon nom l'autre au nom de ma conjointe.
Nous sommes mis en cause par un copropriétaire , le dossier de ma conjointe a été pris en charge après 3 refus mais le miens qui s'avère être exactement le même  avec les même documents fournis , lui NON.
Ils sont magiques chez allianz </t>
  </si>
  <si>
    <t>imechan-122474</t>
  </si>
  <si>
    <t>Les remboursements de soins demander en octobre et que ne sont remboursés que en mai de l'année suivante. Et j'essaie de résilier depuis janvier et ma demandé vient tout juste d'être reçus en juillet et il y a un mois de carence, résiliation demander suite à une mutuelle d'entreprise donc j'ai payer 640€ pour rien sachant que tout les soins depuis janvier n'ont pas été remboursé. Ils ne cessent de me demander des attestations que je fournis, c'est où des refus ou pas de réponse. Mutuelle à fuir, chaque conseiller y va de sa petite excuse et vous balader à chaque appel.</t>
  </si>
  <si>
    <t>languille-t-113825</t>
  </si>
  <si>
    <t>Traitement du dossier et validation très rapide prix attractifs offre diversifiée pour s'adapter à tout les besoins très bon service je recommande vivement</t>
  </si>
  <si>
    <t>rhafnagud-116088</t>
  </si>
  <si>
    <t>MAIF se DIT assureur MILITANT  enfin c'est la pub Pffou ! C'est de la foutaise car il n'ont pas de scrupules à vous virer si vous avez le malheur de déclarer un petit sinistre de trop ! vous savez les "gens" qui s'en triple fiche qui donne des coups de portières qui casse le pare-chocs  sur les parkings qui partent sans laisser un numéro de téléphone. 
Eh bien les assureurs militants ils vous virent eh oui à bon entendeur salut !</t>
  </si>
  <si>
    <t>05/06/2021</t>
  </si>
  <si>
    <t>miralof-96864</t>
  </si>
  <si>
    <t>Accident jugée responsable , je renvoi de nouveau document .
Donc nouveau constat avec le tiers ( que j ai mis 1 mois est demi a faire ) 
Il me dise qu il on bien reçu les document mais qu il faut rappeler 1 mois après car ces les vacances .
Je rappel aujourd’hui il me dise qu il on perdu le document .
Donc a nouveau refaire le documents 
Sa fait plus d un ans que le dossier est en cours donc j ai du réparer a mes frai est prendre le malus .
Par la même occasion je recoi un mail en me disant que vue que je suis actuellement dans le malus du a l accident il me résilie l assurance ....
Toujours payer a tant jamais eu de probléme rien du tout .
Dommage que 0 étoile n existe pas ............</t>
  </si>
  <si>
    <t>31/08/2020</t>
  </si>
  <si>
    <t>joanna-60591</t>
  </si>
  <si>
    <t>Je trouve que c'est une bonne mutuelle mais avec des coûts assez élevés</t>
  </si>
  <si>
    <t>Intériale</t>
  </si>
  <si>
    <t>18/01/2018</t>
  </si>
  <si>
    <t>haultcoeur-m-129305</t>
  </si>
  <si>
    <t xml:space="preserve">Très satisfait première Assurance de mon véhicule prix raisonnable je recommande cet assurance merci l'olivier assurance c'est le top du top n'hésitez pas </t>
  </si>
  <si>
    <t>24/08/2021</t>
  </si>
  <si>
    <t>ahmed-brahim-r-117638</t>
  </si>
  <si>
    <t xml:space="preserve">Je suis satisfaite du tarif par contre le service client très très nul et zéro écoute du client malgré plusieurs relances ! J’avais l’impression lors de mon dernier apl d’avoir déranger cette personne pour des renseignements sur mon contrat </t>
  </si>
  <si>
    <t>19/06/2021</t>
  </si>
  <si>
    <t>fred-77209</t>
  </si>
  <si>
    <t>J'ai souscrit une assurances par tél. Je pense mettre fait piégé, je voudrais l annulée, il y a t il une personne pour m'aider car je n arrive pas a les joindre merci</t>
  </si>
  <si>
    <t>28/06/2019</t>
  </si>
  <si>
    <t>cremi77-81736</t>
  </si>
  <si>
    <t xml:space="preserve">Sécheresse pas pris en charge malgré arrêté préfectoral en 2019:" L'arrêté Catastrophe Naturelle auquel vous faites référence couvre la période du 01/07/2018 au 31/12/2018.
Or, après étude de votre dossier il s'avère que vos dommages sont antérieurs, les fissures seraient
apparues en 2015.
En effet, vous avez fait une déclaration en 2017 concernant des fissures sur votre mur de clôture
et votre maison en lien avec la sécheresse de l'année 2015.
S'agissant de désordres identiques, la sécheresse de l'année 2018 ne peut être considérée comme
la cause déterminante.
Il nous est donc impossible de donner une suite favorable à votre demande."
Merci qui ? En 2017 la préfecture n'a pas accepté la sécheresse malgré les restrictions d'eau l'été, je n'ai pas les moyens de reconstruire tous les 2 ans. Si j'avais su j'aurais résilie il y a 2 ans., je suis écœuré.
En recherche active d'autre assurance après 10 ans chez eux .
</t>
  </si>
  <si>
    <t>09/12/2019</t>
  </si>
  <si>
    <t>aramis-65513</t>
  </si>
  <si>
    <t xml:space="preserve">A fuir : Aucun conseil, aucune explication même sur les produits ALLIANZ même en patientant 6 mois. La seule réponse obtenue de notre soit-disant conseiller "Il faut que je me renseigne" </t>
  </si>
  <si>
    <t>16/07/2018</t>
  </si>
  <si>
    <t>nicolas06-92038</t>
  </si>
  <si>
    <t>Tarifs intéressants réponse rapide plusieurs options a choisir, le choix est impeccable  !! Le devis est clair par rapport à d’autre compagnies ! Merci.</t>
  </si>
  <si>
    <t>24/06/2020</t>
  </si>
  <si>
    <t>aurelya-77802</t>
  </si>
  <si>
    <t xml:space="preserve">FUYEZ FUYEZ 
Aucune communication entre les agents CA et l assurance...
Refus d appliquer le bon bonus.
Au lieu de rembourser, ils vous prélèvent !!!
Heureusement que j ai jamais eu de sinistre autre qu un bris de glace, parceque j ai très peur de leur incompétence. </t>
  </si>
  <si>
    <t>21/07/2019</t>
  </si>
  <si>
    <t>sebastien-d-124325</t>
  </si>
  <si>
    <t>Un site clair, rapide et efficace. Les prix sont bons, avec plein d'options et on est assuré en quelques minutes. Je recommande cette assurance à laquelle j'ai souscrit plusieurs contrats au fil des ans.</t>
  </si>
  <si>
    <t>jerome-60566</t>
  </si>
  <si>
    <t>Ayant changé il y a un an de voiture je m attaque au prix de mon assurance mensuelle et décide de changer étant assimilé fonctionnaire ! Après un vol de 4 roues et du matériel  je me rends compte que tout n est pas prit en charge ce qui été le cas avec mon ancienne assurance et j avais pourtant demandé que le contrat soit le même !!! Alors le prix pouvait effectivement être que moins chere ! Pourtant j ai souscrit au tout risque confort ! Je pensais donc que tout serait prit en charge et là je découvre que notre poussette et notre cosy ne seront pas remboursé !!! Lors des réparations on me prête un véhicule car le mien a été remorqué avec des frais à ma charge !!! Je récupère le véhicule de prêt et encore une fois il y a une franchise de 850€ si on a le moindre soucis et bien sûre si on veut éviter cela il faut payer 20€ par jour !!!</t>
  </si>
  <si>
    <t>16/01/2018</t>
  </si>
  <si>
    <t>by-71349</t>
  </si>
  <si>
    <t>Cette mutuelle nous a été imposé par l'employeur de mon épouse vers 2010. On a reçu à la mi-décembre 2018 un courrier de résiliation RETROACTIF à la date du 01/10/2018 car soi disant une association à Nevers nommés "A DOMICILE" n'existait plus et donc ses anciens salariés ne pouvaient plus être affilié.... Je suis tombé  au téléphone (plate-forme puis agence de Nevers) sur des gens obtus qui n'ont jamais écouté lorsque je leur est répété que nous étions dans le Loiret et que mon épouse n'a JAMAIS travaillé pour cette association...résultat nouveau dossier rempli et renvoyé à mi décembre en désespoir de cause puis passage à notre agence de Montargis et au jour d'aujourd'hui toujours pas de mutuelle, aucune nouvelle et aucune excuse de leur part..... A FUIR</t>
  </si>
  <si>
    <t>15/02/2019</t>
  </si>
  <si>
    <t>katence-68241</t>
  </si>
  <si>
    <t>Je suis assurée pour le bris de glace, je fais remplacer mon pare brise suite à un choc et là surprise pas pris en charge. Soi disant que ce n'est pas compris dans mon contrat. Alors pour j'ai une franchise à payer si ce n'est pas dans mon contrat?</t>
  </si>
  <si>
    <t>31/10/2018</t>
  </si>
  <si>
    <t>francis-54828</t>
  </si>
  <si>
    <t>Je commence à regretter d'avoir souscrire , en début d'année , auprès de cette assurance par le biais d'un courtier , bien sur que l'on ne peux plus joindre . Aucune réponse aux questions posées . Les remboursements ne suivent pas .</t>
  </si>
  <si>
    <t>21/01/2021</t>
  </si>
  <si>
    <t>wilfried-69835</t>
  </si>
  <si>
    <t>Résiliation de mutuelle santé impossible ! Une mauvaise foi évidente, ne souscrivez pas chez eux ! Après avoir envoyé une lettre de résiliation en novembre 2016 à laquelle je n ai pas eu de réponse par courrier postal (soit disant un message vocal). Ils ont continué à me prélever 140 euros par mois depuis 1 an en prétextant que ma lettre de demande de résiliation netait pas correcte alors que je lavais écrite en suivant leurs propres conseils !!! à suivre, je vous tiendrai au courant.</t>
  </si>
  <si>
    <t>03/01/2019</t>
  </si>
  <si>
    <t>touati-128547</t>
  </si>
  <si>
    <t>Bonjour; 
Je viens d'adhérer à Santiane, pour le moment je suis très satisfaite , il y a rien à dire au niveau service clientèle, d'ailleurs je viens d'avoir Nesrine au téléphone je la remercie énormément pour son bon accueil, elle a répondu à toutes mes préoccupations et mes questions, elle m'a bien accompagnée jusqu'au bout de ma démarche et a répondu à toutes mes question alors je la remercie et lui souhaite une bonne continuation.
Cordialement Mme TOUATI</t>
  </si>
  <si>
    <t>rikou38-56241</t>
  </si>
  <si>
    <t xml:space="preserve">Depuis la souscription mon INSATISFACTION n'a cesse de croitre . Mais ma dernière expérience m'a complétement dégoûté de cette assurance . 
En effet je me suis vu refuser un remboursement car certaines personnes de cette assurance ont jugé que l’acte vétérinaire ( retrait d'un testicule coincé dans l'abdomen et pouvant dégénérer en cancer ) était un acte de " confort" 
Ils n'ont pas compris la différence entre préventif et confort ....! 
Mais le pire est que  le conseiller relation clientèle m'a dit que si c’était une tumeur qui était présente, là le remboursement pouvait être fait  .....!   </t>
  </si>
  <si>
    <t>25/07/2017</t>
  </si>
  <si>
    <t>patvin-93147</t>
  </si>
  <si>
    <t xml:space="preserve">Je viens de réaliser un rachat urgent d'une assurance vie, rachat demandé par mail à mon "conseiller" le 9 mars, afin d'éviter ce que je craignais, une chute vertigineuse des placements ALLIANZ;
Impossible d'aller sur leur site où en principe tout est possible et mon bon conseiller a dû envoyé mon mail et ma demande dans la sacoche diplomatique de la diligence qui passait pas loin: résultat 4 jours de perdu;
Après de multiples appels tél + mails y compris au PDG, Jacques RICHIER, rien n' y a fait, je ne suis tombé que sur des interlocuteurs et trices qui avaient le QI d'une planche à voile;
Le centre de gestion de Strasbourg m'a communiqué de fausses infos sur la valeur et la date effective du rachat (bref, tout faux sur toute la ligne, pas un pinpin pour rattraper l'autre), un vrai parcours du combattant pour récupérer son pognon.
Tout ces gens cravattés, responsables de leur neurone et directeurs de leur caleçon se sont tellement hâter lentement qu'il m'ont fait perdre pas mal d'argent.
Je suis en procès avec eux et peut-être que le pot de terre ..... !!!
Je résume :
1 _ Mauvais conseiller,
2 _ Mauvais placements
3 _ Pas de suivi, tout le monde dort, et ils ont dû    faire une sacrée cure de sommeil en mars, avril et mai
4 _ Mauvaise foi de toute la tribu ALLIANZ
5 _ Incompétence totale caractérisée de tous ces planqués derrières leurs écrans qui ont un très bon salaire issu des placements de personnes qui ont bossé toute leur vie dans un vrai boulot où on n'utilise pas des touches de clavier en répondant : c'est pas possible, voyez nos conditions ou chépâ
Pour moi ALLIANZ = fiasco total 
Je n'espère même pas que le "télétravail" dû à la covid permette au grand patron, s'il y en a un, de réaliser qu'il y a des tas d'employés inutiles et nuisibles dont il pourrait se séparer car il est probablement à mettre dans le même sac;
Que tous ces gens là sachent que s'ils n'ont plus de clients, ils n'existent plus.
Je leur mets bien sûr la bulle, zéro pointé.
</t>
  </si>
  <si>
    <t>07/07/2020</t>
  </si>
  <si>
    <t>mitoub-100788</t>
  </si>
  <si>
    <t xml:space="preserve">Si vous n’êtes pas dans la fonction publique, passez votre chemin !
En effet, vos transmissions de devis restent en attente le plus longtemps possible ...
Exemple : devis dépassement d’honoraire anesthésiste transmis le 24/11 pour une hospitalisation le 30/11. Aucune réponse le 30/11 : délai trop court (dixit) !
4 appels pour obtenir une réponse par mail et toujours rien !
De toute façon cotisations beaucoup trop chères pour des prestations minimes !
En fait, vos cotisation servent à compenser les cotisations des adhérents fonction publique !
De plus, les intervenants au téléphone sont très peu aimables et compréhensifs !
C’est bien à l’image de la fonction publique....
</t>
  </si>
  <si>
    <t>30/11/2020</t>
  </si>
  <si>
    <t>florence--123617</t>
  </si>
  <si>
    <t xml:space="preserve">Vraiment très très en colère contre cette assurance . Dégât des eaux chez moi , l’eau est couper depuis plus de trois semaines mais à chaque fois on me demande de patientez pour m’envoyer une personne pour la réparation.... honteux !!! </t>
  </si>
  <si>
    <t>16/07/2021</t>
  </si>
  <si>
    <t>vivien-c-106951</t>
  </si>
  <si>
    <t xml:space="preserve">Qualité/prix irréprochable rien à redire à part que le site et les outils de communications sont à travailler mais franchement très satisfait dans l'ensemble.
</t>
  </si>
  <si>
    <t>17/03/2021</t>
  </si>
  <si>
    <t>nicolas-j-114654</t>
  </si>
  <si>
    <t>bien 
un peu bizarre la saisie des coordonnées bancaires
et on a un doute si on ne veut pas avoir un double prélèvement  car la demande des coordonnées iban et le paiement par carte bancaire</t>
  </si>
  <si>
    <t>ferrara-m-104243</t>
  </si>
  <si>
    <t xml:space="preserve">Satisfait, rapide et pas cher... Dommage le contrat commencera 8 mois après la date escomptée...
la conseillère est au top !! je recommande néanmoins </t>
  </si>
  <si>
    <t>renard-a-134432</t>
  </si>
  <si>
    <t xml:space="preserve">Bien bonne assurance je suis satisfait de l accueil téléphonique ainsi que du contrat et de la rapidité avec la quelle j ai reçu  mon contrat d assurance </t>
  </si>
  <si>
    <t>bouvier-y-107482</t>
  </si>
  <si>
    <t xml:space="preserve">Une erreur c'est produit lors de mon Transfer d'agence (LOI HAMON) qui pose un réel problème, cela met ma sécurité en suspend... des démarches a faire en plus qui est une perte de temps et d'énergie. Un problème qui financièrement est compliqué car je cumule deux assurances    </t>
  </si>
  <si>
    <t>nr-138230</t>
  </si>
  <si>
    <t xml:space="preserve">Service sinistre injoignable le week-end. Impossible de joindre un operateur aujourd'hui lundi non plus, malgré 7 appels. Aucune possibilité non plus par formulaire internet. Pourtant un service 7j/7 et 24h/24 est annoncé sur  les supports promotionnels! </t>
  </si>
  <si>
    <t>chabanne-f-111266</t>
  </si>
  <si>
    <t xml:space="preserve">Je suis satisfait du service et j’apprécie d'avoir des interlocuteurs qui comprennent et parle parfaitement le français. Je tenais aussi à souligner l’empathie de vos opérateurs.   </t>
  </si>
  <si>
    <t>guigui30190-137839</t>
  </si>
  <si>
    <t>Assurance à fuir absolument!!!
Passez votre chemin!
Propriétaire d une maison, je rentre du travail et trouve une fissure sur une vitre d un chassis fixe sur toute la longueur.
La fissure se situe uniquement sur la vitre extérieure d une menuiserie aluminium double vitrage haut de gamme posée par des professionnels.
Mes menuiseries ont été posées en Mars 2021 et nous sommes au Mois d octobre 2021...
La conseillere au telephone suppose un défaut...menuiserie montée depuis 7 mois...et une 15aines de menuiseries dans la maison 0 défauts...
Elle me parle de choc thermique...on vie dans le sud...posées au mois de mars...et on n est qu en octobre...donc les températures en ce moment sont aux alentours des 20° en moyennes et dépassent les 40° au soleil l été.
J'ose espérer que les menuiseries d aujourd hui supportent des écarts de temperatures...
J appelle biensur mon menuisier qui réfute la malfaçon car elle serait apparue immédiatement ou dans les 2 mois qui suivent...ou au moment ou le soleil de l été rayonne dessus...
Bref tous les arguments de la conseillere balayés...Etant de bonne foi nous demandons donc le passage d un expert...
Mais non...
De plus ces derniers temps la mairie de notre commune fait circuler des informations par mail sur des tentatives de cambriolages.
Donc on attend de voir leurs conclusions...en espérant que la LOGIQUE et la raison l emportent...
Sinon nous irons voir ailleurs.
Pour ceux qui se pose la question...macif ou non...n h ésitez pas...passez votre chemin.
Je ne parle que d un brise de glace...donc je n ose meme pas imaginer si cela avait été plus grave...
Suivant l issue je remercierai Mr Hamon pour sa loi qui permet a tout un chacun de résilier son contrat d assurance.
A bon entendeur....</t>
  </si>
  <si>
    <t>20/10/2021</t>
  </si>
  <si>
    <t>lots-j-138574</t>
  </si>
  <si>
    <t>Je suis satisfait du service client , il y a une bonne communication et c'est très clair et précis. C'est la seule assurance qui accepte les jeunes conducteurs avec moins de 3 ans de permis et ce avec une voiture un petit peu plus puissante qu'une voiture basique.</t>
  </si>
  <si>
    <t>29/10/2021</t>
  </si>
  <si>
    <t>oktober-80334</t>
  </si>
  <si>
    <t>Je conseille à toutes personnes censées de ne surtout rien souscrire chez eux car le parcours du combattant vous attend en cas de décès et c'est même pas sur de pouvoir recevoir le capital.Je n'ai jamais vu une compagnie d'assurance faire cela, c'est pire que scandaleux, il faut faire fermer cette compagnie et alerter les autorités de ces comportements ignobles, je suis choquée que cela existe encore de nos jours</t>
  </si>
  <si>
    <t>23/10/2019</t>
  </si>
  <si>
    <t>louton-d-112459</t>
  </si>
  <si>
    <t>Je suis satisfait de la rapidité et de la gestion de mon contrat, simple efficace parfait pour moi et ma situation ! Je recommande cette assurance ! Merci</t>
  </si>
  <si>
    <t>03/05/2021</t>
  </si>
  <si>
    <t>mailaf-101608</t>
  </si>
  <si>
    <t>Dossier d'inscription présenté complet. Acceptation par eux, cotisation encaissée + frais de dossier en sus ..., carte verte reçue, donc dossier à jour.
 Après 3 jours d'assurance, me prévienne qu'il mette fin à la garantie, 
Motif invoqué : Vous n'avez toujours pas fourni la totalité des éléments indispensables à l'établissement de votre police définitive...?
En fait  ils ne trouvent pas la puissance administrative de mon véhicule dans leur base de données...! Ils me l'ont écrit.
Me rembourse, mais au passage, me retiennent les jours assurés et les frais de dossier, alors que je ne suis aucunement responsable de cette clôture . De ce fait je me retrouve avec le véhicule sans assurance ... Sympa, je n'ose pas envisager un vol ou incendie à ce moment, pour une voiture neuve !
Ne réponde pas à ma réclamation de remboursement bien sûr.
Assurance à fuir.</t>
  </si>
  <si>
    <t>domingo-l-138937</t>
  </si>
  <si>
    <t xml:space="preserve">Satisfaite du service , prix très attractif et formule complète merci l’Olivier assurance je recommande à tous mes proches d’y aller sans aucune hésitation. </t>
  </si>
  <si>
    <t>04/11/2021</t>
  </si>
  <si>
    <t>cjbusiness-107012</t>
  </si>
  <si>
    <t>Mon profil : 50% bonus. Tous mes points. Jamais d'accident en tort. Je tente un changement d'assureur en faveur d' AVIVA EUROFIL suite à un devis attractif.
1ère étape : débit de 100 euros par CB obligatoire bon ok admettons.
2ème étape une fois la 1ère effectuée : obligation de mettre un prélèvement SEPA en place. Evidement rien ne l'indique en amont. Bon re ok re admettons.
3ème étape : produire les pièces justificatives demandées à savoir : un historique conducteur, un certificat d'immatriculation et un historique voiture. Aucun souci pour les deux premiers documents. Mais pas d'historique voiture (véhicule acquis d'occasion). 
Je tente la hotline :sans surprise, c'est un répondeur qui tourne en boucle. J'ai attendu 3 fois 1/2 heure sans avoir jamais personne au bout du compte. 
J'adresse un courrier via le site pour demander d'être recontacté : Je reçois un recommandé 6 jours plus tard m'informant que je ne suis plus assuré depuis une bonne semaine (!)...
Merci de m'avoir laissé rouler quelques jours sans assurance... Des champions. Bien sûr 100 euros de perdus. Aucun contact possible. Du haut niveau...</t>
  </si>
  <si>
    <t>tony-c-122405</t>
  </si>
  <si>
    <t xml:space="preserve">Je suis satisfait du service, prestations et offres convenable. 
Le prix reste légèrement un peu élevé,  mais dans l'ensemble ça correspond à mes attentes. </t>
  </si>
  <si>
    <t>robert-55605</t>
  </si>
  <si>
    <t xml:space="preserve">assureur lamentable, cela fait plus de 4 mois que j'ai un litige avec mon voisin sa haie déborde chez moi et j'ai des soucis pour rentrer et surtout mon camping car, la protection jurique de cette compagnie est nulle, il ne font rien, l'agence me raconte du baratin, depuis deux semaines je relance mais pas de réponse, ou si je ne suis pas satisfait de prendre un avocat à ma charge, et éventuellement de voir une autre compagnie, je suis client 50 de bonus(sans sinistre depuis 40 ans, je paie  mes cotisations, mais ce n'est pas leurs problèmes, le responsable ma fait comprendre que je suis un emmerdeur, si j'avais un gros sinistre j'ai très peur, par conséquent comme je n'est aucun problème, bonus maxi, règlement ok, je contacte une autre Sté.  un conseil évitez GROUPAMA, </t>
  </si>
  <si>
    <t>23/06/2017</t>
  </si>
  <si>
    <t>pb9169-65546</t>
  </si>
  <si>
    <t>Assurance à fuir
La GMF a résiliée mon assurance auto pour 3 sinistres non responsable en 2 ans, un bris de glace alors que je suis en bonus. Le conseiller me proposait un contrat JOKER: 400€ en plus par an sur la cotisation dans leur poche. J'ai résilié tous mes contrats: auto, habitation, accident de la vie, PJ et j’économise chez d'autres.
Aucun regret de les avoir quitté</t>
  </si>
  <si>
    <t>17/07/2018</t>
  </si>
  <si>
    <t>francois-60320</t>
  </si>
  <si>
    <t xml:space="preserve">Bonjour , erreurs de contrat lors du renouvellement annuel ,contrats renouvelés mais changés sans préavis d'accord de l'adhérent ,plate forme tél incapable de répondre précisément , se contentent de "faire remonter" à ne pas conseiller </t>
  </si>
  <si>
    <t>09/01/2018</t>
  </si>
  <si>
    <t>salma-o-127979</t>
  </si>
  <si>
    <t>Satisfaite et rapidement mis en place je recommande. Le prix est top après avoir comparé avec d’autres assurances. A voir dans la durée maintenant !!!!!</t>
  </si>
  <si>
    <t>valerie-v-106536</t>
  </si>
  <si>
    <t>Tout est bien mais j'aurai voulu payer par carte bancaire au téléphone
Super l'idée du boîtier connecté
Très pratique pour souscrire
Merci du service !</t>
  </si>
  <si>
    <t>alexandra-137297</t>
  </si>
  <si>
    <t>Personnellement, nous avons eu à faire à une personne très humaine, très consciencieuse par conséquent très efficace ! Au moment où je vous fais part de mon ressenti, le problème n'est pas encore tout à fait résolu mais je suis parfaitement convaincue qu'il le sera incessement sous peu ! En employant les moyens légaux et lorsque vous avez à faire à une  personne qui vous épaule parfaitement, dotée, de plus, d'une manière d'être bienveillante, en principe, le résultat devrait être positif ? Nous remercions PACIFICA, vivement ! Je vous compare à l'équipe de Julien COURBET, c'est peu dire !!!</t>
  </si>
  <si>
    <t>13/10/2021</t>
  </si>
  <si>
    <t>al87-41543</t>
  </si>
  <si>
    <t xml:space="preserve">Service client désagréable 
Délai de traitement des dossiers extrêmement long! Aucun effort n'est fait pour accélérer le traitement des dossiers. Incapable de donner des délais. A ÉVITER IMPÉRATIVEMENT </t>
  </si>
  <si>
    <t>MetLife</t>
  </si>
  <si>
    <t>19/02/2017</t>
  </si>
  <si>
    <t>evalassuauto-103258</t>
  </si>
  <si>
    <t xml:space="preserve">Une étoile car impossibilité de mettre moins ... 
Des heures cumulées au téléphone pour simplement inverser les conducteurs principaux et secondaires sur deux contrats d'assurance auto.
Une vingtaine de conseillers clients différents en tout, on explique, on ré explique, on ré ré ré explique tout depuis le début à chaque fois ... Insupportable comme cette musique d'attente que l'on entend pendant de longues minutes à chaque question posée! 
Je n'ai jamais vu ça dans aucune assurance! Tout bonnement incroyable! 
Seul point positif, le vivre une fois vous fait prendre conscience de ce qu'est la médiocrité d'un service et d'une écoute client!
</t>
  </si>
  <si>
    <t>guimims-78612</t>
  </si>
  <si>
    <t>J'ai contacté Magnolia dans le cadre de la loi Hamon pour un changement d'assurance, les prix indiqués étaient très attractifs.
Malheureusement derrière cela ne suit pas, je paye depuis mars 2019 2 cotisations pour le même prêt auprès de 2 entités différentes... J'ai demandé l'annulation du contrat en juillet, toujours rien, il faut les relancer sans cesse.
2 prélèvements à tort répertoriés début juillet, ils ne savent pas pourquoi, et bien évidemment toujours pas de réponse pour ou de solution pour le moment... à fuir!</t>
  </si>
  <si>
    <t>Magnolia</t>
  </si>
  <si>
    <t>22/08/2019</t>
  </si>
  <si>
    <t>01/08/2019</t>
  </si>
  <si>
    <t>tintin-33-102702</t>
  </si>
  <si>
    <t>Tarifs compétitifs, service clientèle agréable et sympathique, suivi administratif trop contraignant et non conforme au contenu des éléments communiqués pour l'obtention d'un devis puis pour confirmation du contrat.</t>
  </si>
  <si>
    <t>15/01/2021</t>
  </si>
  <si>
    <t>maxime-b-133144</t>
  </si>
  <si>
    <t xml:space="preserve">Tarifs défiant toute concurrence, à garanties équivalentes nous avons pu diviser la cotisation par deux.
Site très bien fait et fluide jusqu'à la souscription.
A recommander.
</t>
  </si>
  <si>
    <t>ar-55432</t>
  </si>
  <si>
    <t xml:space="preserve">compagnie à éviter à tout prix . aucun suivi. ne répondent que par des mails automatiques avec a chaque fois des délais de réponse annoncés fantaisistes. Pour ma part j'ai eu un accident non responsable en janvier 2017 et j'attend encore à ce jour 17/7/2017 la prise en charge de cet accident, malgré pourtant de nombreux mails et lettre recommandée. ces gens là n'en ont cure. je suis contraint de saisir la juridiction de proximité. </t>
  </si>
  <si>
    <t>17/06/2017</t>
  </si>
  <si>
    <t>stephan-c-130474</t>
  </si>
  <si>
    <t>Très bonne téléopératrice professionnelle et disponible. Bravo pour votre call-center, multi-canal ! Bonne expérience client (CX).
Vous êtes bien à l'écoute de vos clients même à des heures tardives.</t>
  </si>
  <si>
    <t>31/08/2021</t>
  </si>
  <si>
    <t>hubert-h-114175</t>
  </si>
  <si>
    <t>Je suis satisfait des services de Direct Assurance. Mais néanmoins lors de notre évènement du mois de novembre 2020, alors que notre maison a subi un sinistre, nos clés de véhicules sont restés dans la maison, et nous étions obligés de refaire les clés concernant la DACIA Lodgy nous avons pu l'acheminer au concessionnaire pour permettre l'identification des clés; mais concernant le FIAT DUCATO cela a été plus délicat.</t>
  </si>
  <si>
    <t>18/05/2021</t>
  </si>
  <si>
    <t>joubert-p-137485</t>
  </si>
  <si>
    <t xml:space="preserve">Les prix sont très intéressants après à voir dans le temps. La conseillère que j’ai eu était très aimable et attentive. Elle a su répondre à mes questions </t>
  </si>
  <si>
    <t>luca-80451</t>
  </si>
  <si>
    <t>Dans le but de transformer mon assurance vie en rente viagère, je n'ai jamais pu obtenir le nombres de prélèvements à la source par Swiss life (avoir une idée approximative du reste à vivre),  pas de réponse !. j'envisage donc de retirer la totalité de mon assurance-vie , mais l'on me conseille de me faire assister! ,cette société a bien changer à présent elle fait preuve d'un mépris pour ses clients</t>
  </si>
  <si>
    <t>02/10/2020</t>
  </si>
  <si>
    <t>christophe-43974</t>
  </si>
  <si>
    <t>Au niveau du tarif GENERALI est plus que compétitif !
Mais au moment d'indemniser suite à un long arrêt de travail, la galère commence. Le personnel (de mauvaise foi peut être) ne lit pas correctement les documents qu'on envoie. Un gros retard dans le paiement des mensualités quand enfin le dossier est validé (après plus de 6 mois d'échange de mails, d'appels et de courrier). 
Il faut vraiment les contacter régulièrement pour suivre l'avancé car ils ont même été capable d'envoyer un chèque d'indemnisation dans une autre banque dans une ville située à plus de 200km de la mienne et la conseillère a eu le culot de me dire au téléphone que GENERALI ne faisait pas ce genre d'erreur, que le personnel était tout à fait compétent.
Attention le médecin expert choisi pour les expertises fait la pluie et le beau temps! Comme il est payé par GENERALI et que le but de l'assurance est de ne pas vous indemniser, il vous déclare apte à travailler bien que les médecins conseils de la sécurité sociale et du comité médical départemental disent le contraire.</t>
  </si>
  <si>
    <t>Generali</t>
  </si>
  <si>
    <t>16/01/2017</t>
  </si>
  <si>
    <t>serge-75411</t>
  </si>
  <si>
    <t>Bonjour à tous  suite au décès de mon père fin janvier,je contacte Générali pour les deux assurance vie , un conseiller se déplace je lui remet tous les document demander il maquai un certificat d'acquittement des droit payé au service des impôts je l'envoi le le 18/03 /2019 au conseiller il le remet au service concerné le 21/03/2019 donc dossier complet. le 21/04/2019 pas de nouvelle de Generali je téléphone pour leur demander quand je serai réglé, ont me répond pas très agréablement. Et me font savoir qu'il ont du retard et qu'il ne savent pas quand je toucherai ces assurances vie. heureusement que mon père n'est plus là pour entendre ça .mais il vienne de perdre  un client important .je ne conseillerai pas Generali à mes clients .</t>
  </si>
  <si>
    <t>eric-m-115233</t>
  </si>
  <si>
    <t>les prix ne font qu'augmenter sans effort commercial malgré un taux d'accidentologie inférieur en 2020, et j'attend la prime de 2021 ! je télécharge mon attestation de bonus et je vais chez LEOCARE</t>
  </si>
  <si>
    <t>esther-96977</t>
  </si>
  <si>
    <t>Très mauvais traitement des sinistres par cet assureur. 2 exemples pour étoffer ce commentaire. 1/La Maif propose des pièces reconditionnées pour la réparation des véhicules, c'est une bonne idée mais le résultat est que la voiture est toujours en attente de réparation depuis mars 2019 car le garagiste ne trouve pas la pièce ! 2/Déclaration d'un sinistre en octobre 2019, traité en août 2020 sans aucune explication. Tout se fait par mail, aucun conseiller ne vous appelle et impossible de joindre le service réclamation. Où se situe la notion d'assureur militant ?</t>
  </si>
  <si>
    <t>03/09/2020</t>
  </si>
  <si>
    <t>eligonne--99460</t>
  </si>
  <si>
    <t>Excellente assurance. On est toujours reçu avec beaucoup de gentillesse et de compréhension .  Grande réactivité aux dossiers. 8Merci à tout le personnel de la MAIF</t>
  </si>
  <si>
    <t>hr-130187</t>
  </si>
  <si>
    <t>je ne conseille pas ces "mutuelles" qui ne suivront pas vos dossiers dès que vous aurez signé.
je n'ai jamais réussi à être remboursé pendant 1 an, et cela ne les a pas inquiété au contraire... 
Attention certains contrats prévoient de vous virer dès que vous êtes trop vieux</t>
  </si>
  <si>
    <t>moohan-h-130840</t>
  </si>
  <si>
    <t xml:space="preserve">Je suis satisfaite des prix et de la fluidité des pages. L'ensemble est clair et efficace.
Je recommanderais april moto auprès de moi.
Merci pour votre efficacité </t>
  </si>
  <si>
    <t>lafouine-75195</t>
  </si>
  <si>
    <t xml:space="preserve">En invalidité niveau 2 avec 2 ALD, j'ai fait appel au pôle social HARMONIE pour un important reste à charge lié à un appareillage pour le rachis. HARMONIE m'a fait remplir un dossier et attendre 3 mois pour me répondre qu'ils ne prenaient pas en charge ce surcoût. J'ai pourtant accepté de modifier mon contrat pour une meilleure prise en charge, bien sûr en payant plus cher ! Voilà la moralité de cet assureur... </t>
  </si>
  <si>
    <t>kaya-f-107376</t>
  </si>
  <si>
    <t>votre conseiller par de prix HT et non en TTC je suis pas un client professionnel lors de l'appelle téléphonique il ma très bien demander professionnel ou personnel j'ai répondu perso donc je comprends pas pourquoi il me sort des prix en HT je souhaiterais une réduction supplémentaire car -10% je trouve sa minime du prix merci bien d'avance bonne réception</t>
  </si>
  <si>
    <t>21/03/2021</t>
  </si>
  <si>
    <t>absolue10-79336</t>
  </si>
  <si>
    <t>Très déçue ! Jusque là j étais une sociétaire ravie sauf que j ai eu un dégât des eaux chez moi puis un deuxième . La maif a su être très réactive , sur le 1 er sinistre les travaux ont été pris en charge par un autre assureur. Les travaux ont été fait mais d une façon plus qu inadmissible je m en suis donc plainte car j estime qu en tant que sociétaire la moindre des choses c est de vous intéresser a vos clients surtout quand on vous fait part de choses aussi grave .La réponse apportée a été en gros d aller me plaindre ailleurs vu que c était pas la maif qui indemnisait . Ça m a vraiment choqué et je trouve inadmissible ce manque de considération un lien entre assureur aurait pu être fait en interne .De plus ,ça manque de coordination entre les conseillers car un autre m a appelé pour un autre problème dont je ne suis même pas responsable et on veut me faire payer une franchise pour une vitre que je n ai pas cassé après maintes réclamations et plaintes j abandonne je suis usée d expliquer sans arrêt la même chose ...Ma décision est prise je résilie tous mes contrats et je pars ailleurs en 2020 non pas par manque de satisfaction mais par principe . Un peu de sollicitude et de bienveillance n a jamais tué personne !</t>
  </si>
  <si>
    <t>19/09/2019</t>
  </si>
  <si>
    <t>bil--m-111426</t>
  </si>
  <si>
    <t xml:space="preserve">Très satisfait de votre assurance c’était rapide et facile même pour le prix super merci pour votre service je serai votre client et vous reste tjr mon assurance </t>
  </si>
  <si>
    <t>gb-51806</t>
  </si>
  <si>
    <t>Contrat auto résilié après 5 sinistres non responsables dont 2 bris de glace ces 5 dernières années. ce n'est pas que la MAAF mais le code des assurances et la loi Hamon  dont je ne suis pas satisfait.</t>
  </si>
  <si>
    <t>chantal-v-112895</t>
  </si>
  <si>
    <t>Je suis satisfaite des services mis en place pour les clients. Les services en ligne facilite la vie et permette une rapidité et est très efficace.
cordialement,</t>
  </si>
  <si>
    <t>leglaude17-80208</t>
  </si>
  <si>
    <t xml:space="preserve">Mes questions ont été traitées par le conseiller se prénommant Gwendal. Personne aimable et d'un très bon accueil. Bonne écoute du conseiller qui a bien appréhendé mon problème et fourni les réponses qui répondaient à mes attentes. </t>
  </si>
  <si>
    <t>18/10/2019</t>
  </si>
  <si>
    <t>jane-o-124980</t>
  </si>
  <si>
    <t>Satisfaite en général.
Je trouve que les prix ont augmentés depuis quelques années
Quand on appelle, nous sommes bien reçus et orientés. Aucun soucis la-dessus</t>
  </si>
  <si>
    <t>mitchounet-105474</t>
  </si>
  <si>
    <t xml:space="preserve">J y ai plusieurs véhicules depuis plusieurs années et pour le moment rien a redire, contact via Facebook performant et efficace, prix toujours placés. En somme une assurance très recommandable. </t>
  </si>
  <si>
    <t>gb-49705</t>
  </si>
  <si>
    <t>Dans le cadre de la succession d'une proche,Malgré un courrier recommandé adressé à SWISSLIFE par le notaire accompagné des pièces requises ( acte de notoriété, acte de décès...) et 4 mails de ma part à l'adresse donnée par les modérateurs SWISSLIFE disant d'écrire sur ce site à servicecnr@swisslife.fr, je n'ai aucune réponse ... J'ai ecrit un nouveau mail ce jour indiquant qu'il ne me reste plus qu'à saisir l'ACPR pour que les choses avancent .....
Il m'est impossible de me connecter sur l'autre site évoqué par les modérateurs SWISSLIFE ici puisque cela renvoie à un site client et que je ne le suis pas directement ....
Cela est vraiment dommage de devoir en arriver l'un pour une enseigne que je pensais efficace.... Le décès date de 3 ans et demi !</t>
  </si>
  <si>
    <t>30/11/2016</t>
  </si>
  <si>
    <t>scala-51221</t>
  </si>
  <si>
    <t>Rien d'extraordinaire dans la prestation, dont le tarif reste tout de même alignée à la moyenne du marché. Par contre, il faut pas avoir besoin d'un interlocuteur. Injoignables sans que la patience soit mise à rude épreuve.</t>
  </si>
  <si>
    <t>12/01/2017</t>
  </si>
  <si>
    <t>behe-82080</t>
  </si>
  <si>
    <t>Direct assurance fait un prix d'appel la première année
La deuxième année la cotisation augmente de 20%
Le tarif peut rester intéressant mais ce n'est pas très bon pour fidéliser ...
Bien entendu le service client ne répond pas, je me demande l'augmentation pour la deuxième année</t>
  </si>
  <si>
    <t>18/12/2019</t>
  </si>
  <si>
    <t>serge-l-129903</t>
  </si>
  <si>
    <t>Bonjour Madame, Monsieur,
Je suis assuré à la GMF depuis 1970, sans sinistre impliquant ma responsabilité. Une compensation sur le montant de mes assurances notamment auto serai agréablement acceptée.
Bon retour de vacances, cordiales salutations
Serge Lacombe</t>
  </si>
  <si>
    <t>aurfiel-60160</t>
  </si>
  <si>
    <t>Le traitement des dossiers est anarchique et calamiteux. On vous réclame des documents sans cesse, on perd les documents, ils ne reçoivent que la moitié des pièces jointes dans un mail !???!
Rien ne sert de les appeler : les "spécialistes" (comme dit le serveur vocal) n'ont pas accès à la boîte mail et ne peuvent pas confirmer la réception des mails ni même rechercher le mail. Ils sont par contre très compétents pour rappeler et réclamer le document que vous venez d'envoyer dans ledit mail non trouvé... Bref : FUYEZ !</t>
  </si>
  <si>
    <t>04/01/2018</t>
  </si>
  <si>
    <t>julien12-71595</t>
  </si>
  <si>
    <t xml:space="preserve">Bonjour, service client téléphonique a cote de la plaque et désagreable, je vous conseille pas, quand on doit vous rembourser y a plus personne.. on attend non stop au telephone pour avoir quelqu'un. </t>
  </si>
  <si>
    <t>23/02/2019</t>
  </si>
  <si>
    <t>fizwizbiz-54808</t>
  </si>
  <si>
    <t>L'assureur capable de vous résilier sans prévenir, qui vous laisse en fait pas assuré parce qu'il n'est pas fichu de téléphoner sur une adresse mal notée et qui vous fait venir en agence pour vous annoncer avec un sourire que vous ne pourrez plus souscrire chez eux et que vous êtes blacklisté pour 2 ans (sur la base du déclaratif, c'est pas une obligation mais ça leur fait plaisir) et que du coup aucun assureur normal ne va vouloir de vous.</t>
  </si>
  <si>
    <t>19/05/2017</t>
  </si>
  <si>
    <t>sylvie74-128181</t>
  </si>
  <si>
    <t xml:space="preserve">Après les avoir appelés, pris un rdv pour pouvoir assurer la moto de mon fils, mon fils s'est rendu au rdv ce jour... Surprise, ils lui disent qu'ils l'ont appelés et laissés un message pour dire qu'ils n'acceptaient pas son contrat alors que je n'ai jamais eu de message !! leur motif : on n'accepte pas de contrat pour les jeunes car cela leur coûte trop cher... Et alors, les jeunes ne peuvent pas s'assurer du coup ?? C'est sûr, la MAAF veut s'en mettre plein les poches !! on a été chez eux pendant 20 ans, aucun sinistre, on a payé (normal) et on est parti car on a trouvé moins cher ailleurs pour les mêmes prestations. 
C'est vraiment une honte ! Fuyez cet assureur !!! </t>
  </si>
  <si>
    <t>jerjen-94377</t>
  </si>
  <si>
    <t>Plus de négatif que de positif, je suis d'accord avec la plupart des clients, il ne faut en aucun cas rencontrer des problèmes!!!! sinon bon courage</t>
  </si>
  <si>
    <t>17/07/2020</t>
  </si>
  <si>
    <t>sophie62-58676</t>
  </si>
  <si>
    <t>on prélève 3 mois de cotisations d'avance or au bout de 1 mois 1/2 après que nous avons joint les relevés d'informations on nous met fin à notre contrat suite à 2 sinistres non responsables résultat on nous rend 19 € sur 126€, cela pose question. Les frais de dossier 41€ restent à notre charge alors que c'est eux qui mettent fin à notre contrat.</t>
  </si>
  <si>
    <t>08/11/2017</t>
  </si>
  <si>
    <t>01/11/2017</t>
  </si>
  <si>
    <t>sud30-56756</t>
  </si>
  <si>
    <t>Les valeurs mutualiste de la MGEN : une simple posture : pas de prise en charge lors d'une hospit alors que c'est inscrit sur la carte donc il faut payer puis se faire rembourser soit dans mon cas + de 1000E dehors.
On nous balade d'un sce à l'autre les N° de Tél sont erronés et informations contradictoires d'un intervenant à l'autre
Ceci n'est plus une Mutuelle, je reste le seul à mutualiser mon risque et l'avance je la fais chaque mois à + de 200 E ça s'appelle une cotisation
Je suis fonctionnaire complementer et MGEN c'est pire que le privé. je regrette le temps MNT
Le contrat ne sera pas renouvelé en 2018</t>
  </si>
  <si>
    <t>19/08/2017</t>
  </si>
  <si>
    <t>charlene-c-125763</t>
  </si>
  <si>
    <t xml:space="preserve">Ravie de la rapidité maintenant reste à voir l'arrivée de ma carte verte et du reste .
Prix raisonnable dans mes attente.
Reste plus cas avoir le contrat et mon assurance. </t>
  </si>
  <si>
    <t>31/07/2021</t>
  </si>
  <si>
    <t>ced-78184</t>
  </si>
  <si>
    <t>Ayant déjà 3 contrats chez Jésus j'ai fait souffrir mon épouse pour son véhicule personnel comment avoir de la validation définitive de contrat majoration de 20 % de la prime car sinistre non responsable sans impact du bonus j'ai essayé d'appeler pour négocier il ne veut rien savoir et s'obstine malgré ce quatrième contre très déçu</t>
  </si>
  <si>
    <t>05/08/2019</t>
  </si>
  <si>
    <t>yv34-71068</t>
  </si>
  <si>
    <t>Tres bon rapport qualité prix</t>
  </si>
  <si>
    <t>28/08/2019</t>
  </si>
  <si>
    <t>duvivier-c-137546</t>
  </si>
  <si>
    <t>Je suis satisfait du service et du prix
Très déçu par le délai de traitement de mon précédent sinistre (vol) mais bon accompagnement par les téléconseillers</t>
  </si>
  <si>
    <t>borsellino-e-113266</t>
  </si>
  <si>
    <t>Rapide efficace et pas cher c'est exactement ce que je cherchais! Un gros point positif : la personne eu au téléphone était compétente et claire ce qui  n'est pas le cas dans toute les assurance.</t>
  </si>
  <si>
    <t>10/05/2021</t>
  </si>
  <si>
    <t>alex-104658</t>
  </si>
  <si>
    <t>Tarif un peu élèvé par rapport à d autres assurances..l accueil téléphonique est très bon.on peut noter que la personne est à notre écoute et que le travail est consciencieux</t>
  </si>
  <si>
    <t>23/02/2021</t>
  </si>
  <si>
    <t>slapy06-54240</t>
  </si>
  <si>
    <t>Bonjour,
J'ai eu un devis chez AMV pour un montant TTC de 487€ par email. Après reception, de l'avenant, le montant était passé à 681€, 99€ de taxes et 94 de frais de courtage...Je les appelle dès ce jour! Je vous ferais part du déroulement.
Cordialement.</t>
  </si>
  <si>
    <t>24/04/2017</t>
  </si>
  <si>
    <t>nemo31330--102211</t>
  </si>
  <si>
    <t xml:space="preserve">Cette assurance est une honte !!!! 
Cambriolé le 5 novembre 
Toujours rien de réparée le 5 janvier 2021 
Famille cliente depuis 40 ans 
Service sinistre injoignable depuis 1 mois
En pleine pandemie !!!!!! 
Mon habitation prend l humidité depuis 2 mois 
</t>
  </si>
  <si>
    <t>05/01/2021</t>
  </si>
  <si>
    <t>glo-89471</t>
  </si>
  <si>
    <t xml:space="preserve">J ai été très déçue par cette mutuelle 
J etais en dépression et bien évidemment en arret 
Donc arret maladie et suivi par un psychiatre 
Je  n avais pas la tête dans les papiers avec les médicaments et autres 
Quand je commençais à aller mieux j ai contactée la mgen pour la prévoyance suite à la perte de salaire 
Je leurs ai expliqué mon problème et ils ont rien voulu comprendre 
Soit disant que j ai dépassé le délai pour la demande 
</t>
  </si>
  <si>
    <t>dam-68258</t>
  </si>
  <si>
    <t>Impossible de se faire rembourser un bris de glace, une fois souscrits c'est un numéro à 80 cts la minute pour les joindre. Très compliqués pour résilier et une fois résilier ils essaient encore de prélever sur le compte et envoient des lettres de mise en demeure à répétition. Ah et ils sont tellement débordés que ce n'est pas possible de leur envoyer un mail car leur boîte mail est toujours pleine....</t>
  </si>
  <si>
    <t>aurelie--r-132075</t>
  </si>
  <si>
    <t>Satisfaite du prix et de la rapidité. Je souhaite donc vanter les points positifs de direct assurance.
Je suis déjà assurée pour mon appartement et n'ai jamais eu de soucis</t>
  </si>
  <si>
    <t>martine-95339</t>
  </si>
  <si>
    <t>ecoeurée de l assurance habitation  aucune prise en charge par rapport a une tuile fissurée et degat des eaux au plafond pourquoi payer une assurance...merci de me repondre ou appeler au 0695602468</t>
  </si>
  <si>
    <t>27/07/2020</t>
  </si>
  <si>
    <t>philippe-m-132356</t>
  </si>
  <si>
    <t>satisfait du bon rapport qualité des services et le prix.
personnel très réactif suite à des demandes par téléphone
documentation et contrat sur internet très explicite
cordialement</t>
  </si>
  <si>
    <t>duchnoc-67094</t>
  </si>
  <si>
    <t>PLATEFORME A FUIR, incompétence notoire, protège plus la partie adverse que leurs propres clients, juste pitoyable , donc assurances a fuir aussi.</t>
  </si>
  <si>
    <t>25/09/2018</t>
  </si>
  <si>
    <t>lynanoue-79533</t>
  </si>
  <si>
    <t>Excellente mutuelle, de plus le conseiller GWENDAL, nous à très bien renseigné, ne cherche pas à vendre "du n'importe quoi à n'importe quel prix..!</t>
  </si>
  <si>
    <t>27/09/2019</t>
  </si>
  <si>
    <t>loudmila-m-132440</t>
  </si>
  <si>
    <t>Je suis satisfaite du service adhésion en ligne, les prix sont corrects pour une 1ère immatriculation. Site facile à utiliser et informations complètes sur le devis</t>
  </si>
  <si>
    <t>acdc-54831</t>
  </si>
  <si>
    <t>a éviter à tout prix
ne prenez pas cette assureur ils vous harcèlent par téléphone et par mail jusqu'à ce que vous preniez leurs garanties et baisse le prix A FUIR!!</t>
  </si>
  <si>
    <t>21/05/2017</t>
  </si>
  <si>
    <t>abu-nadhir-136520</t>
  </si>
  <si>
    <t xml:space="preserve">Simple et pratique malgré la cherté de l'abonnement. Par conte, qu'en est-il des soins tels que l'homéopathie, les cures thermales, l'ostéopathie? Comment en bénéficier? </t>
  </si>
  <si>
    <t>goubo-yoann-52542</t>
  </si>
  <si>
    <t>Accident non responsable sur ma voiture. Les conseillers que ce soit en agence ou au telephone etait a l'ecoute et m'on guider pour le constat amiable. M'ont conseiller un garagiste agrée pres de chez moi je n'ai rien eu a payer. Ma voiture prête en une semaine.</t>
  </si>
  <si>
    <t>17/02/2017</t>
  </si>
  <si>
    <t>alain-98678</t>
  </si>
  <si>
    <t>Le service client est au top, j'ai eu un souci de remboursement j'ai donc appelé et mon problème a été très vite réglé. J'ai été déçu lors de mes précédentes assurances du service client et celui-ci est au-dessus du lot.</t>
  </si>
  <si>
    <t>13/10/2020</t>
  </si>
  <si>
    <t>cedetbea-85524</t>
  </si>
  <si>
    <t>Parfait pour les devis et la facturation, mais la catastrophe en cas de sinistre: injoignable, travail avec de mauvais sous-traitant, pointilleux sur les remboursement</t>
  </si>
  <si>
    <t>michel-l-102770</t>
  </si>
  <si>
    <t>Les prix et les services en ligne autant que téléphoniques me semblent satisfaisants en espérant la même efficacité/ rapidité en cas d'accident ou de sinistre</t>
  </si>
  <si>
    <t>17/01/2021</t>
  </si>
  <si>
    <t>mjj-56225</t>
  </si>
  <si>
    <t>Démarché pour une mutuelle, un autre contrat m'a été imposé pour des indemnités journalière. 6 mois pour mettre en place la télétransmission, les remboursement hors remboursement sécu rarement respecté contrairement au contrat, le service client ne traite pas les demandes,t, aucune réponse aux recommandés, l'information sur les hausses de cotisation pour l'année suivante n'est pas faite dans les délais légaux, décevant</t>
  </si>
  <si>
    <t>24/07/2017</t>
  </si>
  <si>
    <t>wirkhani-m-129655</t>
  </si>
  <si>
    <t xml:space="preserve">Le service très efficace, le prix est très compétitif, les informations sont claires et précises.
Le site est très intuitif , nous ne sommes pas perdus quand le site propose des formules.
</t>
  </si>
  <si>
    <t>dili57-110215</t>
  </si>
  <si>
    <t xml:space="preserve">Excellente intervention de mon interlocutrice, Emeline, qui a su, par son professionnalisme, résoudre mes problèmes, là ou d'autres avaient échoués. Efficace, sérieuse et courtoise, ça fait plaisir d'avoir à faire à des personnes comme ça et je ne peux que recommander Emeline pour vos demandes, elle ne   vous lâchera pas tant qu'elle n'aura pas trouvé de solution à votre problème. </t>
  </si>
  <si>
    <t>patrick-b-109692</t>
  </si>
  <si>
    <t>Je suis satisfait du service..., de l'accueil..., du professionnalisme..., de la prise en charge..., les prix paraissent convenable..., simple et efficace</t>
  </si>
  <si>
    <t>kentin-67891</t>
  </si>
  <si>
    <t xml:space="preserve">ravis des échanges téléphonique qui on un véritable visage humain, des personnes vraiment à l'écoutent du client, du coup j'ai prit toute mes assurances auto chez l'Olivier. </t>
  </si>
  <si>
    <t>19/10/2018</t>
  </si>
  <si>
    <t>boissieres-w-138976</t>
  </si>
  <si>
    <t>Très simple, et dans l'ensemble assez satisfait. J'espère juste que le premier paiement contient au moins les deux premiers mois d'assurance.  Bisous à celui ou celle qui liras ce message. ??</t>
  </si>
  <si>
    <t>didier-m-108791</t>
  </si>
  <si>
    <t>satisfait à ce jour, mais je n'ai eu aucun probleme à signaler
je cherche un relevé d'information et j'espère le trouver rapidement et ne pa perdre du temps</t>
  </si>
  <si>
    <t>tisserand-r-114130</t>
  </si>
  <si>
    <t xml:space="preserve">super efficace et tres rapide
super assurance je recommande vivement a tout les conducteurs de france c'est très professionnel et le devis et instantané </t>
  </si>
  <si>
    <t>sab-65516</t>
  </si>
  <si>
    <t>Minable ! Cette assurance est à fuir absolument.  Impossible  de joindre quelqu'un au téléphone.  Vous classe responsable à 50 % sans regarder les véritables raisons du sinistre et par conséquent vous vous acquittez d'une franchise bien costaud alors que normalement vous êtes censé rien débourser . Ils ne s'occupent pas de leur assuré du moment où ils ont décidé quelque chose vous êtes dégagée en touche si vous êtes en désaccord avec eux . De plus les cotisations bondissent d'une année à l'autre même sans sinistre .</t>
  </si>
  <si>
    <t>gouilal-m-125050</t>
  </si>
  <si>
    <t>Je suis satisfait, et les prix sont attractifs par rapport à vos concurrents. 
Je recommande auprès de mes amis et ma famille. 
Gentillesse et courtoisie</t>
  </si>
  <si>
    <t>fidrick-a-122286</t>
  </si>
  <si>
    <t>simple et pratique, assureur prêt a faire confiance aux usagers avec plusieurs sinistres récents et petit bonus avec des prix corrects même pour assurer des véhicules avec un gros moteur. TOP</t>
  </si>
  <si>
    <t>04/07/2021</t>
  </si>
  <si>
    <t>crozet-t-109783</t>
  </si>
  <si>
    <t>Réactif, disponibilité et écoute. Très bien servis lors de mon appel pour la souscription du Contrat. Tarifs très compétitifs. Délais raccourcis lors des appels téléphoniques, ce qui est un très bon point ! Je recommande.</t>
  </si>
  <si>
    <t>lionel73-102726</t>
  </si>
  <si>
    <t>Bonjour, j'ai été en arrêt de début septembre jusqu'à mi décembre. J'attends toujours mon complément de salaire. Les temps de traitement sont non seulement extrêmement long mais mettent tout le monde dans des soucis pas possible.
Je suis affilié à l'AG2R via intérimaire prévoyance. Je veux bien comprendre que le COVID a créé des retards, mais même l'administration où ils ont réduit au sabre les effectifs traitent les dossiers beaucoup, mais beaucoup plus vite.
J'ajoute ça fait 2 semaines que j'ai l'impression d'être baladé et que l'on me dit qu'ils traitent les dossiers du 20 octobre. Il est évident qu'il ne faut pas 2 semaines pour traiter juste une journée, sinon il faut plus d'une année juste pour un mois.
Cette assurance peut-elle honorer ses contrats ou est-elle sur le point de s'effondre comme certaines en 2008 ?
Merci (ironie)</t>
  </si>
  <si>
    <t>schweppes-1362</t>
  </si>
  <si>
    <t>je déconseille vivement la maaf, ils ne sont meme pas capable de défendre un de leurs assurés . Et ce malgré des éléments en ma faveur (témoin + vidéo) , résultat ils me mettent du malus !!!</t>
  </si>
  <si>
    <t>mounir-b-125336</t>
  </si>
  <si>
    <t xml:space="preserve">la souscription est facile et rapide, simple d'utilisation. le prix est le plus interessant du marcher cela est un très bon point. 
j'espère que le reste sera facile aussi. </t>
  </si>
  <si>
    <t>fufu987-81164</t>
  </si>
  <si>
    <t xml:space="preserve">Service client quasi injoignable par téléphone, le remboursement en 48H annoncé est faux, beaucoup de papiers, de temps, d'appels et de mails pour finalement un remboursement labourieux ... A FUIR ABSOLUMENT .  </t>
  </si>
  <si>
    <t>20/11/2019</t>
  </si>
  <si>
    <t>vitoux-m-137927</t>
  </si>
  <si>
    <t xml:space="preserve">je suis satisfait du service j'espère que les prix n'augmenteront pas pendant plusieurs années. 
rapide et efficace 
si tout se passe bien j'envisage d'assurer un second véhicule </t>
  </si>
  <si>
    <t>barbotine75-71605</t>
  </si>
  <si>
    <t xml:space="preserve">assistance très médiocre. Complément de remorquage à ma charge car plafonné à 200 euros. Véhicule de location proposé pendant 5 jours mais retour à la ville où a eu lieu le remorquage (aucun intérêt pour moi) . Un prêt de véhicule pendant 1 heure me suffisait pour faire 60 km. Taxi proposé à hauteur de 60 euros (il coute +- 200). Au final j'ai rapatrié le véhicule à mes frais hier de Saint Quentin à Soissons 60 km pour 247 euros. Bref leur assistance ne vaut pas IMA. </t>
  </si>
  <si>
    <t>24/02/2019</t>
  </si>
  <si>
    <t>mick-80511</t>
  </si>
  <si>
    <t xml:space="preserve">On m'a dégradé mon véhicule.  Je suis assuré tout risque et problèmes pour le prêt d'un véhicule de remplacement. Je n'ai pas de carte en relief !! Merci le crédit agricole !! Aucune agence de location ne veut ni par chèque ! </t>
  </si>
  <si>
    <t>29/10/2019</t>
  </si>
  <si>
    <t>catherine-13-114302</t>
  </si>
  <si>
    <t xml:space="preserve">Toujours des réponses rapides et efficaces. 
Peu de problèmes, heureusement,  mais toujours réglé ms avec efficacité quand je fournis les informations  nécessaires. </t>
  </si>
  <si>
    <t>ali-g-125354</t>
  </si>
  <si>
    <t xml:space="preserve">je suis satisfait car vos prix est bien moins cher que les autres assurance enligne .
ensuite toujours disponible 7/7 jours  j'espères que je serai satisfait de vos service en  ligne   </t>
  </si>
  <si>
    <t>29/07/2021</t>
  </si>
  <si>
    <t>manouwid--99040</t>
  </si>
  <si>
    <t xml:space="preserve">Facilement joignable de très bon conseil et très rapide en cas de panne ou de sinistre et faire un devis est très facile que se soit sur le site ou par téléphone </t>
  </si>
  <si>
    <t>21/10/2020</t>
  </si>
  <si>
    <t>laurent-88382</t>
  </si>
  <si>
    <t>Lorsque l'on a un conseiller bancaire incompétent ou lorsque l'on clôture certains comptes bancaires, il est impossible d'avoir accès au contrat ou toutes autres données.
Personne ne cous recontacte lorsque vous voulez renégocier vous contrats. C'est pour cela que j'ai résilié mon assurance santé, habitation, et un contrat auto.</t>
  </si>
  <si>
    <t>18/03/2020</t>
  </si>
  <si>
    <t>yohann-m-125185</t>
  </si>
  <si>
    <t>Je suis satisfait du service d'esprit me conviennent un appel rapide des personnes compétentes tout a été réglé rapidement je je recommande fortement cette</t>
  </si>
  <si>
    <t>yoann-f-132351</t>
  </si>
  <si>
    <t xml:space="preserve">Je suis très satisfait du service comme toujours, à chaque appel ou besoin j'ai toutes les  informations demandés, les prix sont cohérents, rien à redire pour AMV, au top ! </t>
  </si>
  <si>
    <t>mouna-80013</t>
  </si>
  <si>
    <t xml:space="preserve">Ils augmentent le montant de vos cotisations mensuelles 19 jours après le début de votre contrat, refusent votre demande de résiliation. </t>
  </si>
  <si>
    <t>electrogao-31714</t>
  </si>
  <si>
    <t>tres mauvaises experiences 
sentiment d etre abandonner par l assistance
aucun retour de l assurance a part m envoyer ma nouvelle cotisation 
du coup je vais voir la concurrence</t>
  </si>
  <si>
    <t>13/05/2021</t>
  </si>
  <si>
    <t>christian-b-125449</t>
  </si>
  <si>
    <t>je suis satisfait pour l'instant du service en espérant que tout se passera bien. ce qui compte, c'est que je puisse joindre direct assurance au moindre ou pour toute question. Cdt</t>
  </si>
  <si>
    <t>m-109754</t>
  </si>
  <si>
    <t>Société d'assurances fantôme .... Après plusieurs mails et appels plus d'un mois après mon accident je n'ai aucune nouvelle de mon dossier.... et pourtant je suis prélevée mensuellment et je n'ai aucun problème de règlements avec tous mes contrats....c'est vraiment navrant de ne pouvoir avoir aucun interlocuteru au téléphone. La covid ne se transmets par les mails ou téléphone. Dès que mon problème sera, peut-être un jour solutionner je pars....en courant
bejacq@wanadoo.fr</t>
  </si>
  <si>
    <t>thomas-51432</t>
  </si>
  <si>
    <t>Maaf et leur publicité mensongère.... Tout une histoire qui se répète...
Assuré MAAF depuis des années (contrat habitation, auto, moto, contrats additionnels instruments enfant etc...) j'ai eu l'honneur de recevoir, suite à un sinistre responsable, une lettre m'informant qu'en tant qu'excellent client je bénéficiais du Bonus à vie.... Sauf qu'un malus m'a bien été appliqué avec la majoration afférente..... !
Evidemment suite à réclamation on m'informe que j'ai reçu ce courrier par erreur....FIN DE LA DISCUSSION...si tant est qu'il y'en ai eu une à un moment...
On va donc résilier tous les contrats (+ ceux des beaux parents) en toute tranquillité et continuer à porter la bonne parole quant à leurs agissements....
Un pigeon parmi tant d'autres hélas...</t>
  </si>
  <si>
    <t>18/01/2017</t>
  </si>
  <si>
    <t>nulle13-77634</t>
  </si>
  <si>
    <t>Problème de piscine polyester, coque fendue, je suis assuré pour 50000 et personne pour m'aider. Expert incompétent il n'a jamais vu une piscine et il le dit franchement, je demande une contre expertise, rien. C'est aberrant d'une Assurance qui finance toutes publicité à la télévision mais les clients sont à désirer, ont prend le fric.</t>
  </si>
  <si>
    <t>15/07/2019</t>
  </si>
  <si>
    <t>luigi-101850</t>
  </si>
  <si>
    <t xml:space="preserve">Deux sinistres non responsables. Je décidé de prendre l argent  suivant l est estimation de l expert... Premier sinistre plus de 3 mois pour que ce soit traité....  Avec plusieurs coups de fils pour les relancer...
Pour le deuxième sinistre ca fait 3 semaines.. Pas de nouvelles </t>
  </si>
  <si>
    <t>25/12/2020</t>
  </si>
  <si>
    <t>oppa32-54030</t>
  </si>
  <si>
    <t>April est une bonne assurance lorsqu'il n'y a pas besoin de s'en servir.
Je dois me faire opérer dans trois semaines, et April m'indique une prise en charge mais sans aucune information sur le montant, ne répond pas à mes mails et n'en accuse pas réception.
En outre, le simulateur de remboursement me donne une estimation dérisoire, alors que je suis sensé être remboursé pour cet acte à 180 % du BR.
Au final, je paye près de 40 euros par mois pour une mutuelle qui ne rembourse pas spécialement bien.
Je ne conseille donc pas spécialement April, mutuelle que je vais très vraisemblablement résilier à l'échéance de mon contrat (sans pouvoir bénéficier de la loi Châtel..).</t>
  </si>
  <si>
    <t>12/04/2017</t>
  </si>
  <si>
    <t>steph38260-77381</t>
  </si>
  <si>
    <t xml:space="preserve">bénéficiaire  d un contrat de  prévoyance collectif j ai  a  mon grand  malheur du  faire appel  a  cette prévoyance AG2R
d abord  en arret  maladie  début 2018  il aura fallut 3 mois  a  partir  de  la fin du délai  de  carence pour que  AG2R traite mon dossier et  commence  a  me  regler les  compléments de salaires nopn sans difficultés car de  juin a novembre j'ai  du passer  des appels  et  envoyer des mails tout les 15 jours  pour que  me sois  payer  les  compléments de salaires  AG2R du prado  a Marseille qui gère mon dossier  n'etant pas  joignable  ni par  tel  ni  par mail  le  service client  de paris  faisant  systématiquement barrage  et  me  renvoyant sur le  site  internet AG2R
mis  en invalidité le 1 er janvier  2019  re belote j'ai  du  reconstituer  tout  le  dossier et  la  de nouveaux  2 mois pour le  traiter  donc  de  nouveaux dans  la  galère  fiancière 
En  mars  je reprend a  temps reduit  mon activité  et  comme le  demande AG2R des  ma  1 ere  fiche  de paie  je  l'adresse  via  le  site internet  pour  le  calcul  du  salaire a  ne pas  dépasser  que je  n'ai  pu obtenir  avant  et la encore  plus d un  mois  pour traiter le document  et mauvaise surprise un courrier de trop  percu  de  922 euros  a  la clef recu le  18 juin 
j'appel  immédiatement  le  service  client qui pour  la 1 ere  fois en 1 an me met en  relation avec  Marseille ou  lon  me  repond  que  je serais  contacter  sous  7 jours  pour  explications
7 jours  passe  et la  je  rappel le  service client qui m'annonce tout  simplement que  la totalité  de ma rente  est  retenue  et  quil y  en aura encore le  mois suivant  donc  900 euros  de revenu en moins  début  juillet bizarrement AG2R est proportionnellement plus   rapide  a  supprimé  les  revenus qu'a traiter et payer  les rentes du  a  ses bénéficiaires 
depuis  je communique enfin  avec  Marseille qui refuse  a  ce jour  de conserver  certains  de mes  revenus ayant servit au  calcul  de ma rente (logique ca  fais baisser le  plafond  de revenu  a ne  pas dépasser et  donc  le  montant payer  par  AG2R) 
je  m'attend  donc  a  ce que  ces derniers  me  réclames  des  arriérés  sur le paiement de mes arrêts  maladie  !!!! bien entendus ni  mon employeur ni  moi n'avons  jamais eu accès aux  termes et  conditions   du  contrat de prévoyance AG2R  me  renvoyant vers  mon employeur    
Mon employeur  ne recevant  que  la  plaquette d'information général disponible sur  le site  internet AG2R  
Plus opaque  on ne  fais  pas 
AG2R peux ainsi  a  sa  guise  prendre en  compte les revenus  qui  lui chante 
Enfin  pour  enfoncer le  clou le service  de  Marseille ma  tout  simplement reprocher  d avoir  fais  passer mes documents  via  le  site AG2R la  mondiale et non pas directement a  eux  
je suis a bout de nerfs  j'ai en  face  de moi un interlocuteur  qui me prend  de haut et  qui  pense  pouvoir  faire ce  qu'il  veux  
et  cela  recommence  a affecter mon état  de santé  
au final  vous  payer c est  bien mais ne demander  surtout pas a faire  valoir  vos  droits  sinon la galère commence pour  vous  </t>
  </si>
  <si>
    <t>05/07/2019</t>
  </si>
  <si>
    <t>guit-62608</t>
  </si>
  <si>
    <t>Document envoyé, pas de retour! J'ai appelé à 17h30, et 30 min d'attente, pour me dire agence fermée!!! Une honte!!!!</t>
  </si>
  <si>
    <t>23/03/2018</t>
  </si>
  <si>
    <t>mghmarie-97868</t>
  </si>
  <si>
    <t xml:space="preserve">Je suis très satisfaite des services de cette compagnie. Mon mari et moi-même avons pu épargner pour notre retraite en déduisant cette épargne de notre IR avec de bons intérêts. Quand notre retraite a sonné, la CARAC a immédiatement versé en rente ce que nous souhaitions. Et, enfin, au décès de mon mari, j'ai pu récupérer le solde de notre épargne dans la quinzaine qui suivait ma demande. </t>
  </si>
  <si>
    <t>Carac</t>
  </si>
  <si>
    <t>25/09/2020</t>
  </si>
  <si>
    <t>soph-80-81388</t>
  </si>
  <si>
    <t>Indemnisations du maintien de salaire et des primes qui se font tardivement, mettant la personne en difficultés. Malgré les documents transmis (en adéquation avec la demande), échanges quotidiens avec les conseillers dont les réponses divergent et qui affirment faire remonter ma demande en urgence, aucun versement après 3 semaines. Si la mutuelle-prévoyance m'a été recommandée, je ne le ferai pas de mon côté et me questionne quant à faire appel à un autre organisme.</t>
  </si>
  <si>
    <t>kami-71491</t>
  </si>
  <si>
    <t>des amateures de l'assurance,je ne veux plus entendre parler d'eux, 1ans et demi que je n'ai aucune reponse suite à un vol.heureusement que ce n'etait pas un incendit ou catastrophe naturelle chez moi.aucun serieux au niveau du traitement des dossiers.aucune communication possible,c'est le pyntagone.à éviter</t>
  </si>
  <si>
    <t>20/02/2019</t>
  </si>
  <si>
    <t>njf-114396</t>
  </si>
  <si>
    <t>Je suis assurée sur Direct Assurance. J'ai fait un devis pour changement sur nouvelle voiture, mais quand j'ai concrétisé le changement d'assurance (uniquement possible par téléphone), le prix est passé de 52 à 68  par mois. La communication téléphonique a coupé 4 fois. Les opérateurs m'ont donné des explications différentes, c'est le bonus qui est mal calculé et impacté, les devis sont valables 120 jours, et ça peut augmenter de 50 % (j'ai de la chance ! que ça n'augmente que de 25 %), si j'avais gardé l'ancienne formule, le devis baissait de 1'  € (quel dommage que je sois obligée de changer de voiture vu que j'ai vendu l'ancienne), bref, que du baratin marketing (je travaille dans le marketing, je connais) pour faire passer la pillule amère qui ne passe pas.</t>
  </si>
  <si>
    <t>duchene-66850</t>
  </si>
  <si>
    <t>Bonjour , voila 5 mois que j'attends que mon dossier invalidité soit validé. J'appelle régulièrement pour connaitre  l'évolution de mon dossier et on me donne différentes versions. La semaine dernière c'était validé et en attente de paiement et ce jour on me dit le contraire que ce n'est absolument pas validé et qu'une expertise est peut-être en cours ?. Je suis au bout du bout, tant financièrement que moralement...</t>
  </si>
  <si>
    <t>14/09/2018</t>
  </si>
  <si>
    <t>choupito-87350</t>
  </si>
  <si>
    <t>une honte</t>
  </si>
  <si>
    <t>19/02/2020</t>
  </si>
  <si>
    <t>jojo57300-53649</t>
  </si>
  <si>
    <t>L assurance fait de très bon prix
je n ai pas eu l occasion de tester pour les sinistres
Par contre le service client de Lille 0, ils vous raccrochent au nez quand ils comprennent pas ...
Nous leurs demandons le montant de la responsabilité civile payée dans l année, cela est impossible ...
toutes les assurances le font sauf l lolivier
du coup nous n aurons perdu +500 €
Nous allons changer d assurance, un service client qui vous raccroche au nez après 15 minutes d attente, c est quand même culoté</t>
  </si>
  <si>
    <t>28/03/2017</t>
  </si>
  <si>
    <t>phigilbert-52261</t>
  </si>
  <si>
    <t>Assuré par le biais de mon employeur à cette mutuelle, je suis très déçu. Leur site internet ne fonctionne pas , impossible de leur écrire ou faire suivre un document. Si pas de chgt, je vais demander au boss de changer de crémerie!!</t>
  </si>
  <si>
    <t>11/03/2017</t>
  </si>
  <si>
    <t>passion-81561</t>
  </si>
  <si>
    <t xml:space="preserve">bjr vendredi 30/11/2019 je déclare un sinistre d un bris de glace malgré que j ai l option bris de glace rien il ne veule rien prendre en charge a fuir </t>
  </si>
  <si>
    <t>03/12/2019</t>
  </si>
  <si>
    <t>isabelle-p-105038</t>
  </si>
  <si>
    <t>Je suis satisfaite du service et de mon interlocuteur qui a suivi mon dossier et qui a répondu à mes questions et bien sûr du prix qui est compétitif.</t>
  </si>
  <si>
    <t>franstey-64224</t>
  </si>
  <si>
    <t>Délais très longs pour la prise en compte d'une inscription : au bout de 3 semaines je n'ai toujours pas mes identifiants</t>
  </si>
  <si>
    <t>roussel-a-137668</t>
  </si>
  <si>
    <t>Je suis très satisfait de l’offre proposer par l’olivier assurance , c’est très simple et pratique pour souscrire à l’assurance avec une bonne prise en charge merci</t>
  </si>
  <si>
    <t>18/10/2021</t>
  </si>
  <si>
    <t>myriem-r-127028</t>
  </si>
  <si>
    <t>Je suis satisfaite de ma souscription. Cela a été simple et rapide. Le prix est plutôt abordable. A voir, maintenant, le service client si besoin est.</t>
  </si>
  <si>
    <t>gayan-70518</t>
  </si>
  <si>
    <t>Mauvais de chez mauvais
Il m'ont fait un contrat pour une cellule camping car et au bout de 8mois (suite à un appel de ma port) je me suis rendu compte que je n'étais pas assuré.( alors que je payé et que le contrat était signé)
Depuis impossible de résoudre le litige: 20 mails 30 coups de telephone</t>
  </si>
  <si>
    <t>antony-g-111003</t>
  </si>
  <si>
    <t>devis rapide en 5 minute ainsi que la souscription . 
prix plutôt intéressant.
ravi du service  pour le moment 
( en espérant qu 'il n' y a pas de surprise après )</t>
  </si>
  <si>
    <t>bea-63565</t>
  </si>
  <si>
    <t>une mutuelle HONTEUSE! la part de remboursement d'analyses de sang effectuées en juin 2017 toujours pas faite et un service client inefficace! après plusieurs appels à leur service client et toujours des réponses contradictoires de leurs opérateurs pour faire passer les mois et ne pas régler! Des courriers avec les documents originaux envoyés jamais reçus d'après leurs dires, donc de nouveau du temps perdu et maintenant on me réclame le décompte de la sécurité sociale alors qu'ils savent très bien que les décomptes sont disponibles seulement 6 mois sur le compte Ameli de l'adhérent. Tout aurait été réglé à temps s'ils étaient pro, ce qui est très très loin d'être le cas...et bien sûr malgré toutes les erreurs de leur côté, ils ne peuvent rien faire! ils ne VEULENT rien faire plutôt oui! c'est une vraie honteuse, j'en ai connu plusieurs des mutuelles et elles sont toutes été satisfaisantes, là avec ViaSanté, c'est juste du jamais vu...j'ai demandé d'être contactée par un médiateur, voyons voir...rendez vous en 2020</t>
  </si>
  <si>
    <t>25/04/2018</t>
  </si>
  <si>
    <t>nicolas-k-113591</t>
  </si>
  <si>
    <t xml:space="preserve">Tarif un peu élevé dans mon cas, je n'ai pas réussi a joindre un conseillé par téléphone en 2 jours, c'est dommage
Si vous pouvez me contacter pour en discuter.
Merci </t>
  </si>
  <si>
    <t>nvnv12-59089</t>
  </si>
  <si>
    <t>Je viens de recevoir l'échéancier pour l'année 2018, et là, mauvaise surprise, brusque augmentation des tarifs, et sans prévenir bien sur. 
Je suis client depuis plusieurs années, je n'ai jamais eu le moindre accrochage donc ne leur ai jamais couté d'argent, bonus à 49%, cette augmentation ne se justifie en rien, d'autant que les tarifs de la maaf sont très élevés de base. J'ai envoyé un e-mail pour témoigner de mon mécontentement, resté sans réponse.
Augmenter brusquement et sans prévenir l'assurance d'un client qui n'a jamais eu le moindre accident, c'est clairement se moquer du monde. Je n'ai pas d'autre choix que de me tourner vers la concurrence, je n'aurai aucun mal à trouver moins cher ailleurs.</t>
  </si>
  <si>
    <t>24/11/2017</t>
  </si>
  <si>
    <t>mbem-djob-s-124442</t>
  </si>
  <si>
    <t xml:space="preserve">Satisfait le site est assez facile et le document lisible bonne présentation prestation manque tous simplement le contact humain dommage cordialement à recommander </t>
  </si>
  <si>
    <t>michel-s-106465</t>
  </si>
  <si>
    <t>pour une voiture de 10 ans in peu cher et la franchise excessif pou les client fideles un geste commercial serait appreciable a voir des comparatif pour la suite</t>
  </si>
  <si>
    <t>13/03/2021</t>
  </si>
  <si>
    <t>mohamed-b-130856</t>
  </si>
  <si>
    <t>satisfait du site et du prix de l assurance.Le cheminement vers la réalisation du devis est plutôt claire.Il manque l'envoi du docment directement à l'adresse mail</t>
  </si>
  <si>
    <t>herve-l-132127</t>
  </si>
  <si>
    <t>Assuré depuis 40 ans à la GMF, j'ai toujours été satisfait de la prise en compte et du suivi des dossiers; les tarifs sont raisonnables, l'espace assuré du site pratique et convivial.</t>
  </si>
  <si>
    <t>picorette-86166</t>
  </si>
  <si>
    <t>Épuisée par les multiples demandes, le dossier n est toujours pas traité...ils rajoutent encore et toujours des attestations a fournir car je cité " un arrêt de travail n est pas recevable" ni une décision médicale de mise en congé longue maladie. Je me demande s ils se rendent compte qu ils échangent avec des gens en longue maladie , des gens qui de plus sont en difficulté financière et que ce n est pas un choix de notre part. Ça frise le harcèlement moral.</t>
  </si>
  <si>
    <t>21/01/2020</t>
  </si>
  <si>
    <t>chris-87963</t>
  </si>
  <si>
    <t>Je suis très en colère contre Direct Assurance bien que les faits remontent à 2014. Mon époux avait garé sa voiture chez nous et pour accéder à cet endroit il y a une petite côte à monter. Il n'a pas mis la 1ère ainsi que le frein à main et au bout d'un moment ce qui devait arriver arriva la voiture est descendue à emporter notre portail en aluminium ainsi que notre portillon pour finir sa course sur le mur du voisin. Fort heureusement pas de victime. J'appelle Direct Assurance pour les informer du fait leur dire que la voiture est abimée, le portail et portillon sont cassés et le mur du voisin abimé. Leuir réponse est la suivante : Pas de problème nous prendrons tout à notre charge, il faut dire que la voiture était assurée chez eux en tous risques. Le lendemain devant mon époux je rappelle et une autre personne me dit la même chose que voiture portail et mur du voisin seront pris en charge par l'assurance. On me contacte rapidement pour la voiture, le mur du voisin et je pose la question pour la portail et quelle ne fut pas leur réponse. Quel portail non non cela ne nous concerne pas. En définitive ils n'ont rien fait pour notre portail et portillon sachant je le rappelle que la voiture était en tous risques. Fort heureusement la Matmut chez qui nous sommes assurés depuis longtemps pour notre maison, et que j'avais prévenu au moment des faits, a couvert les frais pour le portail et portillon. C'est une honte, c'est scandaleux j'ai fait un courrier en demandant les écoutes téléphoniques puisque nous sommes souvent enregistrés. Pas de nouvelle c'était un simple courrier sans recommandé. 
Pour ceux et celles qui sont en quête de quelques économies passez votre chemin, en fin de compte cela vous en coutera plus cher le jour ou vous aurez un problème. J'ai résilié le contrat à la date d'anniversaire et depuis je les fuis comme la peste.</t>
  </si>
  <si>
    <t>04/03/2020</t>
  </si>
  <si>
    <t>vaing-a-117612</t>
  </si>
  <si>
    <t>Décevant pour les 15 euros pour un avenant sur contrat (surtout pour changement d'adresse).
En revanche, satisfaite du service client par téléphone, bonnes explications du contrat.</t>
  </si>
  <si>
    <t>dumonteil-v-109641</t>
  </si>
  <si>
    <t>Merci beaucoup à Christian qui a été mon premier contact chez vous car il a été très clair et a su bien me conseiller et a bien suivi le dossier en me rappelant comme convenu.Très pro et patient.</t>
  </si>
  <si>
    <t>vamenipi-62619</t>
  </si>
  <si>
    <t xml:space="preserve">Je viens témoigner du manque d'éducation d'une employée de SwissLife qui se prénomme emilie qui se dit travailler dans une agence de Toulouse qui prend RV chez un professionnel qui lui fait perdre une heure sur son temps de travail, part déjeuner avec sa collègue qui l'accompagnait en disant qu'elles reviendraient après leur déjeuner, qu,elle enverrai les devis fait le lendemain. Non seulement elle n'est pas revenue ne serait-ce que our dire "au revoir " et quinze jours sont passée et aucun devis n'est arrivé sur ma boite mail!
Cette personne ne m'a jamais laissé de carte de visite je n'ai que son numero de téléphone.
Cette personne si elle travaille effectivement pour votre socité va vous faire une très mauvaise publicité. C'est ce que je fais de toute façon auprès de mon entourage personnel et professionnel. J'ai depuis signé un contrat prévoyance santé chez un de vos concurants. 
</t>
  </si>
  <si>
    <t>maelin-56699</t>
  </si>
  <si>
    <t xml:space="preserve">Je ne recommande pas du tout cette assurance, j'ai appelé pour faire assuré ma voiture, mais après réflexion faite j'ai décidé de ne pas accepter cette assurance, c'est pour cela que je n'ai pas envoyé les papiers qu'ils demander, ceux qui signifient que normalement je ne suis pas assuré. Le problème était que depuis le mois de février 2017 j'ai des prélèvements qui se font tous les mois sachant que je n'ai rien signé chez L'olivier assurance auto. Au total, à ce jour j'ai payé plus de 871€ pour une voiture qui n'est même pas assurée chez eux.
Cela fait maintenant 7 mois que j'essaye de "stopper" ce contrat que je n'ai jamais signé car je paye pour rien.
Vraiment je la conseille à personne, il y a des assurances dix fois mieux à tous les niveaux.
PS: Je pourrais écrire quoi sur ma lettre de "résiliation" svp </t>
  </si>
  <si>
    <t>17/08/2017</t>
  </si>
  <si>
    <t>cece-76080</t>
  </si>
  <si>
    <t>A FUIR ! J'ai malencontreusement détérioré le gilet airbag d'une amie en l'approcheant trop prêt du pot d'échappement mais la Maif a estimé que comme je "détenai" l'objet dans ma main, ma responsabilité civile ne serait pas prise en charge ! Pour un gilet a 400 balles merci ! C'est l'une de leur clauses qui jouent sur les mots afin de rembourser le moins possible ! En même temps il est difficile de détériorer ou endommager quelque chose sans le "DETENIR" ! Heureusement que je n'ai pas eu un dégât des eaux, ils m'aurait repondu que j'ai "détenu" le robinet qui a cassé !!!</t>
  </si>
  <si>
    <t>20/05/2019</t>
  </si>
  <si>
    <t>guy-b-130538</t>
  </si>
  <si>
    <t>Je suis client Direct Assurances et via l'application le tarif n'était pas celui annoncé.
De plus vous me comptez des frais de dossier alors que nous sommes déjà client chez vous.</t>
  </si>
  <si>
    <t>anna-104736</t>
  </si>
  <si>
    <t xml:space="preserve">Mercer ne répond plus aux mails, service client pourri
Inadmissible compte tenu de leur prix pratiqué !
Ils font passer ça sur le dos du Covid, pourtant il n'y a aucunes difficulté dans ce genre d'entreprise a faire du télétravail !
</t>
  </si>
  <si>
    <t>24/02/2021</t>
  </si>
  <si>
    <t>diane-81415</t>
  </si>
  <si>
    <t xml:space="preserve">Bonjour 
J étais à la gmf depuis 1987 et possède  un bonus de 50 % et 4 véhicules chez eux dont 2 non roulants et un en panne dont j ai du mal à me séparer car espère le faire réparer 
en 2016 j achète un véhicule neuf je reprend un nouveau contrat 
 j ai un bris de glace,  un accident non responsable qui s avere déclaré trop vite car le rétro concerne était deboite (je préviens la gmf d annuler ma déclaration  en vain ) et un accident responsable  en 3 ans 
La gmf m informe que je suis viré 
J ai résilié tous mes contrats 
Assurance juridique 
Assurance famille 
Assurance habitation 
</t>
  </si>
  <si>
    <t>28/11/2019</t>
  </si>
  <si>
    <t>jukebox2020-91275</t>
  </si>
  <si>
    <t xml:space="preserve">J'ai souhaité obtenir un devis cela a été facile à obtenir , rapide pratique et les prix pratiqués sont intéressants. j'attends pour les modalités de souscription
</t>
  </si>
  <si>
    <t>17/06/2020</t>
  </si>
  <si>
    <t>roro91-60862</t>
  </si>
  <si>
    <t xml:space="preserve">vol avec effraction le 12/06/2017; sinistre bien pris en compte avec une petite ? erreur: pour SOGESSUR je suis locataire et non propriétaire (bigre ma femme a vendu la maison sans me prévenir). Un expert est nommé à qui je fournis les pièces demandées (qq factures dont réparation de la serrure de la porte d'entrée) avec qq difficulté car petits objets dont on ne garde pas forcément la facture et de plus sinistre en notre maison secondaire, les factures se trouvant dans notre résidence principale. Aucune nouvelle de l'expert si ce n'est de la petite main chargée de la réception des justificatifs. Aucune nouvelle non plus de SOGESSUR impossible à joindre par téléphone malgré des dizaines d'appels parfois en continu. Relance par courrier en fin d'année après qq déboires santé de mon épouse. Aucune réponse. Demande d'intervention de mes protections juridiques dès la semaine prochaine et si aucune nouvelle, résiliation de 2 assurances habit. (notre fils et nous), clotûre de 2 cptes SG et publicité factuelle sur les réseaux sociaux pour éviter si possible que trop de "pigeons" se fassent attraper.     </t>
  </si>
  <si>
    <t>Sogessur</t>
  </si>
  <si>
    <t>26/01/2018</t>
  </si>
  <si>
    <t>khotta-m-116413</t>
  </si>
  <si>
    <t xml:space="preserve">Très satisfait de vos services qui sont très complets. Nous vous avons connu grâce à la publicité. Nous sommes ravis de faire partis de vos nouveaux clients. </t>
  </si>
  <si>
    <t>forestier-54159</t>
  </si>
  <si>
    <t>Ne respecte pas le contat.En effet après un sinistre dont le bonus malus a été gelé j'ai subi une augmentation importante à savoir 38,96 euros par rapport à ma cotisation 2016 de 313,56 euros.a savoir cotisation 2017 de 352,52 euros.</t>
  </si>
  <si>
    <t>19/04/2017</t>
  </si>
  <si>
    <t>leturgie-117023</t>
  </si>
  <si>
    <t xml:space="preserve">Conseillère super agréable,au top niveau explication sur les differentes offres ,tarif abordable.a voir en cas de sinistre...
Pour le moment je recommande
Merci
</t>
  </si>
  <si>
    <t>14/06/2021</t>
  </si>
  <si>
    <t>charly-97114</t>
  </si>
  <si>
    <t>Franchement je suis avec Génération depuis années vraiment je suis totalement satisfaites , c'était dans le cadre du travail et malheureusement mon contrat avec eux se termine , je n'ai eu aucun soucis avec cette mutuelle que ce soit au niveau prix, remboursement...tout c'est super bien passée. Je recommande.</t>
  </si>
  <si>
    <t>07/09/2020</t>
  </si>
  <si>
    <t>marques-b-116086</t>
  </si>
  <si>
    <t>Je suis satisfait des services, avec un pris tres attractif meme avec un malus, j'attends juste de résoudre mon probleme de sinistres mais sinon tout est bien</t>
  </si>
  <si>
    <t>bibi-104430</t>
  </si>
  <si>
    <t>A fuir absolument, ma chienne a fait une métrite il y a quelques années en arrière, ablation de l'utérus en urgence.
Ils n'ont pas voulu nous rembourser sur la base d'une opération due à une maladie mais sur sur la base d'une stérilisation, ce qui les faisait économiser 200€ à ce moment là. On avait tous les documents et lettre vétérinaire à l'appui ils n'ont rien voulu savoir. On est même passé par leur médiateur, que du pipo, on nous a conseillé de les signaler aux services des fraudes je n'ai malheureusement pas continué et je le regrette</t>
  </si>
  <si>
    <t>18/02/2021</t>
  </si>
  <si>
    <t>jc-100266</t>
  </si>
  <si>
    <t xml:space="preserve">Les prix pour les voitures sont en principe correct néanmoins il faut savoir discuter quand un véhicule n’a pratiquement pas roulé et on arrive toujours à trouver un compromis </t>
  </si>
  <si>
    <t>filium-133479</t>
  </si>
  <si>
    <t>Bon assureur, mais le bon paye pour le mauvais,  niveau prix un peu chére mais c'est une bonne assurance et je le recommande, mon avis trier le bon conducteur sur le mauvais et faire payer le mauvais conducteur et les grands rouleurs.
Cordialement.</t>
  </si>
  <si>
    <t>19/09/2021</t>
  </si>
  <si>
    <t>pierrelouis-c-106219</t>
  </si>
  <si>
    <t xml:space="preserve">les prix a partir d'un certain temps sont plus chère que chez les concurrents directs assurance privilégiant les nouveaux arrivants afin d'appâter.
offre nettement moins intéressante à partir de la 3eme année même avec un bonus maxi </t>
  </si>
  <si>
    <t>11/03/2021</t>
  </si>
  <si>
    <t>mat-58950</t>
  </si>
  <si>
    <t>La plus mauvaise assurance que j'ai connu. Problème dès le devis et ensuite lors de mon sinistre ils ont trouvé tous les moyens pour ne pas intervenir, même sur les dégâts causés à un tiers.
Prenez n'importe quelle assurance sauf celle la</t>
  </si>
  <si>
    <t>20/11/2017</t>
  </si>
  <si>
    <t>kristina-e-121519</t>
  </si>
  <si>
    <t>je suis satisfaites mais beug pour la déclaration de sinistre en ligne.  Javais tout rempli et je vais devoir recommencer, je ne sais pas pourquoi mais bon sa peut arriver</t>
  </si>
  <si>
    <t>jero-68060</t>
  </si>
  <si>
    <t xml:space="preserve">MARRE QUE ON SE FOUS DE MOI .DELAI TROP LOIN . EN ARRET DEPUIS LE 24 JUILLET TOUJOURS RIEN RECU EN COMPETEMENT DE SALAIRE . EN 3 APPEL LE DELAI DE TRAITEMENT PAS DE 8 JOURS A PLUS DE 4 SEMAINES . VOUS ME DEMANDER DE REFAIRE UNE NOUVELLE DECLARATION  MON EMPLOYEUR LA REFAIT ET CELLE CI A DISPARUE . TOUJOURS LE MEME DISCOURS </t>
  </si>
  <si>
    <t>25/10/2018</t>
  </si>
  <si>
    <t>khalf-81482</t>
  </si>
  <si>
    <t xml:space="preserve">Je suis cliente à la Matmut depuis 9 ans maintenant, le service client laisse à désirer. Les conseillers sont désagréables parfois. Le prix a augmenté en 2020 et la franchise aussi. Très déçue de cette assurance. </t>
  </si>
  <si>
    <t>29/11/2019</t>
  </si>
  <si>
    <t>stephanie-79334</t>
  </si>
  <si>
    <t>FUYEZ !!! Inscrit depuis plusieurs années! Augmentation affolante des cotisations ;100 euros en deux ans. Bris de glace : honteux!!
Pour ma part. Cotisations plus bris de glace 249 euros d augmentation aucun sinistre depuis le début . Malus bonus 0,5
 Une vraie honte</t>
  </si>
  <si>
    <t>20/09/2019</t>
  </si>
  <si>
    <t>elise-b-129221</t>
  </si>
  <si>
    <t>cliente depuis 20 ans, jamais déçue, toujours à l'écoute et tarifs raisonnables. de bons conseils et un très bon accompagnement dans tous les projets de la vie.</t>
  </si>
  <si>
    <t>kervenic-68584</t>
  </si>
  <si>
    <t>tout à fait satisfait de cette assurance, elle coorespondre a ce quej'attend</t>
  </si>
  <si>
    <t>13/11/2018</t>
  </si>
  <si>
    <t>jordanfalaise-54611</t>
  </si>
  <si>
    <t>20 minutes d'attente pour me facturer 15 € de frais d'avenant.. et m'augmenter mes cotisations de 30 €. Lors de ma souscriptions le commercial ma assuré que mon Bonus/Malus était égal à 1,00 puisque je suis rester 2 ans sans assurance donc sans accident responsable.
Aujourd'hui je découvre que je suis à 1,25 ( pourtant sur mon relever d'information je suis bien a 1,00) et c'est comme ça qu'il me justifie cette augmentation. Cependant la personne que j'ai eu au téléphone a été très courtois.</t>
  </si>
  <si>
    <t>11/05/2017</t>
  </si>
  <si>
    <t>phil-128047</t>
  </si>
  <si>
    <t xml:space="preserve">suite a l'effondrement d'un mur de mon habitation après des vents très violent sur le terrain de mon voisin.
suivi de dossier lamentable aucune écoute. le gestionnaire de l'assurance relancé une dizaine de fois pour s'avoir ou en est le dossier. ex relancé un lundi je vous rappelle jeudi. le jeudi aucun rappel. rappel de ce conseiller 15 jours plus tard.
soit 2 mois après le sinistre pour nous répondre qu'il ne peut rien prendre en compte suite a la probable fragilité du mur. je ne sait pas ce que je doit dire a mon voisin qui subit aussi le préjudice.
attention assurance a éviter pour assuré une maison ancienne il trouverons toujours une solution pour ne pas prendre le sinistre en compte.
 </t>
  </si>
  <si>
    <t>bonsirop-8417</t>
  </si>
  <si>
    <t>Réactif et rapide à joindre si pas de réponse à vos demandes les conseillers vous rappellent dans les 48h.par mail les délais sont rapidement traités même les pièces médicales peuvent être envoyées par email</t>
  </si>
  <si>
    <t>13/04/2019</t>
  </si>
  <si>
    <t>mariina-59623</t>
  </si>
  <si>
    <t>C'est de la substance marron qui sort des fesses !!! résilié pour documents non conformes après qu'il m'ont prélevé de 215 euros lors de ma souscription sur leur site de morback. alors que j'ai fournis tous les documents nécessaires, le problème reste donc un mystère, je n'aurais jamais de réponse concrète.
Chacun dit sa version quand on appel le service ...
C'est un coup le sinistre, un coup le devis, un coup les documents, un coup le bonus , après c'est la date ....
le service consommateur ne répond pas lorsque je demande si je suis résiliée ou non.
Je fais comment alors !!!
Qui est le cerveau de cette boîte, parce que c'est déplorable la !!
Donc n'y aller Pas !!!!!</t>
  </si>
  <si>
    <t>12/12/2017</t>
  </si>
  <si>
    <t>chloe-r-105353</t>
  </si>
  <si>
    <t>J'ai été très déçue du manque de soutien lors de mon accident. Contact déplorable, aucune empathie et aucune volonté de me défendre. Je changerai d'assurance dès que j'en aurai l'opportunité.</t>
  </si>
  <si>
    <t>assiati-a-132868</t>
  </si>
  <si>
    <t xml:space="preserve">Rapport qualité/prix ok, prise en main correcte et rapide 
Je recommande vivement 
Direct assurance propose une large gamme de choix de produits qui permet d'être flexible sur les packs </t>
  </si>
  <si>
    <t>delphineaurore62-56898</t>
  </si>
  <si>
    <t xml:space="preserve">A l'arrêt a partir de octobre 2016 puis en congé maternité jusque avril 2017 je nai toujours reçu aucune indéfaite journalière  et chaque fois que j'appelle on me donne un délai de 15 jours. Vraiment déçue et très mécontente. </t>
  </si>
  <si>
    <t>27/08/2017</t>
  </si>
  <si>
    <t>alain-101859</t>
  </si>
  <si>
    <t xml:space="preserve">je trouve assez cher surtout quand vous avez un accident sans graviter  je veux dire sans
blesser ou de morts   un simple accrochage  avec un autre véhicule  surtout quand vous 
avez votre cotisations qui  augmente de 20 pourcent  pou un premier accident ca fait 
beaucoup </t>
  </si>
  <si>
    <t>26/12/2020</t>
  </si>
  <si>
    <t>sullivan-94023</t>
  </si>
  <si>
    <t xml:space="preserve">Je suis satisfait,je suis très content d’être assuré chez vous,le prix est très raisonnable. Devis fait rapidement,j’espère ne pas à avoir de problèmes par la suite.
</t>
  </si>
  <si>
    <t>14/07/2020</t>
  </si>
  <si>
    <t>denis-v-106459</t>
  </si>
  <si>
    <t>Le prix me convient. Par contre,  je n'ai obtenu aucune prise en charge à l'occasion de mon sinistre de dégâts des eaux. Je ne parviens pas non plus à télécharger mon contrat pour comprendre ce qui est couvert ou pas. Pour moi, prix réduit et couverture minimale.</t>
  </si>
  <si>
    <t>titidu78-54805</t>
  </si>
  <si>
    <t xml:space="preserve">Le mercredi 17 Mai je suis tombé en panne sur la N10 à environ 10 km de la maison.  Il était 20h15 et il pleuvait des cordes.  J'ai essayé d'appeler la MACIF - en vain !  Mon assurance couvre également le 0 km en cas de panne.  Le répondeur que j'ai proposait plein d'options - sauf celle pour une panne au long d'un trajet.  C'est un comble.  Je n'avais pas le numéro de l'assistance et je pense qu'il serait bien de l'indiquer dans l'annonce d'accueil. Du coup, j'envisage de changer d'assurance Auto. </t>
  </si>
  <si>
    <t>mireille-b-122181</t>
  </si>
  <si>
    <t>Simple et pratique, mais encore moins chère ce serait mieux. J'espère que pour les assurés qui n'ont eu aucun sinistre dans l'année, il n'y a pas un centime d'augmentation à l'échéance.</t>
  </si>
  <si>
    <t>nicola-v-132388</t>
  </si>
  <si>
    <t>Je suis satisfait, et la possibilité de souscrire en ligne est particulièrement pratique. On peut modifier à tout moment, souscrire pour quelques mois uniquement, etc. Très bien fait.</t>
  </si>
  <si>
    <t>lulu-103896</t>
  </si>
  <si>
    <t xml:space="preserve">Très bon accueil par ma conseillère , et excellent accueil lors de sinistre notamment le dernier par Romain . 
Pour l'instant nous sommes satisfaits par cette assurance.
</t>
  </si>
  <si>
    <t>drt-76986</t>
  </si>
  <si>
    <t>Bonjour,  je vous déconseille fortement Cardif. Contrat passé en agence BNP sans donner les explications,  devis erroné  puis facturation différente de Cardif
Malgré un recommandé,  plus personne ne répond chez Cardif...</t>
  </si>
  <si>
    <t>21/06/2019</t>
  </si>
  <si>
    <t>orelie35-64519</t>
  </si>
  <si>
    <t>Entreprise qui aime les conducteurs sans accidents sinon risque d’annulation du contrat par l’assureut. 2 accidents non responsable en 3 ans mais sans tiers sachant que je suis cliente depuis plus de 10 ans et ils me remercient en dénonçant mon contrat à date d’échéance.  Apparemment je suis une personne à risque désolé que les cerfs ne soient pas assurés</t>
  </si>
  <si>
    <t>06/06/2018</t>
  </si>
  <si>
    <t>aymeric-m-132721</t>
  </si>
  <si>
    <t>Satisfait du service, devis rapide.
Je recommande cette assurance, les options sont accessibles
La signature du contrat est rapide et la prise d'effet immédiate</t>
  </si>
  <si>
    <t>alexandra-heloise-103119</t>
  </si>
  <si>
    <t xml:space="preserve">Gros  problèmes  de  remboursement.  Ne  répond  pas  ou  répond  à  côté  du  sujet. Ne fournit pas de  relevé  mensuel papier.  Je  suis  très  mécontente.  </t>
  </si>
  <si>
    <t>22/01/2021</t>
  </si>
  <si>
    <t>monik-137665</t>
  </si>
  <si>
    <t xml:space="preserve">Bonjour,
J’ai téléphoné à un conseillé afin de m’aider à me connecter sur le site .
Merci pour l’explication et le temps passer avec moi . 
Réactif , compréhensible, patient.
Cordialement </t>
  </si>
  <si>
    <t>melechtchenko-a-135305</t>
  </si>
  <si>
    <t xml:space="preserve">Je suis très satisfait , bon accueil téléphonique , explications clairs et précises . Des bon conseils .
Simple et pratique 
Bon prix 
Je recommande vivement 
Merci </t>
  </si>
  <si>
    <t>assur67-137627</t>
  </si>
  <si>
    <t>Déclaration de dégats des eaux le 07/10/21 , aucune nouvelle de l'assureur qui se contente d'accuser réception . Il s'agit quand même d'une urgence qui impacte vos biens matériels mais celà ne semble pas les effleurer .J'ai renvoyé un mail avec photos à l'appui, aucune réponse . Je m'adresse à un mur .
 Il y a 20 ans de celà...(hélas tout change et en mal) , ils dépêchaient tout de suite un expert pour évaluer les dégats et les réparations se faisaient rapidement . Donc : efficacité :0 , réactivité:0 , respect du client :0</t>
  </si>
  <si>
    <t>17/10/2021</t>
  </si>
  <si>
    <t>jeremy-x-117557</t>
  </si>
  <si>
    <t xml:space="preserve">Rapide et facile 
Je ne connais pas cette assurance mais j espère qu elle répondra a âmes attentes aussi bien en terme de tarif que de service client 
</t>
  </si>
  <si>
    <t>lionel-m-106945</t>
  </si>
  <si>
    <t>c'est la première fois que je m'inscris est c’était rapide et claire.
j'attend de voir sur la durée , et les modes de remboursement , ou de déclaration de sinistre.</t>
  </si>
  <si>
    <t>saliha-f-106701</t>
  </si>
  <si>
    <t xml:space="preserve">Je suis très satisfaite , service rapide efficace. Tres simple d d'utilisation.  Conseillers très agréables et à l écoute. Tres rapide . Bravo et merci pour ces tarifs très abordables </t>
  </si>
  <si>
    <t>jpass-96108</t>
  </si>
  <si>
    <t>Très Rapide efficace, mon véhicule était assuré dans l heure. Assurance moins chère que celui de  ma compagne il m avait demandé le double  Avec un surplus assurance</t>
  </si>
  <si>
    <t>09/08/2020</t>
  </si>
  <si>
    <t>john-alexander-m-134413</t>
  </si>
  <si>
    <t>je suis satisfait du service, une utilisation de la plateforme facile à utiliser, 
les prix sont abordables, une société à recommander sans y réfléchir.</t>
  </si>
  <si>
    <t>24/09/2021</t>
  </si>
  <si>
    <t>roger-j-112045</t>
  </si>
  <si>
    <t>Je suis satisfait du service, cependant, je trouve les prix très élevés. En effet, pour une voiture de 1999, je paye beaucoup alors que j'ai un super bonus. ...</t>
  </si>
  <si>
    <t>dramane-c-114441</t>
  </si>
  <si>
    <t>j'étais satisfait du service mais cette année le prix de mon assurance a augmenter alors que j'ai eu 0 accident et que mes bilan de conduite youdrive relève de bon niveau tous les mois.</t>
  </si>
  <si>
    <t>isa-75781</t>
  </si>
  <si>
    <t>Alison à bien répondu à toute mes question et à fait le nécessaire de suite.
Pour mes remboursement un grand merci à elle!!!!!!!!!!!!!!!!!!!!!!!!!!!!!!!!!!!!</t>
  </si>
  <si>
    <t>10/05/2019</t>
  </si>
  <si>
    <t>goupil154-60315</t>
  </si>
  <si>
    <t>Nous sommes clients de la MAIF depuis une vingtaine d'année pour l'assurance habitation. Les quelques fois où nous avons fait appel à la MAIF (pour une indemnisation ou pour la protection juridique), nous avons été déçus.</t>
  </si>
  <si>
    <t>bruno-a-125543</t>
  </si>
  <si>
    <t>Je suis satisfait de la prime, correcte au vu de la cylindrée de la moto. AMV reste pour moi une référence à conseiller pour tous motard. Réactivité et bons renseignements sont toujours là. Cdlt. M. ALLARD Bruno.</t>
  </si>
  <si>
    <t>valerie-l-117440</t>
  </si>
  <si>
    <t>Je suis très satisfaite du service GMF en ligne, rapide, efficace et simple. Nos interlocuteurs sont compétents et agréables. Disponible. Répond à nos attentes</t>
  </si>
  <si>
    <t>17/06/2021</t>
  </si>
  <si>
    <t>christian-62573</t>
  </si>
  <si>
    <t>Absence de Portabilité en cas défaillance de l'employeur !!! Résiliation sans respect du préavis et au milieu de mois, sans possibilité de rejoindre une autre assurance avant le début du mois suivant !!! Pas d'information par recommandé donc non respect des conditions générales !!!  Malgré le débit des cotisations salariales, non respect des codes et chartes de la profession...  Bref, Fuyez !!!</t>
  </si>
  <si>
    <t>22/03/2018</t>
  </si>
  <si>
    <t>marie-pierre-116374</t>
  </si>
  <si>
    <t xml:space="preserve">Soukaina est très accueillante, aimable, courtoise et gentille. J’ai eu une clarté de toutes mes questions. Franchement au top des tops Soukaina. Je vous la recommande </t>
  </si>
  <si>
    <t>nabi-n-107078</t>
  </si>
  <si>
    <t xml:space="preserve">je suis satisfait du rapport prix et de réactivité des commerciaux. 
Je suis entièrement content  Je suis entièrement content 
Je suis entièrement content 
</t>
  </si>
  <si>
    <t>sos-102932</t>
  </si>
  <si>
    <t>A fuir, hélas je dois continuer avec eux car c'est une mutuelle groupe obligatoire. Sinon j'irais voir ailleurs. Délais de remboursement trop longs, erreur sur le montant des remboursements. Je cotise en formule confort et j'ai un remboursement basée sur la formule économique..... Cherchez l'erreur !!! Facture envoyée en novembre 2020 et problème toujours pas résolu à ce jour !! Une honte !!! Pas de réponse aux emails, réponse très évasive au téléphone "votre dossier est en cours", "nous faisons remonter l'information", "délais plus longs liés au covid-19". Par contre pas de retard pour prélever les cotisations !!!!!!!!! Vraiment on se fout des assurés royalement.</t>
  </si>
  <si>
    <t>pat-99835</t>
  </si>
  <si>
    <t>Une assurance est toujours trop chère. Cette année particulièrement car la voiture aura très peu roulé avec les restrictions sanitaires. Pour l'instant aucun sinistre déclaré. Des conseillers disponibles facile à joindre.</t>
  </si>
  <si>
    <t>19/12/2020</t>
  </si>
  <si>
    <t>rennuse-r-121462</t>
  </si>
  <si>
    <t>Les prix ainsi que les prestations proposées me conviennent parfaitement. Beaucoup moins chère que ma précédente assurance. Le service de résiliation de l'ancienne assurance est hyper pratique.</t>
  </si>
  <si>
    <t>28/06/2021</t>
  </si>
  <si>
    <t>eddy-50773</t>
  </si>
  <si>
    <t xml:space="preserve">Lors de mon demenagement . L assurance a augmenter de 200 euros .
Suite a mon refus de payer cette augmentation . Il m ont resilier et pourtant il avait deja encaisser la cotisation annuelle de l habitation entierement  et sur cette assurance il me doivent 5 .88. Ce qui veut bien dire que ma cotisation est payer pour l annee .
Mon assurance voiture a augmenter et c cette assurance que je refuse de payer . Et pourtant ils ont encaisser la cotisation annuelle quand ma voiture etait a mon ancien domicile.
Et bien ils ont resilie l assurance voiture et l assurance habitation .
Cette assurance je ne vous l a conseille pas .
. Melange les contrats et vous bloque tout les dossiers meme ceux en regle.
Catastrophique . Fuyer fuyer
</t>
  </si>
  <si>
    <t>29/12/2016</t>
  </si>
  <si>
    <t>kelcas-130766</t>
  </si>
  <si>
    <t xml:space="preserve">Bonjour à tous je suis désolée pour tous ceux qui attendent encore le traitement de leur dossier concernant allianz et tego. 
Mais moi personnellement c'est aller très vite et surtout étant très mal je ne savais même pas mes droits c'est tego qui m'a contacté et qui a fait toute les démarches en me guidant sur les documents à fournir .....alors je ne sais pas si ça va continuer ...mais pour l'instant et mon cas à moi très bonne assurance ......qui ma bcp aider et qui m'aide encore aujourd'hui </t>
  </si>
  <si>
    <t>multirisque-professionnelle</t>
  </si>
  <si>
    <t>ghislaine-c-105361</t>
  </si>
  <si>
    <t xml:space="preserve">Je suis satisfaite de l'accueil téléphonique effectué ce jour , des  garanties proposées par mon interlocutrice , des tarifs  et des garanties offertes.
</t>
  </si>
  <si>
    <t>bonneau-f-109508</t>
  </si>
  <si>
    <t>Difficile de juger de ma satisfaction envers l'assurance L'Olivier dès maintenant.
Cela s'appréciera avec le temps et avec la qualité de service et de réactivité.</t>
  </si>
  <si>
    <t>07/04/2021</t>
  </si>
  <si>
    <t>nana-123309</t>
  </si>
  <si>
    <t>Merci a NISRINE aimable personne tres agreable est proffessionnelle ma guider pour mon annulation contrat super rien a dire ma demande a bien etait traiter merci a elle pour son aide sur le site service client neoliane belle j a vous DELANNOY NATHALIE</t>
  </si>
  <si>
    <t>ysl-123756</t>
  </si>
  <si>
    <t>Alors il y a du bon....et du moins bon : Au bout d'un an sans aucun sinistre, augmentation de plus de 100€ de la prime annuelle ...réponse au téléphone : Dans vôtre secteur géographique, les sinistres sont en hausse...j'ai répondu que cela n'était pas mon problème, du coup une baisse m'a été consentie, soit ... mais en réalisant un comparatif sur le web, l'olivier propose, en tant que nouveau client, un tarif inférieur à celui que j'ai réglé pour la première année d'assurance, et donc largement inférieur à la cotisation réclamée pour 2021-2022. Conclusion : à l'échéance 2022, je résilie sans négociation car j'ai la désagréable sensation d'être pris pour un c.....</t>
  </si>
  <si>
    <t>alexisl-85876</t>
  </si>
  <si>
    <t xml:space="preserve">Etant à la matmut depuis plus de 6 ans, je n'ai rien a leur reprocher, j'ai d'ailleurs déménagé dans le 95 et j'ai pu garder mon agence d'arpajon(91) ou l'équipe est top !
J'ai malheureusement du ouvrir mon premier sinistre ce mois ci suite au vol de mon véhicule.
Le dossier est en cours d'instruction mais la matmut est réactif et reponds très bien à mes questions :)
Je mettrai à jour ma notation avec RETEX une fois mon sinistre clos, mais je vous conseil cette assurance.
J'ai fais quelques mois(1 an) chez direct assurance pour un contrat propriétaire non occupant et c'est moins..... humain, et les tarifs moins interessant. </t>
  </si>
  <si>
    <t>14/01/2020</t>
  </si>
  <si>
    <t>zaza-101236</t>
  </si>
  <si>
    <t xml:space="preserve">Je recommande fortement Assur O'Poil pour les raisons suivantes :
* accueil téléphonique très professionnel, aimable et surtout à l'écoute 
* prix corrects 3 propositions de tarifs et avec détail des prestations explicites 
* envoi des feuilles de soin par mail
* traitement et remboursement rapides
* assure les chiens même s'ils ont 9 ans et plus et jusqu'à la fin
* et surtout assurance Francaise avec des bureaux en France et un numéro de tel qui commence par 01.
</t>
  </si>
  <si>
    <t>Assur O'Poil</t>
  </si>
  <si>
    <t>patpluscoole54-105679</t>
  </si>
  <si>
    <t xml:space="preserve">je suis consterné de lire tous ces messages qui confirment ce que je pense de cette mutuelle!!je ne sais pas s il y a d autres cas similaires au mien ...il y a quelques semaines j ai fait une simul en ligne pour avoir des infos sur la tarification et les services proposés bien sur j ai été contacté par pas mal de mutuelles j ai demandé des renseignements aux uns et aux autres et j ai eu l inconscience de donner par téléphone des renseignements notamment ai indiqué toujours au téléphone mon iban bancaire MAIS C EST TOUTj ai recu par mail un contrat je n ai absolument rien signé rien renvoyé!!!!ils ont fait comme si j étais adhérent m ont envoyé les 2 cartes pour mon épouse et moi !!!etle comble ils viennent de présenter la 1ère échéance sur mon compte alors que je leur ai signalé que ne donnais pas suite à leur proposition......je n ai plus qu  à faire opposition SCANDALEUX  </t>
  </si>
  <si>
    <t>pinpin92-50939</t>
  </si>
  <si>
    <t>injoignables au téléphone ..............pour une banque en ligne il faut le faire ! je regrette vraiment d'avoir souscrit chez Direct Assurance et dès que possible je fuis..............</t>
  </si>
  <si>
    <t>04/01/2017</t>
  </si>
  <si>
    <t>nunez-a-126795</t>
  </si>
  <si>
    <t xml:space="preserve">Prix très satisfaisant pour l instant maintenant il faut voir comment ça se passe en cas de sinistre, si cela reste encore satisfaisant ou pas. Merci à vous. </t>
  </si>
  <si>
    <t>06/08/2021</t>
  </si>
  <si>
    <t>raffier-g-115309</t>
  </si>
  <si>
    <t xml:space="preserve">Je suis satisfait par les prix et les services.
Je suis assurée chez L'Olivier depuis 2017 pour mes véhicules et je suis très satisfaite par les prix et les services
je recommande </t>
  </si>
  <si>
    <t>aymeric-m-129068</t>
  </si>
  <si>
    <t>Beaucoup d’options disponibles très pratique comme bris de glace sans franchise.
Tarif concurrentiel et très simple pour souscrire.
Je recommande cet assureur.</t>
  </si>
  <si>
    <t>yann33-64393</t>
  </si>
  <si>
    <t>Je recherchais une assurance sur Internet pour un nouveau véhicule, j ai reçu très rapidement une proposition que j ai pu ajuster à mes besoins par LOlivier. Une fois le contrat conclu, l enregistrements des documents a été très simple et rapide. J’ai eu besoin de poser une question la réponse ne s’est pas fait attendre. Une personne m a appelé pour Savoir si tout se passait bien. Je suis pleinement satisfait d’avoir signer avec cette compagnie.</t>
  </si>
  <si>
    <t>lomino-70981</t>
  </si>
  <si>
    <t>Attention à la souscription d'une assurance auto Allianz en ligne (eAllianz).
J'ai déclaré 1 an de bonus 50% et envoyé les documents.
Allianz me retourne un avenant avec une augmentation de tarif en me disant que j'ai déclaré 2 ans de bonus.
Heureusement, j'avais fait une copie d'écran qui montre que j'ai bien choisi 1 an.
3 appels téléphoniques et à chaque fois de 10 à 23 minutes d'attente.
Une connexion à l'espace client impossible et on me répond : pour se connecter, il ne faut pas faire de copier-coller  de l'adresse mail ni du mot de passe !
J'ai envoyé un mail de réclamation et ma copie d'écran. J'espère qu'ils me répondront et pas dans 1 mois.
Voilà ma situation 1 jour après avoir souscrit. Super super !!</t>
  </si>
  <si>
    <t>charlielabellevie-66108</t>
  </si>
  <si>
    <t xml:space="preserve">Assureur pour ceux qui n ont pas de problèmes ni sinistre 
J ai été cambriolée en mars et à ce jour aucun retour aucune indemnisation 
J ai passé deux jours à me battre pour les joindre afin d obtenir l intervention d un serrurier sinon pas de porte à mon domicile mais ça n inquiete Personne chez sogessur qu une famille avec un nourrisson passe plusieurs nuits avec une porte vandalisée qui ne ferme plus à Marseille 
service injoignable qui ne se sent pas concerné
Pourtant je suis employée société générale quand on dit que les cordonniers sont les plus mal chaussés c est vrai Le tarif sans la réduction employé est élevé pour une qualité de service médiocre et dire que nous salariés on nous oblige chaque jour à vendre cette assurance c est un scandale j ai honte vis à vis de nos clients </t>
  </si>
  <si>
    <t>09/08/2018</t>
  </si>
  <si>
    <t>patrice-m-103640</t>
  </si>
  <si>
    <t xml:space="preserve">Service performant, proposition de solutions alternatives, relation avec un seul conseiller qui suit le dossier. 
plateforme digitale simple et claire. </t>
  </si>
  <si>
    <t>03/02/2021</t>
  </si>
  <si>
    <t>thomas-d-109187</t>
  </si>
  <si>
    <t xml:space="preserve">Très bon rapport qualité prix.
Personnel compétent et à l'écoute.
Je recommande ce type d'assurance.
Facilité de mise en œuvre et de suivi.
Changement réalisé avec succès </t>
  </si>
  <si>
    <t>05/04/2021</t>
  </si>
  <si>
    <t>allexandre-t-134489</t>
  </si>
  <si>
    <t>Satisfait. a voir par la suite,
en espérant n'avoir que de bonne relation avec votre enseigne dans les année a venir.
Sur ce, très bonne journée a vous.</t>
  </si>
  <si>
    <t>anin-yeoj-110762</t>
  </si>
  <si>
    <t xml:space="preserve">A fuir !!!! 
Ayant eu un souci avec ma voiture qui date d’Octobre 2020.. je ne suis toujours pas indemnisée et nous sommes en Avril 2021 !!!...
Ils font traîner les choses.... malgré plusieurs appels, impossible de joindre le service concerné, ça raccroche tout le temps...
La dernière personne que l’on a eu nous a dit qu’on serait indemnisé prochainement... sans nous avoir au préalable proposé un montant... montant que nous n’avons toujours pas reçu...!!
Nous payons encore l’assurance de la voiture alors qu’on ne l’a plus depuis 6 mois... 
alors pour réclamer leurs dûs, ils sont champions, mais pour s’occuper de vraies victimes, y a plus personne !!!! 
N’y allez jamais, ou alors...... n’ayez pas de souci !! </t>
  </si>
  <si>
    <t>17/04/2021</t>
  </si>
  <si>
    <t>laurent-c-109038</t>
  </si>
  <si>
    <t>Il est étonnant que pour assurer mon deuxième véhicule de grosse cylindrée en tous risques cela triple le tarif tout en réalisant du  covoiturage avec celui-ci. J'ai du revenir au crédit mutuel pour avoir un tarif qui est moins élevé.</t>
  </si>
  <si>
    <t>03/04/2021</t>
  </si>
  <si>
    <t>nn-61740</t>
  </si>
  <si>
    <t>Bonjour, 
n° 274892
Je suis assurée chez vous depuis novembre 2017, cependant mon ancien assureur m'a résilié pour défaut de paiement de mes cotisations, car vous n'avez pas indiquez le bon n° de contrat lorsque vous avez résilié en vertu de la loi Hamon et donc je restais affilié chez eux tout en étant assuré chez vous une situation que je ne comprends pas.
Je vous serais gré de m'informer de la situation.</t>
  </si>
  <si>
    <t>25/02/2018</t>
  </si>
  <si>
    <t>mia-134015</t>
  </si>
  <si>
    <t xml:space="preserve">Suite aux pluies torrentielles de début juin en région parisienne, infiltrations d’eau dans une pièce d’habitation au niveau jardin. La 1ère fois depuis que nous l’occupons en 25 ans. Allianz mandate une entreprise en recherche de causes de fuites (139€ franchise à payer). A peine arrivé, le technicien affirme que la pièce n’est pas aux normes (la construction de la maison date du début des années 60!) et n’est pas ventilée d’où une « condensation » (le terme n’est pas innocent). Cette pièce d’une dizaine de m2 comprend 2 grandes fenêtres permettant une ventilation par entrebâillement et n’a jamais montré de signes de condensation (au niveau des vitres par exemple). Par contre, la cave de la maison voisine a été complètement inondée suite à ces pluies torrentielles de début juin. Le ton du technicien me fait rapidement comprendre que pour être assuré chez Allianz, il est préférable d’avoir une maison récente aux normes. Ma question est donc: si les dégâts des eaux affectant les maisons anciennes ne sont pas couverts car par définition non conformes aux normes modernes, pourquoi payer une prime d’assurance « dégâts des eaux »? Insatisfaction = résiliation </t>
  </si>
  <si>
    <t>maxime-80351</t>
  </si>
  <si>
    <t>Experience désasteuse on nous demande 450e de franchise pour le vol de la batterie plus les cables coupés (evidement moins cher que le forfait franchise) en bref on me dit que si les reparations sont moins cher que ce prix là il vaut mieux pour moi que je ne declare pas le sinistre. La franchise est la meme pour le vol d'un retroviseur d'un cache ou du vehicule entier. On me dit que la franchise est 50% moins cher si le scooter est gravé peu importe si la piece volée l'etait ou pas.
Cette assurance ne coute pas cher tant qu'on a aucun sinistre (on comprend pourquoi)
A eviter absoulument. Les dispositions seront prise dans les plus bref delais pour changer d'assurance</t>
  </si>
  <si>
    <t>oceane-57772</t>
  </si>
  <si>
    <t>Je ne recommande pas du tout cette assurance !! Sinistre pour bris de glace déclaré début Aout, assurance prévenue, expert averti pour constat avant prise en charge chez le réparateur. Nous avons payé la totalité du pare brise (740euros!) et Direct Assurance à envoyer le chèque à la mauvaise adresse (mal noté par la conseillère) donc opposition au chèque. Et à ce jour toujours aucun remboursement ! Tout simplement inadmissible !!</t>
  </si>
  <si>
    <t>03/10/2017</t>
  </si>
  <si>
    <t>lucas-m-128232</t>
  </si>
  <si>
    <t xml:space="preserve">Très satisfaite du service, à l'écoute des demandes et tout est bien expliqué en détail. Les prix d'assurances sont satisfaisant également. Je recommande pour un jeune conducteur. </t>
  </si>
  <si>
    <t>karine-76081</t>
  </si>
  <si>
    <t>harcelement téléphonique quotidien de la part de cette société qui n'hésite pas à se servir de numéros téléphoniques appartenant à des particuliers pour vous appeler et vous mentir sur l'état de votre protection actuelle malgré inscription sur bloctel. honteux !!!
ils répondent que ça ne vient pas de leur société mais alors les démarcheurs travaillent pour eux sans leur dire ??? n'importe quoi !!!</t>
  </si>
  <si>
    <t>barbe-luzio-c-115077</t>
  </si>
  <si>
    <t>Les explications sont claires, les tarifs sont abordables, ils assurent les jeunes conducteurs et les  conseillers sont agréables et conseillent très bien; Je recommande!</t>
  </si>
  <si>
    <t>27/05/2021</t>
  </si>
  <si>
    <t>gemos06--123280</t>
  </si>
  <si>
    <t>En tant que bénéficiaire de 2 assurances vie, j'ai été réglé en 48 heures une fois le dossier monté sur l'espace bénéficiaire Sogecap. 
J'ajoute que les quelques contacts téléphoniques au préalable avaient toujours été positifs avec un accueil bienveillant de la part de mes interlocuteurs. Je recommande sans hésiter Sogecap comme compagnie d'assurance vie</t>
  </si>
  <si>
    <t>pauline08200-77873</t>
  </si>
  <si>
    <t xml:space="preserve">Ras le bol de ses personnes au téléphone sa fait depuis le mois de octobre 2018 qu'on me dit que jai le droit a mon congé materniter a partir du 20 janvier 2018 donc d'envoyer le dossier en décembre et finalement et la réponse et vous y avez pas me droit car jai pas travailler jusqu'au 13 décembre et quil ya avis une nouvel réforme a partir de janvier mais je n'aurai pas du avoir la nouvelle réforme puisque jetait en arrêt maladie du 15 novembre 201i au 19 janvier 2019 c inadmissible jai accoucher dun enfant mort nee suivi de 2 fausse couche donc arret maladie forcer contre ma volonté et finalement rien du tous ont va pas perdre un enfant pour leur beau yeux je portait quand même des charge de 20 à 25lg max c vraiment désolant quand meme </t>
  </si>
  <si>
    <t>24/07/2019</t>
  </si>
  <si>
    <t>regine-v-133717</t>
  </si>
  <si>
    <t xml:space="preserve"> 1ere fois que je prends 1 assurance en ligne, j'ai trouvé ça simple et rapide, a voir dans le temps comment ça se passe, j'espère que tout se passera bien !</t>
  </si>
  <si>
    <t>divepopo-64072</t>
  </si>
  <si>
    <t>Tout va bien jusqu’à ce que qqch vous arrive...</t>
  </si>
  <si>
    <t>17/05/2018</t>
  </si>
  <si>
    <t>artur-vitor-a-135183</t>
  </si>
  <si>
    <t xml:space="preserve">Très bon prix , j’ai bien aimé la falicite de me inscrire , je veux savoirs  quand je vais recevoir la carte verte pour il être bien tranquille . Merci </t>
  </si>
  <si>
    <t>be-shock-138319</t>
  </si>
  <si>
    <t>J'avais peur au vu des avis mais j'ai eu des explications très claires. Alexandre à été à l'écoute et à su éclairer mes doutes. Ayant des frais médicaux élevés je vous remercie</t>
  </si>
  <si>
    <t>dominique--123334</t>
  </si>
  <si>
    <t xml:space="preserve">À 54 ans, je ne regrette absolument pas d'avoir en École de Police choisi la MGP.
Les policiers plus jeunes me demandent mon avis quant aux mutuelles, je réponds d'après ce que j'entends de part et d'autres ou même de la part de mon père, policier à la retraite ayant changé de mutuelle que la votre, que la MGP est un peu plus chère mais au moins, la MGP est là ! La MGP est présente ! Et les démarches sont faciles avec la MGP.
Merci la MGP ainsi qu'à ses employé(e)s.
Prenez Grand Soin de Vous en ces temps difficiles de COVID-19. </t>
  </si>
  <si>
    <t>ahlem-94331</t>
  </si>
  <si>
    <t xml:space="preserve">Je suis satisfaite   
Je suis satisfaite     
Je suis satisfaite   Je suis satisfaite   Je suis satisfaite   Je suis satisfaite   Je suis satisfaite   Je suis satisfaite   </t>
  </si>
  <si>
    <t>jean-louis-c-117089</t>
  </si>
  <si>
    <t>je  suis satisfait du service  jusqu'a présent. Mais il faut reconnaitre que je n'ai eu aucun sinistre. pourvu que ça dure longtemps encore. J'espère ....</t>
  </si>
  <si>
    <t>doume64-59650</t>
  </si>
  <si>
    <t>En arrêt depuis mars, et à la demande de mon employeur, j'ai envoyé à swisslife, l'attestation IJSS pour toucher mes compléments. Toujours rien, et aucune réponse à mes mails de relance. J'ai réussi à avoir en ligne une personne Swisslife, qui a accepté de me répondre, et m'a informé que c'était à mon employeur de payer mes compléments, tout en sachant que c'est mon employeur qui m'a demandé de leur envoyer mes IJSS pour toucher les compléments ! Je paye 360 euros par mois Swisslife prévoyance. C'est du pure n'importe quoi !</t>
  </si>
  <si>
    <t>13/12/2017</t>
  </si>
  <si>
    <t>jean-103290</t>
  </si>
  <si>
    <t>j'ai adhéré à la mgp en 1969. Depuis cette date je n'ai pas rencontré de problème particulier, tout du moins de situations qui m'ont pas trouvé de solution. Je sais que j'ai une bonne couverture santé. Bien sur je trouve la mensualités assez élevées par rapport à d'autres mutuelles, mais je pense que la gestion de ma mutuelle est sérieuse et honnête. En ce qui concerne mon adhésion au capital décès je regrette que les droits prennent fin à l'âge de 80 ans (je ne suis pas certain de cette précision) mais ce qui est certain c'est qu'il ne devrait pas y avois de limite d'âge. C'est la seule observation négative que je fais. Globalement je suis satisfait.</t>
  </si>
  <si>
    <t>medeiros-marques-d-135085</t>
  </si>
  <si>
    <t xml:space="preserve">Je suis satisfaite du service et de la communication avec les agents. Le prix me convient parfaitement, je vous remercie par avance surtout de votre patience ! </t>
  </si>
  <si>
    <t>bogic-d-122893</t>
  </si>
  <si>
    <t>très satisfaisant, les conseillers téléphonique sont très disponibles et il n'y a pas trop d'attente au tél, conseil et adaptation du devis, réception du devis rapide et simple</t>
  </si>
  <si>
    <t>09/07/2021</t>
  </si>
  <si>
    <t>loutfi-a-105515</t>
  </si>
  <si>
    <t>les tarifs sont plutôt bien, maintenant c'est la première foi que je m'assure cher direct assurance j'en avait entendue parler en bien donc on verra bien avec les année y a pas de raison  .</t>
  </si>
  <si>
    <t>stephane--139506</t>
  </si>
  <si>
    <t>Bonjour à tous,
Attention, il faut fuir cet assureur, absence totale de suivi des dossiers et d'information. Une honte, votre dossier est suivi par un responsable mais qui ? quand ? comment ? c'est un fantôme.
Cdt
Stéphane Llorente</t>
  </si>
  <si>
    <t>12/11/2021</t>
  </si>
  <si>
    <t>cerise28-129659</t>
  </si>
  <si>
    <t xml:space="preserve">Très très déçus..
J'ai eu un accident, non responsable, tout risque intégral.
Donc en attendent l'assurance me prête 12 jours une voiture.. le temps qu'un expert fasse son travaille.
L'experte c'est tromper de garage mais il prenne pas la peine de m'appeler pour me le dire, du coup 10 jours plus tard je rappel, et je reprends rdv pour que l'experte passe voir ma voiture dans le bon garage et la ça fait 1 semaine pile que j'attends encore.
Et au final le garage me rappel aujourd'hui pour me dire qu'ils ont pas la clés, et que l'experte peut rien faire sans la clés de la voiture..
Bien sur entre temps j'avais appeler 3 fois BCA expertise pour savoir où ça en est, ils me disent on transfère le message et j'apprends du garage donc que l'experte ne lis jamais ces message ! Heureusement que le garage m'appelle alors je sais pas combien de temps je serai sans nouvelle ..
Même le garage lui même m'a dit que les experts qu'envoyer pacifica était nul et très long ! 
Ah oui bien sur étant donner que l'experte met du temps, les 12 jours de prêts de la voiture sont passer et deviner quoi ?! L'assurance ne me prête aucune autre voiture en attendent, et vous savez ce qu'on m'a dit "vous devez vous débrouiller par votre propre moyen" !
Le pire en fait c'est que je vais perdre mon travaille, et que les assurances s'en foute, alors que je suis pas en tord et que je suis tout risque !! 
Ça fait 3 semaines maintenant que j'attends ! Et j'ai pas de voiture ! Comment je fais ? 
Dois je porter plainte ? Contre qui ? L'assurance, ou la responsable de l'accident, mon moral en prend un gros coup ! </t>
  </si>
  <si>
    <t>lahoucine-103858</t>
  </si>
  <si>
    <t>Je suis très satisfait de cette assurance, c'est une bonne assurance,
Ils sont toujours disponibles au bout de fil
Franchement je n'ai rien à dire contre direct assurance</t>
  </si>
  <si>
    <t>oualouane-a-115187</t>
  </si>
  <si>
    <t xml:space="preserve">Je suis satisfait le prix  est correct , par contre votre site deconne beaucoup j’ai eu du mal à entrer dedans pour envoyer les documents que j’ai envoyé par mail . </t>
  </si>
  <si>
    <t>vincent-g-104501</t>
  </si>
  <si>
    <t>Super service ! 
Une nouvelle fois merci à benjamin pour son professionnalisme et sa réactivité !
Très heureux de poursuivre l'aventure avec Zen'up que je n'hésiterai pas à recommander !</t>
  </si>
  <si>
    <t>anne-claire-71092</t>
  </si>
  <si>
    <t>Abandonnée par la Maif. Le lundi matin j'étais dans l'impossibilité de rentrer chez moi avec mes affaires à l'intérieur sans mes papiers sans mon portefeuille et sans mon portable. Un voisin a eu la gentillesse de rechercher sur Internet les coordonnées d'un serrurier et de l'appeler pour moi. J'ai demandé à ce qu'il tape serrurier maif agréé Paris. J'ai eu le serrurier au téléphone lui ai demandé s'il travaillait avec la maif il m'a répondu que oui et je lui ai donc demandé de venir. Lorsqu'il est venu il m'a assuré que je n'aurai que la franchise à payer que le reste serait pris en charge mais qu'il devait entrer et faire le devis à l'intérieur afin de voir la serrure. Il a donc ouvert après un long moment. Il a établit directement une facture me demandant de payer. En voyant le montant je l'ai trouvé élevé. J'ai refusé de payer avant d'avoir appelé l'assistance Maif. Quand j'ai appelé, le serrurier a haussé le ton je me suis sentie menacée. J'étais seule chez moi et lui faisait presque 2 mètres. J'ai eu tout de même la conseillère Maif qui m'a assuré que c'était pris en charge jusqu'à 1600 euros (MENSONGE). Je lui ai demandé confirmation devant la hauteur du montant. Elle m'a répondu que oui, la priorité étant ma sécurité. J'ai raccroché. Et le serrurier m'a dit qu'il attendait le règlement, que de toute manière je n'avais pas le choix. Et ce avant qu'il ne commence à installer la serrure. J'ai eu peur, j'ai payé, j'étais déjà sous le choc de l'effraction. J'ai le talon du paiement qui prouve l'horaire. Il y a eu abus de faiblesse, je m'en suis rendue compte suite à l'entretien avec l'expert aujourd'hui. Mais je ne connais pas les prix du marché, je ne suis pas du métier (384 euros à priori). Aujourd'hui, j'ai demandé a une serrurière son avis, elle m'a dit que malheureusement, le métier n'était pas surveillé, que les prix étaient libres et non réglementés. Elle m'a dit que dans ces circonstances, il était difficile pour moi de faire différemment, sous la contrainte et que je devais être prise en charge en totalité comme client final. J'ai également pris contact avec ufc que choisir, qui m'a dit que mon assurance maif serait certainement compréhensive et qu'elle prendrait en charge en totalité, puis qu'elle m'aiderait à réparer le préjudice auprès de l'arnaqueur (ABSOLUMENT PAS, ABANDON DE LA MAIF). Je me sens désabusée, c'est une énorme somme. Je suis au chômage et gagne 900 euros par mois. Je suis assurée Maif depuis longtemps, comme le reste de ma famille. J'ai vraiment compté sur la compréhension de la maif , son assistance et son support en tant qu assureur militant pour m'assister dans ce sinistre dont j'ai été victime et qui me traumatise. Verdict: remboursement de 250 euro de la maif, je suis à  moins 1000 euros pour le reste du mois. Merci pour votre abandon!</t>
  </si>
  <si>
    <t>08/02/2019</t>
  </si>
  <si>
    <t>verite-58746</t>
  </si>
  <si>
    <t>Je pense qu'il est temps d’arrêter avec la mauvaise foi. SANTIANE.FR est un courtier très sérieux qui repond aux attentes de ses clients. En lisant tous ces commentaires, je pense à la concurrence qui par tous moyens essai de nuire à la réputation de SANTIANE.FR. Client SANTIANE depuis 3 ans je n'ai jamais eu de problème: un service gestion relation client sérieux ,disponible...des conseillers commerciaux professionnels...bref arrêtez vos avis...NULS.</t>
  </si>
  <si>
    <t>10/11/2017</t>
  </si>
  <si>
    <t>aud-100969</t>
  </si>
  <si>
    <t>A éviter. Tarif élevé, garanties réduites. 
Assurance habitation purement imposée pour obtenir mon crédit immobilier au crédit agricole.
Lors d'un sinistre dégâts des eaux la recherche de fuites n'est pas prise en charge par Pacifica!
Je profite de la possibilité de résilier au 1 an du contrat pour passer chez Groupama où le rapport garanties/prix est plus attractif.</t>
  </si>
  <si>
    <t>04/12/2020</t>
  </si>
  <si>
    <t>dve-71970</t>
  </si>
  <si>
    <t>Gros menteurs sur le contrat. Nous avait certifié la prise en charge de notre chiot atteint d'allergies atopiques depuis sa naissance. Première feuille de soins non remboursée car celui-çi était atteint de cette pathologie avant la signature. MERCI SANTEVET. Contrat d'un an évidemment et non résiliable.</t>
  </si>
  <si>
    <t>SantéVet</t>
  </si>
  <si>
    <t>07/03/2019</t>
  </si>
  <si>
    <t>nazli-e-111655</t>
  </si>
  <si>
    <t xml:space="preserve">je suis très satisfait du service, les conseilles sont très gentilles et je trouve toujours une réponse très rapidement, les prix me convienne et pour finir l'aplication est simple et pratique.
Merci DIRECT ASSURANCE </t>
  </si>
  <si>
    <t>louis-l-122500</t>
  </si>
  <si>
    <t>Bon site internet, prix intéressants, mais appels intempestifs sur mon téléphone. Avec une indemnisation à 5 % d'invalidité ça aurait été top :)  A voir comment ça se passe par la suite sur la route !</t>
  </si>
  <si>
    <t>babin-f-109616</t>
  </si>
  <si>
    <t>bonjour,
Je vous remercie de la rapidité et de la facilité avec lesquelles j'ai pou souscrire l'assurance pour ma première voiture.
bien cordialement,
F. BABIN</t>
  </si>
  <si>
    <t>grc-55428</t>
  </si>
  <si>
    <t xml:space="preserve">J'ai été client a la MAIF pour mon habitation pendant plus de 6 ans. Je me suis installé avec mon compagnon, j'ai donc logiquement résilié mon assurance MAIF fin 2016. 
Pour cela, j'ai contacté le service client en décembre 2016 pour les avertir de ma résiliation en demandant une fin de contrat le jour de ma sortie soit le 6 janvier 2017. 
Ils m'ont demandé l'état des lieux de sortie de mon appartement en tant que justificatif.
Nous avons fait l'état des lieux comme prévu le 6 janvier. J'ai donc fourni le document par mail à mon conseillé MAIF.
Mon contrat précédent, que j'avais réglé pour l'année 2016, arrivait à échéance annuelle au 31 décembre 2016. Je devais donc régler les 6 premiers jours de 2017.
Courant janvier, je recois un message vocal de la MAIF m'indiquant qu'il me restait une somme de 33€ a payer. 
Ce supplément correspondant au pro-rata des 6 premiers jours de l'année m'a paru excessif car cela correspondrait à une cotisation annuelle de 2007€ (365/6)*33, sachant que mon contrat sur 2016 était de 209,86€
J'ai immédiatement contacté a ton conseillé qui m'a indiqué que cela devait etre une erreur et que je ne devrais pas regler cette somme.
Courant mai, le service recouvrement m'envois un courrier poru m'indiquer de payer les 33€ sans aucun justificatif supplémentaire. J'ai renvoyé un mail à la MAIF pour avoir plus d'explications le 1er juin. 
Le 13 juin, je recois un nouveau courrier de la MAIF me demandant le paiement sans aucune explication.
J'ai reçu ce jour une mise en demeure du service juridique avant remise à Huissier de justice, ... sans plus de justification.
Je suis réellement surpris de la manière de procéder de la MAIF. Il n'y a aucun effort pour prendre en compte ma situation alors qu'il s'agit clairement d'une erreur de la part de la MAIF.
Le recours a la manière forte pour imposer un paiement non justifié me donne une image de la MAIF très éloignée de celle mise en avant dans ses publicités.
J'ai été une bonne cliente pendant plus de 6 ans sans aucun soucis. A ce stade, je ne peux que vous faire part de mon mécontentement face au manque de communication du service client et vous déconseiller fortement la de devenir socétaire de la MAIF. 
Cordialement.
</t>
  </si>
  <si>
    <t>caillou24-95366</t>
  </si>
  <si>
    <t>Victime  de cambriolage , cette assurance  ne m a rien remboursé de ce que l on m a dérobé  ( bijoux  )
Honteux !!!!
Du coup je souhaiterais  partir ,en plus de ne pas être  dédommagés  je suis coincé  ,car lorsque  vous déclarez  un vol auprès de votre compagnie  d assurance, vous êtes marqué  à l encre  rouge ( plus personne  vous veux )
Double  peine pour le coup!!!
Ce n est pas normal. 
En plus pour se donner  bonne conscience, il vous envoie  un message  avec un lien afin d y répondre " comment  c est passé  le traitement  de votre sinistre ? ",mais le lien ne fonctionne pas .
Aucun risque à prendre !!!
Vivement  que je m en aille  de cette assurance !</t>
  </si>
  <si>
    <t>georges-g-113202</t>
  </si>
  <si>
    <t>JE SUIS SATISFAIT LA CORRESPONDANCE ET LES CONTACTS SONT RAPIDE  AINSI QUE LES REMBOURSEMENTS 
LE SITE EST CLAIR ET COMPRÉHENSIBLE  LES DEMANDES D'ATTESTATIONS SONT FOURNIES EN TEMPS VOULUS</t>
  </si>
  <si>
    <t>09/05/2021</t>
  </si>
  <si>
    <t>boirie-j-123133</t>
  </si>
  <si>
    <t>service impeccable rapide claire et à l'écoute répond rapidement. je suis satisfait du contact que 'ai eu au téléphone les prix sont correctes et clair.</t>
  </si>
  <si>
    <t>manouel68-78645</t>
  </si>
  <si>
    <t>Suite à un vol d'optique avec dégradation sur la voie publique, le conseillé me dit que je ne suis pas couvert pour ce genre de vol. Formule tout risque avec pack Assistance sérénité. A suivre</t>
  </si>
  <si>
    <t>23/08/2019</t>
  </si>
  <si>
    <t>charlie9545-64788</t>
  </si>
  <si>
    <t>Super explication sur tout les renseignements 
Conseiller au top
Je recommande..........................................</t>
  </si>
  <si>
    <t>14/06/2018</t>
  </si>
  <si>
    <t>mireil-58212</t>
  </si>
  <si>
    <t>Injoignable par téléphone, temps d'attente indiqué divisé par quatre. Lamentable. envoyé un fax à l'agence pas de réponse !!!</t>
  </si>
  <si>
    <t>douay-c-110068</t>
  </si>
  <si>
    <t>Je suis satisfait du contract un prix très abordable pour un chauffeur maluse et des conseiller téléphonique très pro et qui savent répondre à mes nombreuses demande</t>
  </si>
  <si>
    <t>polo-49525</t>
  </si>
  <si>
    <t>Très bien ces dernières années, car je n'avais que quelques visites chez mon généraliste. Depuis quelques mois des problèmes de dents, de vues et également un accident m’amène à des dépenses de santé inhabituelles et là évidemment ce n'est plus tout à fait la même ambiance ! remboursements dérisoires par rapport au prix de la mutuelle, il faut envoyer par courrier tous les documents (ont-ils connaissance des moyens modernes de communication ?), bref mécontent dans l'ensemble.</t>
  </si>
  <si>
    <t>24/11/2016</t>
  </si>
  <si>
    <t>herve-c-105457</t>
  </si>
  <si>
    <t xml:space="preserve">Je suis satisfait du service en ligne et tout particulièrement du service par téléphone. 
A poursuivre !  
Et oui, je recommanderai cet assureur à mon entourage ! </t>
  </si>
  <si>
    <t>bck-jjn-58442</t>
  </si>
  <si>
    <t>Très bonne qualité du service client avec explications nettes et précises. Facilité et simplicité de souscription.</t>
  </si>
  <si>
    <t>28/10/2017</t>
  </si>
  <si>
    <t>alicia--99692</t>
  </si>
  <si>
    <t xml:space="preserve">Très peu d’attente téléphonique. Des interlocuteurs très aimables qui prennent vraiment le temps de bien expliquer toutes les démarches à effectuer . </t>
  </si>
  <si>
    <t>05/11/2020</t>
  </si>
  <si>
    <t>chems78500-65600</t>
  </si>
  <si>
    <t xml:space="preserve">Dégât des eaux le 28 octobre 2018 
2ème expertise le 28juin 2018 aucune nouvelle 3 relances, un bébé qui arrive le 29 juillet !
Je précise que le dossier est ultra simple aucune autre partie touché, ni partie commune ni voisin ! Un dégât purement interne ! </t>
  </si>
  <si>
    <t>18/07/2018</t>
  </si>
  <si>
    <t>boris-b-127674</t>
  </si>
  <si>
    <t>Les tarifs sont très intéressants.
Le site pour effectuer le devis très intuitif.
Le groupe tient compte du bonus/malus auto.
Je recommanderai sans hésiter.</t>
  </si>
  <si>
    <t>jv-76647</t>
  </si>
  <si>
    <t xml:space="preserve">Quand j'ai dénoncé mon contrat d'assurance à l'échéance, ils m'ont daclaré leur devois 21 euros sans aucune justification alors que toutes les cotisations avaient été réglées à la valeur exacte de leurs appels, et depuis me relancent par société de recouvrement puis huissier partenaire de la société de recouvrement et ceci sans jamais apporter de justification à cette soi-disant dette malgré nos demandes répétées. </t>
  </si>
  <si>
    <t>11/06/2019</t>
  </si>
  <si>
    <t>paula-f-105001</t>
  </si>
  <si>
    <t>Je suis satisfaite du prix global de votre assurance et la conseillère LINDA a été parfaite et très agréable. J'ai eu toutes les réponses à mes questions.MERCI</t>
  </si>
  <si>
    <t>sniper-94424</t>
  </si>
  <si>
    <t xml:space="preserve">devis différent du précédent réalisé sur l'appli mobile vu que je suis déjà cliente. Ce tarif est plus accessible.                                                                                                             </t>
  </si>
  <si>
    <t>max-55875</t>
  </si>
  <si>
    <t>Personnel seul et désagréable.comme elle est seule les personnes avec rendez vous son pris en priorité alors que toi tu attend depuis 1/4 heure sous un caniar avant que Mme veuille bien ouvrir .tous sa pour remplir un constat de sinistre en 5 min cela m'a pris une heure et le tous sans aucune information sur le devenir de mon dossier bien évidemment.sans compter que tu na jamais les memes conseillé depuis quelque années .20 ans cher maaf et la dernière année à fuir dommage.</t>
  </si>
  <si>
    <t>07/07/2017</t>
  </si>
  <si>
    <t>oliver-q-116875</t>
  </si>
  <si>
    <t>Vite et pas complique, en ligne sans problème, assurance pour panne / depannage, à resilé normallement, seul peu triste, 2 cotisation à payer au debut</t>
  </si>
  <si>
    <t>12/06/2021</t>
  </si>
  <si>
    <t>isa-86179</t>
  </si>
  <si>
    <t>Je suis ravie 
Groupama est très bien,</t>
  </si>
  <si>
    <t>22/01/2020</t>
  </si>
  <si>
    <t>sab70200-61207</t>
  </si>
  <si>
    <t>rupture conventionnelle le 19/12/2017. J'ai envoyé mon dossier de portabilité le 18/01/2018. J'ai appelé le 23/01 on m'a dit que mon dossier allait être traité. Je reçois un sms le 25/01 qui me dit que ma carte de mutuelle vient d'être envoyé. Ce jour j'appelle est on me dit que mon contrat est clôturé ...un conseiller doit me rappeler...j'espère très vite car depuis le 1er janvier je n'ai donc plus de mutuelle d'après la conseillère que j'ai eu en ligne</t>
  </si>
  <si>
    <t>07/02/2018</t>
  </si>
  <si>
    <t>lounes-b-125311</t>
  </si>
  <si>
    <t xml:space="preserve">simple et rapide mais c'est trop cher j'ai pas le choix je voulais la faire en urgence vu que j'ai vraiment besoin de véhicule pour deplacer merci vous etes trop gentille
</t>
  </si>
  <si>
    <t>roland-m-135282</t>
  </si>
  <si>
    <t>Très satisfaite du service (simple, rapide). Des explications très précises, un très bon accompagnement. Aucun problèmes et le site est très bien prévu.</t>
  </si>
  <si>
    <t>veronique-102224</t>
  </si>
  <si>
    <t>Par obligation de souscrire à harmonie mutuelle par le biais de mon entreprise ça démarre mal....
- le contrat est illisible niveau tarif car c est a nous de faire le calcul avec le ppms et encore plus compliqué avec les options et si vous avez des enfants...
- je reçois 2 cartes alors que nous sommes 3 adhérents majeurs et autonomes sur la gestion des rdv santé...
- je fourni un dossier complet dont nos 3 RIB et rempli le document d autorisation de prélèvement bancaire mensuel... Or, on ils m ont inscrit en paiement trimestriel et par chèque !
- et pour courrier le tout des dizaines de tentatives d envoi de mail via mon compte sur l appli harmonie mutuelle soldés a chaque fois par un problème technique
RÉSULTAT : je vais devoir les appeler... Suite au prochain épisode
Merci de m avoir lu et espère vous être utile
Cordialement</t>
  </si>
  <si>
    <t>lolita-135397</t>
  </si>
  <si>
    <t>Par 3 fois, j’ai appelé ma mutuelle pour une demande de renseignements. Mes interlocuteurs ont toujours été respectueux et polis,  ils répondaient à mes questions rapidement et sans difficulté.</t>
  </si>
  <si>
    <t>mark-s-115589</t>
  </si>
  <si>
    <t>Je suis tres satisfait.Le service client et tres bonne. Le service internet tres simple a utiliser. Tres rapide et efficace Cordialment et Merci Beaucoup</t>
  </si>
  <si>
    <t>christiane-t-126387</t>
  </si>
  <si>
    <t xml:space="preserve">je suis satisfaite de l'accueil, des prix, et explications.
je recommande a mes amis.
j ai remis tous mes contrats chez GMF, facilite du site pour retrouver les divers contrats.
</t>
  </si>
  <si>
    <t>jean-hugues--m-122395</t>
  </si>
  <si>
    <t>Un bon service,  des tarifs encore un peu hauts ! Le suivi des dossiers est satisfaisant.  On trouve aujourd'hui des tarifs moins hauts sur le marché de l'assurance</t>
  </si>
  <si>
    <t>vco1209-94172</t>
  </si>
  <si>
    <t xml:space="preserve">Étudiant, Cela fait 1 an que je demande à résilier mon contrat SMEBA  (courrier par internet et nombreux appels téléphoniques) . On me dit que je dois attendre la fin du contrat au 31 août et envoyer un Recommandé. Le 22 juin 2020, j'envoie un courrier recommandé via la poste par internet. Le 7 juillet, je reçois un courrier m'indiquant que celui ci n'étant pas  écrit manuellement je dois renvoyer une autre courrier. Je téléphone on me précise qu'il faut refaire la demande en recommandé. Lorsque je vois les messages précédents, je me demande si cette société ne va continuer à me prélever l'année scolaire à venir. Un conseil : ne contracté pas avec cette mutuelle... Impossible d'en sortir... D'autant plus que les remboursement ne sont pas du tout à la hauteur </t>
  </si>
  <si>
    <t>15/07/2020</t>
  </si>
  <si>
    <t>toonby-68662</t>
  </si>
  <si>
    <t>Un assureur qui n'assure pas.Ne fait pas partie des plus chers mais un assureur qui n'assure pas.Au top des irresponsables car un assureur qui n'assure pas.</t>
  </si>
  <si>
    <t>03/02/2019</t>
  </si>
  <si>
    <t>landes64-89795</t>
  </si>
  <si>
    <t>Un service absolument parfait</t>
  </si>
  <si>
    <t>20/05/2020</t>
  </si>
  <si>
    <t>clement-r-128732</t>
  </si>
  <si>
    <t>Je suis satisfait du service. L'expérience est fluide et rapide. Les informations sont claires. Les prix sont conformes à ce que j'attends pour les garanties choisies.</t>
  </si>
  <si>
    <t>gallien-l-117644</t>
  </si>
  <si>
    <t xml:space="preserve">Je ne suis pas très satisfait de vos services car , j’ai mis du temps certes à vous envoyer mes documents. Mais après la relance téléphonique, j’ai envoyer toutes les documents nécessaires et vous avez quand même interrompu l’assurance ..
Cordialement  </t>
  </si>
  <si>
    <t>20/06/2021</t>
  </si>
  <si>
    <t>gaudot-a-135578</t>
  </si>
  <si>
    <t>Très bien, attendons la suite. Je n'ai pas vu le montant de la remise due au parrainage, pouvez vous me le communiquer ? Je vous remercie par avance. Cordialement</t>
  </si>
  <si>
    <t>damien-103908</t>
  </si>
  <si>
    <t xml:space="preserve">Bonjour,
Ne surtout pas souscrire chez eux.
J’ai 4 appartements assurés chez Pacifica. La neige a fait des dégâts sur mes ardoises, l’assurance ne prend pas en compte et cette « option » n’est pas ajoutable. Après deux appels téléphoniques et deux conseiller, les deux m’ont répondu, qu’il fallait que la charpente s’effondre pour qu’ils prennent en charge !!! 
Je déconseille vivement cette assurance.  </t>
  </si>
  <si>
    <t>tien-nga-vincent-n-113756</t>
  </si>
  <si>
    <t>Assurance en ligne très rapide à des tarifs très abordables, April Moto est synonyme de liberté !...
Je recommande vivement cet assurance qui parmi tant d'autres se distingue pas ses tarifs, protection et options possible.</t>
  </si>
  <si>
    <t>14/05/2021</t>
  </si>
  <si>
    <t>kelina-t-106746</t>
  </si>
  <si>
    <t xml:space="preserve">Je suis satisfaite du service et des prix. 
J'arrive à joindre des conseillers, le site est pratique . 
merci pour votre accueil à chaque fois. 
Mais j'aimerais bien avoir une remise comme j'ai plusieurs types de contrat avec vous :) </t>
  </si>
  <si>
    <t>aurelie-n-122459</t>
  </si>
  <si>
    <t xml:space="preserve">Je suis satisfait de vos service je vous remercie de votre confiance de m’avoir accepté dans votre assurance j’espère que je ne serai pas déçu je vous remercie encore de votre confiance </t>
  </si>
  <si>
    <t>cafeine-101808</t>
  </si>
  <si>
    <t>Une assurance au top, des interlocuteurs aimables et patients, des informations claires concernant les démarches suite à un sinistre.
J'ai grandement apprécié le prêt d'un véhicule pendant la période de réparations du mien.
Simplicité des démarches 10/10.
Rien à redire sur le choix du garage JM Carosserie à Senlis qui a réalisé un excellent travail !</t>
  </si>
  <si>
    <t>23/12/2020</t>
  </si>
  <si>
    <t>michael-p-110078</t>
  </si>
  <si>
    <t>Simple et pratique pour assurer un véhicule deux roues,prix satisfaisant,contact plaisant avec les explications demandées dans le contrat proposé pour ce type de véhicule.
Merci</t>
  </si>
  <si>
    <t>pedro-81969</t>
  </si>
  <si>
    <t>Groupe à fuire... cela fait maintenant un an que je n'arrive pas à résilier ! Problème de procédure... courrier datant de plus de 2 mois, etc... et aujourd'hui on m'explique qu'ils ne peuvent pas recevoir de mail alors qu'il s'agit d'une réponse au leur sans aucune indication de ne pas répondre ! Aucun message en retour mais tout va bien...</t>
  </si>
  <si>
    <t>16/12/2019</t>
  </si>
  <si>
    <t>reyoos-75864</t>
  </si>
  <si>
    <t xml:space="preserve">Bonjour
Depuis bientôt 3 mois jai eu un sinistre avec ma Renault Twingo de 2002 sur lautoroute 
Nous sommes le 18 février 2019
Jai heurté un débris de plastique dur sur la voie centrale pendant un dépassement Sur le coup beaucoup de peur mais la voiture à rouler jusquau péage de Senlis mais au moment de rétrograder les problèmes commencent impossible de passer les vitesses je ralentis tant bien que mal au point mort et réussi à passer la seconde avant de marrêter au péage Malheureusement au moment de redémarrer la voiture cale Etant seule dans lhabitacle je décide de ne pas insister et appel les services autoroutiers
Ma voiture est remorquée jusquà un garage agréé à Senlis Ayant eu la Matmut au téléphone javais précisé mes coordonnées je nétais pas très loin de chez moi on me dit que jaurais droit à un taxi etc Après un peu dattente le garagiste me dit Votre boîte de vitesse est complètement tordue mais cela devrait être pris en charge par lassurance 
Les problèmes commencent dès que jappelle lassurance pour être raccompagnée à mon domicile La personne au téléphone me dit que je suis à 90 km de chez moi et quelle regarde les horaires de train Confuse je lui explique que je suis à maximum 40 minutes de mon domicile et que le dossier à du être mal rempli la personne menvoie donc un taxi qui devait arriver sous 30minutes Après une heure dattente le taxi mappelle on lui a transmis une mauvaise adresse
Le 19 février 2019
Demande standard de prise en charge par lassurance véhicule assuré tout risque La Matmut nous dit quun expert viendra dans les plus bref délais Entre temps le garage nous appel au sujet de la voiture le devis sélevait à 1142 euro pour remplacer la boîte de vitesse avec une doccasion et par la même occasion nous parle des frais de gardiennage Nous appelons la Matmut qui nous dit que les frais de gardiennage seront pris en charge par lassurance 
Lexpertise naura lieu que le 05 mars 2019 Mais comme les frais sont pris en charge par la Matmut nous ne nous inquiétons pas outre mesure
La procédure continue et nous recevons lavis de lexpert boîte de vitesse HS mais cela ne serait pas du au sinistre Une fuite dhuile dans la boîte de vitesse Nous demandons donc une deuxième expertise car celleci ne correspondait à lexpertise du garage De surcroît nous navions jamais eu de problèmes avec cette voiture auparavant 
Encore une fois on nous assure que tout sera fait dans les plus brefs délais 
21 mars 2019 lettre de la MATMUT disant quils poursuivent la gestion du dossier
Nous relançons lassurance à de multiples reprises 
26 avril 2019 Nous recevons une lettre du service indemnisation de la MATMUT disant que le dossier était clôturé Ils ne prendront pas en charge les réparations
Après deux expertises nous nous disons que lon va envoyer le véhicule à la destruction
Mon frère prend donc rendezvous avec le garage le véhicule étant à son nom on lui dit alors que PERSONNE nétait venu réaliser une deuxième expertise Au moment de signer les papiers de session on lui demande même comment il compte régler les frais de gardiennage
Il explique que cela à été convenu avec la MATMUT et quils régleront les frais moindre mal pour eux vu les délais monstrueux entre les expertises qui ne sont pas de notre fait mais bien du leurs
Dans le doute il les appelle tout de même et cette fois on lui dit nous ne prenons pas les frais de gardiennage en charge Nous sommes le 09 mai2019 la facture sélève à 1250 euro et nous navons plus de véhicule
La MATMUT à manifestement bâclé notre dossier dès le départ il y a eu des négligences de leurs part et nous faisons les frais de leurs incompétence Nous ne sommes en aucun cas responsables des délais organisationnels opérés par la MATMUT pour réaliser leurs expertise et leurs compte rendu transmis PLUS DE DEUX MOIS après le sinistre 
Nous nous sentons lésés dans cette affaire de A à Z Jespère aujourdhui que le plus grand nombre pourra lire ce message pour ne pas quils payent une assurance qui leurs MENT
Nous comptons bien retirer tous ce que nous avons assurés à la MATMUT au vue de son manque flagrant dintérêt pour ses clients et de son incompétence
Nous espérons tout de même être recontactés par dautres personnes de la MATMUT peut être plus compétentes et plus soucieuses de leurs clients pour mettre fin au cauchemar que nous vivons depuis près de 3 longs mois
</t>
  </si>
  <si>
    <t>13/05/2019</t>
  </si>
  <si>
    <t>buisson-s-126886</t>
  </si>
  <si>
    <t xml:space="preserve">Conseiller sympathique 
Prix correct , et explications claires . 
A voir dans le temps si l'assurance est compétante . 
En espérant ne pas en avoir besoin.  
</t>
  </si>
  <si>
    <t>ebeniste321-60377</t>
  </si>
  <si>
    <t>J'ai resilie mon contrat assurance police1080125790, sur le loi hamon, aucun reponse et contre la code civil Article A121-1 il n'avais pas m'envoyer ma releve d'informations, donc je ne peut pas assure autrement avec mon bonus max. j'ai recu aujourd'hui une demande pour une année complète d'effico à Tours pour un 313,04 euros inclusif ses frais, pas 30 jours comme le Loi Hamon dire. j'ai besoin d'un payeur 24 € sur la loi Hamon.
Je porte un plainte au mediateur d'assurance eviter L'olivier pas honnete, pas bon service. Je porte un Plainte aussi a chez Admiral en UK car il est l'entreprise d'origine</t>
  </si>
  <si>
    <t>11/01/2018</t>
  </si>
  <si>
    <t>frakey-110670</t>
  </si>
  <si>
    <t>Réactivité, disponibilité, écoute, facilité des échanges, tarif attractif, bonne gestion des dossiers font que AMV est fortement recommandé par la majorité des motards.</t>
  </si>
  <si>
    <t>choffo-67233</t>
  </si>
  <si>
    <t>Assuré depuis des années, il y a plus de 5 ans, on pouvait obtenir un interlocuteur, être rappelé, etc. Désormais, lenteur des dossiers, réponses vagues, changeantes. Si on est un peu habitué aux échanges avec les SAV et services clients, on sent bien très vite le climat. Et ce n'est pas qu'une impression. Ont attendu quatre mois pour décider (lettre-type courte) de ne pas rembourser un sinistre alors que le premier expert passé avait parlé d'une contre-expertise à prévoir. Je passe les détails mais il semble ne pas y avoir eu d'action auprès de l'autre assurance. J'aurai accepté un non-remboursement (quoique le sinistre était clair) mais là 0 explication. J'ai effectué le mois dernier une réclamation avec copies expert, siège etc. en exigeant une réponse rapide, aucune nouvelle.</t>
  </si>
  <si>
    <t>nonomoorea-76820</t>
  </si>
  <si>
    <t xml:space="preserve">Très long pour prise en charge, expert pas pressé pour des dommages mineurs. Le garage na pas reçu d'ordre de réparation depuis 15 jours et la mise en cause de la partie adverse  n'a eu lieu que vendredi 14 juin pour un sinistre du 31 mai </t>
  </si>
  <si>
    <t>16/06/2019</t>
  </si>
  <si>
    <t>kyou-68098</t>
  </si>
  <si>
    <t xml:space="preserve">J'ai eu un accrochage en tort au bout de 2 ou 3 mois d'assurance chez euro Assurance, les remboursements des dégâts matériels ont bien été pris en charge, sauf que la personne a coché la case dommage corporel alors qu'elle n'avait rien, j'ai essayé de l'expliquer a l'assureur mais vu que j'avais signé, ma signature fait fois! Après plusieurs moi, ils n'ont rien payé a la partie adverse comme dommage corporel vu qu'il n'y en avait pas ! Mais sur mon relevé d'information je suis un délinquant jeune conducteur de 50 cc donc je paie le prix fort en assurance alors qu'ils n'ont aucunes preuves ... Que dois je faire? Les mettre au tribunal? Car c'est une erreurs de document ! </t>
  </si>
  <si>
    <t>26/10/2018</t>
  </si>
  <si>
    <t>fredej-77285</t>
  </si>
  <si>
    <t>A fuir.</t>
  </si>
  <si>
    <t>02/07/2019</t>
  </si>
  <si>
    <t>francois-r-138062</t>
  </si>
  <si>
    <t xml:space="preserve">Super au top ! Assurance au top et tous au top merci beaucoup. Vraiment pas chère. Très rapide je recommande à fond merci ! Je recommande ! Merci beaucoup </t>
  </si>
  <si>
    <t>22/10/2021</t>
  </si>
  <si>
    <t>frederic----122598</t>
  </si>
  <si>
    <t>Je suis satisfait c'est super génial je n'ai pas de mots tellement je suis content d'avoir mon quad je vais en profiter avec ma chérie . Merci april c'est super</t>
  </si>
  <si>
    <t>mhc-86418</t>
  </si>
  <si>
    <t>parcours du combattant pour obtenir le rachat partiel sur l'assurance vie. Mauvaise foi évidente, soi disant perte des demandes... délai final dépasse les 5 semaines- une honte</t>
  </si>
  <si>
    <t>28/01/2020</t>
  </si>
  <si>
    <t>david-r-108616</t>
  </si>
  <si>
    <t>Dommage que les prix soient proportionnels à la gamme de véhicule, car je suis satisfais des services, mais au changement de véhicule pour une gamme supérieure, vos tarifs atteignent jusque 4 fois le montant de ma nouvelle assurance.
Tant pis.</t>
  </si>
  <si>
    <t>thomas-r-131946</t>
  </si>
  <si>
    <t>Le prix est correct et les avis sont très bon. J’ai eu mon permis il y a moins d’un mois, et malgré les 2000kms parcourus sur une autre voiture (dont plus de 200 dans Paris) je n’ai pas touché un seul mur, ou une seule voiture. Mes proches sont surpris de ma conduite pour un jeune conducteur, je trouvais donc injuste de payer 115€ par mois d’assurance à cause des autres.</t>
  </si>
  <si>
    <t>nougat-122567</t>
  </si>
  <si>
    <t>aucun probleme reponse rapide gentillese je possede toutes mes ass maison ,voiture,moto voiture de collection  et autre a ce jour je suis satisfait de votre service</t>
  </si>
  <si>
    <t>julien-b-132718</t>
  </si>
  <si>
    <t>les prix me conviennent et je travail avec AMV par le biais de mon boulot, toujours super reactif et les véhicules toujours réparés dans la mesure bien sur.</t>
  </si>
  <si>
    <t>mrlespaul-113984</t>
  </si>
  <si>
    <t>Un grand merci pour votre professionnalisme, simple rapide et efficace.
Merci à Paul encore pour votre sympathique vous êtes au top d’autres services devraient prendre exemple</t>
  </si>
  <si>
    <t>jean-baptiste-l-135366</t>
  </si>
  <si>
    <t xml:space="preserve">Satisfait rapide simple et efficace  je recommande et n hesiterzis pas a parrainer les gens de notre entourages ainsi que les amis et collègues. Rapport qualites prix très raisonnable et beaucoup moins cher que notre ancienne assurance </t>
  </si>
  <si>
    <t>royer-j-117015</t>
  </si>
  <si>
    <t>Satisfait des tarif, conseillé agréable et expliquant très bien les différentes options au téléphone.
Validation du contrat rapide.
Envoie des documents via le site apprécié.</t>
  </si>
  <si>
    <t>vincent-m-110246</t>
  </si>
  <si>
    <t xml:space="preserve">Satisfait... pour l instant ;-)
L avenir me dira si mon choix est vraimebt judicieux.
J espère ne pas avoir de soucis et que s il m'arrivait je ne sais quoi ? Je compte sur vous.
</t>
  </si>
  <si>
    <t>joker21-54207</t>
  </si>
  <si>
    <t xml:space="preserve">Je souhaiterais faire partager mon expérience catastrophique  en tant quassuré chez April, aucune gestion de sinistre après accident,pas de retour à nos multiples demandes sur la situation , manque de considération et d'écoute envers ses propres clients. 
Surtout complètement inefficace!!!!
</t>
  </si>
  <si>
    <t>cvdouze-71704</t>
  </si>
  <si>
    <t>Je suis en congé maternité depuis mi-septembre et j'ai peiné à percevoir un paiement partiel fin janvier. Je relance régulièrement un service client digne d'un call center bas de gamme avec technique du disque rayé, absence d'empathie, mensonges et contradictions à la clé pour balader les bénéficiaires, histoire de clôturer l'appel quand on ne me raccroche pas directement au nez lorsque j'exprime mon mécontentement.
Bref, c'est un assureur générateur de stress intense pour femme enceinte. Une HORREUR.</t>
  </si>
  <si>
    <t>27/02/2019</t>
  </si>
  <si>
    <t>machrist69-97294</t>
  </si>
  <si>
    <t>Accueil très professionnel.Courtoisie et réactivité.Merci de nous avoir établi aussi rapidement la carte verte.Malheureusement, la vente n'a pas aboutie mais nous reviendrons rapidement vers Eurofil AVIVA.</t>
  </si>
  <si>
    <t>11/09/2020</t>
  </si>
  <si>
    <t>alexandre-m-123626</t>
  </si>
  <si>
    <t>Je suis satisfait je suis nouveau sur ce site on verra bien par la suite jusque là tout va bien merci à toute l'équipe cordialement bla bla bla bla bla</t>
  </si>
  <si>
    <t>mareunia-129758</t>
  </si>
  <si>
    <t xml:space="preserve">Impossible de joindre le service client, une attente interminable et une équipe non sérieuse.
Nous convenons d'un entretien téléphonique avec l'un de leurs prestataire aucun appel passé, il a fallut que nous relancions nous même l'entreprise.
A FUIRE !  </t>
  </si>
  <si>
    <t>vero-01-10-58161</t>
  </si>
  <si>
    <t>Excellente mutuelle - très bon rapport qualité prix - accueil génial - ceux qui la dénigre ne la connaisse pas - personnel très à l'écoute lorsque l'on rencontre des problèmes - les cotisations ne sont pas plus élevées qu'ailleurs</t>
  </si>
  <si>
    <t>18/10/2017</t>
  </si>
  <si>
    <t>yheyhe-63059</t>
  </si>
  <si>
    <t xml:space="preserve">RESILIER SANS AVIS RECOMMANDER PAR DIRECTE ASSURANCE pour 1 echeance de 47 euros. Ni appels ni lettres de relance. Vraiment en colere de cette methode douteuse. </t>
  </si>
  <si>
    <t>08/04/2018</t>
  </si>
  <si>
    <t>laura-r-138216</t>
  </si>
  <si>
    <t>Je suis contente avec le service, l'information est tellement claire et complète, je peux choisir ce que je veux en fonction de ce que j'ai besoin parce que il y a beaucoup des options</t>
  </si>
  <si>
    <t>vanessa-h-127276</t>
  </si>
  <si>
    <t xml:space="preserve">Très satisfaite de direct assurance c pourquoi tous mes véhicules sont chez vous les tarifs sont très abordables même pour des assurances avec bcp de garanties </t>
  </si>
  <si>
    <t>stephaaaanie-97318</t>
  </si>
  <si>
    <t>Bonjour ALLIANZ ! Quand un monsieur de  ans qui a toujours payé rubis sur l'ongle ne paie plus du jour au lendemain on vérifie avant de radier !!!!!!!!!!!!!!! Une personne décédé ne peut pas aller chercher de lettre recommandé !!!!!!!!!!!!!!!!!! Un courrier normal nous aurait permis d'être au courant Maintenant je souhaite savoir de quelle assurance il s'agit Je suyis très en colère.</t>
  </si>
  <si>
    <t>12/09/2020</t>
  </si>
  <si>
    <t>roger64-99615</t>
  </si>
  <si>
    <t xml:space="preserve">Voila 30 ans que je suis adhérent et je suis satisfait de la mgp. Son centre d appel est toujours disponible et les agents competents ont toujours repondu ou trouver une solution à mes questions. </t>
  </si>
  <si>
    <t>04/11/2020</t>
  </si>
  <si>
    <t>philippe-c-113575</t>
  </si>
  <si>
    <t>Très bon service et bon prix attractif. Simple et rapide . Il suffit de quelques clics et hop vous êtes assuré. Je recommanderai cette assurance a mon entourage. Merci a vous.</t>
  </si>
  <si>
    <t>sab-97792</t>
  </si>
  <si>
    <t>Conseillers a la ramasse ne savent pas vous renseigner. Médiocre je deconseille fortement fuyez une honte .pour assurer un véhicule pas de soucis mais pour résilier je bataille depuis 3 mois une honte je vais devoir faire opposition sur le prélèvement afin qu'il ne puisse plus prélever honteux .j ai envoyer tout les justificatifs en vain sans réponse ils me disent que je vais être contacter par un conseiller en agence tjs rien depuis .
Triste a fuir .</t>
  </si>
  <si>
    <t>basile-49924</t>
  </si>
  <si>
    <t xml:space="preserve">Je suis adhérent depuis Avril 2013 et aucun soucis pour le moment. J'envois mes factures par mail sur mon espace et je suis remboursé dans les 5 jours. Qd j'ai une question j'appel (temps d'attente parfois un peu long) le ton est aimable et les infos completes contrairement a mon ancienne mutuelle. Ma famille est a harmonie et ils sont satisfait également ... je recommande </t>
  </si>
  <si>
    <t>05/12/2016</t>
  </si>
  <si>
    <t>mival-136436</t>
  </si>
  <si>
    <t>Baouda mon interlocuteur a bien répondu à ma demande. Quant aux prises en charge , remboursement, délais c’est ok
Jusqu’à ce jour pas de problème 
En espérant que cela dire</t>
  </si>
  <si>
    <t>jessdesiles82--97761</t>
  </si>
  <si>
    <t>Même pas 1 an avec eux et je regrette déjà de mettre assurer chez eux !!! Depuis le 16 juillet j’attends toujours un remboursement de mes frais de vétérinaire, pas loin de 1500€ !!! Je suis bien dans la M ! Et ça chipote pour rembourser ! Par contre, quand le dernier prélèvement n’est pas passé et pour cause !! là ils ont su réclamer leur dû, et même se resservir sur mon compte ! Obligé de faire des mains et des pieds pour vivre avec un cratère sur mon compte. Bref je laisse le relai à mon assurance maison, la protection juridique se chargera d’eux, et je me casse de chez eux à la date anniversaire des contrats !</t>
  </si>
  <si>
    <t>coco-bel-oeil-106379</t>
  </si>
  <si>
    <t>Très bon assureur avec des commerciaux très professionnels.Je suis très satisfaite.Je conseille cette assurance GROUPAMA à tous ceux qui veulent une assurance de confiance et de proximité(pour l'agence).</t>
  </si>
  <si>
    <t>chloe-hr-93479</t>
  </si>
  <si>
    <t xml:space="preserve">Je suis cliente depuis un an chez direct assurance, en tant que jeune permis. Suite à la réception de mon nouvel échéancier je n'étais pas satisfaite, j'ai donc pris contact avec Aurélie du service client via WhatsApp qui a passé du temps à me donner satisfaction. En plus d'avoir été efficace, elle a réussi à me donner entière satisfaction. 
J'espère pouvoir retomber sur cette dame lorsque je changerai de véhicule ! </t>
  </si>
  <si>
    <t>08/07/2020</t>
  </si>
  <si>
    <t>heronimo-s-123677</t>
  </si>
  <si>
    <t xml:space="preserve">Je suis satisfait  de cette assurance et du prix également je suis très content du rpix qui reste plus que correcte pour une prise en charge 0km je trouve ça vraiment </t>
  </si>
  <si>
    <t>17/07/2021</t>
  </si>
  <si>
    <t>mutahhari-c-127267</t>
  </si>
  <si>
    <t xml:space="preserve">Jai été conseiller par un ami qui a plusieurs motos . Il as eu plusieurs fois à faire avec l'assurance qui ont été à l'écoute  serviable et efficace . </t>
  </si>
  <si>
    <t>marie-ange-94574</t>
  </si>
  <si>
    <t xml:space="preserve">Je suis satisfaite des prix proposés. C est mon fils qui est assuré chez vous qui m a conseillé. J espère être contente de souscrire une assurance en ligne </t>
  </si>
  <si>
    <t>19/07/2020</t>
  </si>
  <si>
    <t>angelique-n-127059</t>
  </si>
  <si>
    <t xml:space="preserve">Fidèle depuis plusieurs années. Prix attractifs. Standard téléphonique seulement.
Cependant très solisitant par mail avant la souscription.
Réponse rapide </t>
  </si>
  <si>
    <t>08/08/2021</t>
  </si>
  <si>
    <t>isabelle1008-104209</t>
  </si>
  <si>
    <t xml:space="preserve">J'ai téléphoné à ma mutuelle ce jour- MGP MUTUELLE GENERALE DE LA POLICE- afin d'obtenir des renseignements sur mon espace adhérent MGP ainsi que pour compte AMELI.
J'ai obtenu un correspondant très facilement. Mon interlocutrice s'est montrée très serviable et très gentille. Je suis très satisfaite de cet accueil. </t>
  </si>
  <si>
    <t>anne-sarah-s-103084</t>
  </si>
  <si>
    <t>Devis rapide, interface simple et pratique. Les prix des différentes formules d'assurances proposées sont attractifs.
Formules et options conseillées en fonction de la situation.</t>
  </si>
  <si>
    <t>neobreton-104591</t>
  </si>
  <si>
    <t>En 2005, j'ai souscrit un Plan Épargne Retraite de la CNP auprès de mon conseiller financier de la Banque Postale qui ne m'avait pas suffisamment éclairé sur les inconvénients de ce contrat. Si tel avait été le cas, je n'aurais jamais adhéré. Après une période de chômage et n'étant plus indemnisé par pôle emploi, j'ai voulu, comme la loi le prévoyait, récupérer les sommes que j'avais versées. Il m'a été répondu que mon cas n'entrait pas dans le dispositif de déblocage anticipé. Arrivé à l'âge de la retraite, j'ai demandé à récupérer 20% du capital et le solde en rente viagère comme j'avais pu m'en informer sur le site officiel gouv.fr. Là encore, on m'a répondu qu'il n'était pas possible de récupérer une partie des sommes versées en capital, compte tenu de la date à laquelle j'avais signé le contrat (2005). J'ai donc opté pour la rente viagère trimestrielle ( il semblerait que la CNP ne fasse pas de virement mensuel comme précisé dans leur courrier). Si la 1ere rente a bien été faite sur mon CCP, je suis maintenant obligé de les contacter tous les 3 mois, parfois même en demandant à mon conseiller financier de la Banque Postale d'intervenir, parce qu'ils oublient de me verser la somme qui m'est due. Il y aurait, paraît il, un problème suite à la mise en place d'un nouveau logiciel. Je suis tellement mécontent que j'ai transféré mon contrat Solesio vie, également souscrite à la CNP en 2005, chez un autre assureur beaucoup plus sérieux et à l'écoute de ses clients. Au vu du nombre impressionnant d'avis négatifs, la CNP devrait se remettre en question. Pour ma part, jamais plus je ne conseillerai cet organisme à des proches.</t>
  </si>
  <si>
    <t>22/02/2021</t>
  </si>
  <si>
    <t>jeremie-v-116863</t>
  </si>
  <si>
    <t>Rapidité et qualité des conditions de souscriptions et de leur facilité. 
Bravo ça a été facile à faire :) Même pour charger les documents, rien n'est plus simple :!</t>
  </si>
  <si>
    <t>jc-115023</t>
  </si>
  <si>
    <t>Le fait de pouvoir vous joindre par téléphone est vital,malgré le robot qui ne comprend pas tout,on a vite accès a un conseiller qui est toujours parfait !!! Bon petit problème depuis mon appel et la réception du mail je suis bloquée alors que je n’ai pas essayé 3fois de me connecter</t>
  </si>
  <si>
    <t>viviane-52317</t>
  </si>
  <si>
    <t>DEVRAIT CHANGER DE LOGO ACTUEL MACIF SOLIDAIRE
EN AUCUN CAS
20 ans cliente MACIF</t>
  </si>
  <si>
    <t>11/02/2017</t>
  </si>
  <si>
    <t>labielle-e-133766</t>
  </si>
  <si>
    <t>Je suis très satisfait de l'offre qui m'a été proposée, bravo à l'interlocutrice qui à su me convaincre, et encore félicitations pour son professionnalisme.</t>
  </si>
  <si>
    <t>21/09/2021</t>
  </si>
  <si>
    <t>marlene-04-101679</t>
  </si>
  <si>
    <t>Je n'ai jamais eu de souci avec une assurance mais là je suis servie !!
On m'a prêté une vieille auto que j'ai rapidement assurée en ligne. Mais quand j'ai vu les avis je me suis méfiée et j'ai refusé le prélèvement mensuel (qu'ils ont tenté de me faire signer une dizaine de fois de manière très douteuse).
Les prélèvement ont quand même eu lieu. J'ai refusé ceux ci. Et maintenant je reçois des factures avec frais de rejet exhorbitants, tentatives d'intimidation et menaces de suspension par téléphone (pas par écrit car illégal).
Bref je vais rendre la voiture et fuir de ces assureurs . Conseil : passez votre chemin !!!</t>
  </si>
  <si>
    <t>20/12/2020</t>
  </si>
  <si>
    <t>eric-67036</t>
  </si>
  <si>
    <t xml:space="preserve">Pas correct j ai prévenu de mon passage par tel dans l après midi la veille et a mon arrive porte close pas sympa la moindre des choses aurai été de prévenir pour que je ne me déplace pas pour rien  que se passera t il le jour ou il y aura quelque chose de grave  du coup dans la foule suis allé voir une autre assurance et la surprise il ne peuvent pas m assure avant l année prochaine vu que je viens de changer de véhicule et que mon contrat vient juste de redémarrer l autre assurance ma dit que c était pas terrible comme façon de procéder je suis chez Allianz depuis environ 5 ans va falloir que j attende une année de plus pour résilier </t>
  </si>
  <si>
    <t>22/09/2018</t>
  </si>
  <si>
    <t>nathane-68172</t>
  </si>
  <si>
    <t xml:space="preserve">J'ai été satisfaite et j'ai pu obtenir un tarif compétitif au niveau de ma couverture mutuelle.
</t>
  </si>
  <si>
    <t>29/10/2018</t>
  </si>
  <si>
    <t>sbst777-58156</t>
  </si>
  <si>
    <t>Attractif sur le seul plan tarifaire, la qualité du service clients AMV est en adéquation: très basse!! De surcroît, les heures de créneaux d'appels sont restreintes (le matin, débute à 10h30) et il est impossible de joindre la personne qui vous envoie des mails pour vous réclamer des documents que vous avez déjà envoyés (personnalisation: zéro!)</t>
  </si>
  <si>
    <t>clo-79705</t>
  </si>
  <si>
    <t>Il ne faut pas tomber en panne en dehors des autoroutes. Quand vous les contactez pas mails vous n avez AUCUN retour.4 au total pour moi+ une lettre recommandée... Par téléphone ,on vous balade d`un soit disant service á un autre. Très professionnel!On vous conseille de leur envoyer par mail la facture du dépannage et vous attendez des semaines pour une eventuelle réponse mais rien .Vous les relancez et toujours rien...Je vous déconseille de souscrire á cette assurance et  d`aller voir d`autres assureurs.</t>
  </si>
  <si>
    <t>03/10/2019</t>
  </si>
  <si>
    <t>ricou11-86322</t>
  </si>
  <si>
    <t>J'ai résilié mon contrat chez eu mais il non toujours pas enlevé la télétransmission avec AMELI donc l'autre mutuelle ne peut pas me rembourser car la sécu ne veut pas 2 mutuelles donc bloqué</t>
  </si>
  <si>
    <t>24/01/2020</t>
  </si>
  <si>
    <t>da-cunha-c-122580</t>
  </si>
  <si>
    <t xml:space="preserve">Satisfait mais dommage que nous puissions régler que ma carte bleue et non par virement ou autre moyen de payement il faudrait voir ceci pour améliorer. </t>
  </si>
  <si>
    <t>jaubers-101380</t>
  </si>
  <si>
    <t>un harcèlement pour vous faire souscrire une mutuelle , et après il n'y a plus personne .des promesses en l'air qui ne sont pas tenues , dommage cela donne une triste idée de leur profession .
ces gens ne sont pas sérieux .</t>
  </si>
  <si>
    <t>17/12/2020</t>
  </si>
  <si>
    <t>g27-95337</t>
  </si>
  <si>
    <t xml:space="preserve">j'ai souscrit une assurance auto chez cette assurance. Ayant hésité à prendre les transports en commun pour me rendre sur mon lieu de travail , je me renseigne pour avoir un devis en conformité avec ma potentielle nouvelle situation. Apres m'avoir donné les informations par téléphone, le conseiller m'annonce que  mon contrat est amendé et que 15 euros de frais de dossier me sont facturés à ce sujet. Du véritable vol à mon sens. je déconseille très fortement cette assurance. </t>
  </si>
  <si>
    <t>nana-69215</t>
  </si>
  <si>
    <t>Assurance exécrable!
Je suis assuré chez axa depuis plus de 8 ans et lors de mon premier sinistre je fais face a une assurance incompétente!
Aucun suivi de dossier, service dégât des eaux délocaliser, des informations erronée pas clair et changeant nous sont donnés.
Bref la pire assurance à fuir viite!!!</t>
  </si>
  <si>
    <t>07/12/2018</t>
  </si>
  <si>
    <t>bernard-60089</t>
  </si>
  <si>
    <t xml:space="preserve">assurance a évité , j'ai fait un devis assurance auto , j'ai payer avec ma carte bleu et puis je me suis trompé sur le contrat  je me suis rétracté ,l'assurance a mis 2 mois pour me rembourser , l'acceuil désagrable j'ai du faire une lettre en recommander apres avoir envoyer un mail et une lettre affranchie bref , trés déçu et dégouter un vrai cauchemar </t>
  </si>
  <si>
    <t>02/01/2018</t>
  </si>
  <si>
    <t>georgio-42323</t>
  </si>
  <si>
    <t xml:space="preserve"> J’ai été un ancien client moto. Puis ai voulu mette un nouveau contrat auto qui n’a pas été accepté car étant second conducteur Et ne figurant pas sur la carte grise la Maaf’ trop rigide n’accepte pas cette condition </t>
  </si>
  <si>
    <t>melanie-96296</t>
  </si>
  <si>
    <t xml:space="preserve">Je met met une étoile car on n est obligé d en mettre au moins 1 sinon s était zéro j y suis depuis octobre depuis c est une catastrophe j avait demandais la formule B donc 46e par mois car j ai des séances d orthophoniste et des rdv d orthodentiste pour mes enfants je me suis retrouvé avec la formule À celle remboursé le moins forcément. Et pour avoir mes remboursements de soins je dois les harcelés au téléphone une honte cette mutuelle </t>
  </si>
  <si>
    <t>14/08/2020</t>
  </si>
  <si>
    <t>leo-44119</t>
  </si>
  <si>
    <t>Après avoir été le pigeon de l'incroyable hypocrisie de groupe Covéa ( MAAF+MMA+GMF) j'ai souhaité transférer la gestion du sinistre dont j'ai été victime sur mon recours de la FFR qui le délègue à Alliantz ... Alliantz a refusé !! Nos ASSURANCES sont devenues non ennemies et sont devenues INUTILES. Elles se repassent le bébé pour au final le jeter dans l'eau avec l'eau du bain.
Le VRAI PROBLEME est là. A quoi servent-elles ? Pourquoi dépenser de lourdes sommes toute sa vie pour ne récolter en cas de sinistre qu'un cauchemar administratif, épreuve supplémentaire en plus du sinistre en raison des énergies à déployer pour refuser qu'elles détalent  et ne recevoir que des humiliations qui détruisent un peu plus !</t>
  </si>
  <si>
    <t>21/06/2018</t>
  </si>
  <si>
    <t>fredc-68367</t>
  </si>
  <si>
    <t>Bien qu'intéressant au niveau des prix, leur service semble incompétent pour effectuer la résiliation auprès du précédent assureur alors qu'ils m'ont assurer à plusieurs reprises (plusieurs appels sur le sujet pour m'assurer que je n'avais pas de démarche à faire) s'occuper de tout.</t>
  </si>
  <si>
    <t>06/11/2018</t>
  </si>
  <si>
    <t>monilona-92071</t>
  </si>
  <si>
    <t xml:space="preserve">Nickel sur tous les points 
Devis rapide prix compétitif et en attente de pouvoir prendre connaissance des franchises éventuelles . À voir sur les autres et attente du devis </t>
  </si>
  <si>
    <t>guillaume-58340</t>
  </si>
  <si>
    <t xml:space="preserve">Assurances très médiocre 
J'ai eu un accident y'a 1 ans et demi et j'ai toujours pas était rembourser il avait clôturer mon dossier quelque temps apres l'accident sans me donner se qu'il me devait j'ai était obliger de les rappeler pour qu'il réouvre mon dossier 
Suite à sa j'ai envoyer deux courriers en recommander sans jamais avoir de réponse à se jour je suis sans voiture pour allez au boulot et cela depuis 1 an et demi.
Pour cela je lance une procédure auprès d'un avocat. 
L'avocate m'a confiée que au bout de 2 ans il n'y a plus de recourt possible ét c'est pour cela qu'il font traîner les dossiers 
</t>
  </si>
  <si>
    <t>24/10/2017</t>
  </si>
  <si>
    <t>nadia-k-133863</t>
  </si>
  <si>
    <t xml:space="preserve">Je ne suis pas satisfaite du service pose trop de questions d'ordre privée.
Et veut trop te gratter plus d'argent.
Insistante oppressante désagréable
</t>
  </si>
  <si>
    <t>rodrigues-b-124831</t>
  </si>
  <si>
    <t>Je suis satisfait.
Je trouve que le prix est très abordable et un service client à l'écoute.
Simple et efficace, je recommande cette assurance.
Merci.</t>
  </si>
  <si>
    <t>kualab1968-87405</t>
  </si>
  <si>
    <t>Intervention supprimée à la demande de l'internaute.</t>
  </si>
  <si>
    <t>21/02/2020</t>
  </si>
  <si>
    <t>fred-63258</t>
  </si>
  <si>
    <t xml:space="preserve">Fin de contrat après mise à la casse du véhicule. Continue de prélever malgré déplacement en agence. Clôture accès au compte internet sans préavis coupant toute possibilité de réclamation dématérialisée. </t>
  </si>
  <si>
    <t>14/04/2018</t>
  </si>
  <si>
    <t>griess-p-113169</t>
  </si>
  <si>
    <t>Je suis très satisfait de mon contrat , que ce soit par le prix ou même la rapidité de réponse de mes interlocuteurs . Je reçois toujours des réponses rapides et claires .</t>
  </si>
  <si>
    <t>michel-106261</t>
  </si>
  <si>
    <t>suite vol avec effraction, j'ai obtenu le remboursement de l'outil assuré...très bon suivi du crédit agricole et son conseiller suitze à, mes démarches...merci à vous</t>
  </si>
  <si>
    <t>christd76-86328</t>
  </si>
  <si>
    <t xml:space="preserve">Bonjour, j'ai été assuré plus de 10 ans chez eux sans aucun problème et Heureusement d'après tous les commentaires. Mon soucis c'est que j'ai vendu ma moto. J'ai du relancer plusieurs fois pour avoir mon chèque de remboursement de ma cotisation. De plus il l'ont envoyé à mon ancienne adresse modifiée depuis plusieurs année sur mon contrat. Je recevais bien ma carte verre à la abonné adresse, pourquoi le chèque à 200km de chez moi. Heuresement on a pu me le renvoyer. Et la nouvelle surprise, il manque 20 euros sur mon calcul. Après demande, il s'agit de frais de résiliation. La c'est le comble. On paie encore des frais pour faire un cheque au bout de x relances envoyé à une mauvaise adresse. April c'est plus pour moi pour ma prochaine moto. </t>
  </si>
  <si>
    <t>25/01/2020</t>
  </si>
  <si>
    <t>macias-m-69075</t>
  </si>
  <si>
    <t xml:space="preserve">A déconseiller, 
assuré chez eux en tant que propriétaire non occupant, je suis terriblement dessus par la prestation.
Votre de cabine de douche cassé par la locataire, qui est elle aussi assuré chez eux, ils lui disent que c'est à moi de faire la démarche. Après nombreux renseignements, ce n'était pas à moi de le prendre en charge mais ils ne veulent rien entendre et forcé sur le fait que c'est à ma charge.
Demarche en cours, 6 mois d'attente (6 mois pour la locataire avec une bâche dans la cabine de douche) pour un virement et à ma surprise, il y a 1300 euros à ma charge. Lorsque je leurs fait remarquer, la seule chose que l'on m'a répondu et d'un air autain est : c'est les procédure monsieur. 
Je n'ai pas trouvé de technicien à moins de 2300 euros et l'assurance ne propose aucune entreprise pour satisfaire le besoin du client.
Je déconseille toute personne de prendre une assurance chez eux. </t>
  </si>
  <si>
    <t>03/12/2018</t>
  </si>
  <si>
    <t>am-129331</t>
  </si>
  <si>
    <t xml:space="preserve">Comme la majorité des commentaires, j'ai eu une très mauvaise expérience avec cette assurance, j'ai fais confiance a un courtier qui s'est avéré de mauvaise fois et incompétent, pas de remboursement sur les 10 derniers mois, a fuir absolument </t>
  </si>
  <si>
    <t>sophie33-94065</t>
  </si>
  <si>
    <t xml:space="preserve">Les prix sont trop chère pour le simple véhicule que je possède. Le tarif est trop élevé pour la formule choisir tiers maxi. Pour un véhicule familial de 2009 avec 110 chevaux je trouve ça très chère 
</t>
  </si>
  <si>
    <t>tintin-104316</t>
  </si>
  <si>
    <t>Je suis déçu par cette mutuelle qui exige une autorisation pour pouvoir contacter un médecin alors qu’on est malade à l’étranger sans aucune liaison internet.
Aucune information ne m’a été communiquée après expédition des documents sécurité sociale.
Quelle déception !
Merci</t>
  </si>
  <si>
    <t>hadia-a-117871</t>
  </si>
  <si>
    <t xml:space="preserve">satisfait de l'ensemble des prestations. Réponse rapide en cas de sinistre et bonne prise en charge.  pour une première souscription c'est l'idéale et  bon rapport qualité prix. </t>
  </si>
  <si>
    <t>22/06/2021</t>
  </si>
  <si>
    <t>martmelv-115813</t>
  </si>
  <si>
    <t>A FUIR!
Mon assurance revenait à moins de 300€ à l'année. 
Un contrat temporaire est créé le premier mois afin de laisser le temps à l'assuré d'envoyer les justificatifs. Ce contrat vous coutera environ 3 mois du prix annuel, dans mon cas : 88€.
Si, à leur bonne convenance, les justificatifs ne sont pas "conformes", le contrat temporaire est resilié et les 88€ ne sont pas remboursés ! 
Une ESCORQUERIE pure et dure.</t>
  </si>
  <si>
    <t>03/06/2021</t>
  </si>
  <si>
    <t>antoine-p-122180</t>
  </si>
  <si>
    <t>je ne suis pas satisfait du service car je ne suis pas responsable d' un sinistre courant 2019 mais vous avez augmenté mon tarif pour l' assurance kia picanto
De + vous dites avoir essayer de me joindre et je n' ai jamais reçu d' appel de votre part</t>
  </si>
  <si>
    <t>fredgrnd-114846</t>
  </si>
  <si>
    <t>A mon tour de laisser un commentaire sur cet assureur… j’ai récemment souscrit à leur service. Malgré l’envoi de la feuille de soins je n’ai plus aucune nouvelles. J’ai fait différentes relance sans aucune réponse de leur part…
J’ai eu plein de beau discours avant de valider le contrat, mais depuis plus rien, silence radio</t>
  </si>
  <si>
    <t>26/05/2021</t>
  </si>
  <si>
    <t>fanous-93246</t>
  </si>
  <si>
    <t xml:space="preserve">ayant changé d assureur aprés l achat d un nouveau véhicule j etait un peu perplexe par rapport au prix demandé par l olivier . 20 euros de moins que mon ancienne assurance et ce pour les mémes garanties .mais aprés quelques mois en plein confinement en allant au travail j ai percuté un chevreuil . les degats etant importants je craignais le pire . et bien quelle fut ma surprise en retrouvant un vehicule exellement reparé par un carrossier agréé.je ne regrette pas ce choix donc et vous invite a comparer les prix de cette assurance . </t>
  </si>
  <si>
    <t>louloutdu98-62720</t>
  </si>
  <si>
    <t xml:space="preserve">BON RAPPORT QUALITE PRIX JE DEVAIS FAIRE MES LUNETTES je quittais mon entreprise, je recevais chaque jour plein de devis, et j'ai trouvé néoliane pas si cher </t>
  </si>
  <si>
    <t>emilie-m-112725</t>
  </si>
  <si>
    <t>Facile de souscrire. L'ajout des pack à l'assurance de base gonfle vite la facture, finalement ce n'est pas si peu cher. Pour ma voiture qui ne bouge pas du parking 80% de l'année, ça reste quelque chose de convenable et adéquat.</t>
  </si>
  <si>
    <t>ines-50874</t>
  </si>
  <si>
    <t>Service commercial déplorable, aucun suivi un changement d'interlocuteur toutes les semaines à croire qu'il n'y a que des intérimaires dans cette usine à CDD. Chacun se renvoie l'appel entre chaque service direction inexistante pour les réclamations. Délais de  traitements extrêmement longs. Plus de 2 mois pour une simple adhésion d'assurance de prêt. 1 an là-bas et j'ai vite résilié !</t>
  </si>
  <si>
    <t>hsteff67-66185</t>
  </si>
  <si>
    <t>j ai consulte un autre site avant celui là touts les gens sont ennnchhanntteeeee oui mais que des avis de nouveaux souscripteurs bon service clients blablabla Tu m étonnes pour souscrire pas de problèmemais ensuite en cas d'accident plus personne service plus que nul 3 semaines en attente de décision sur responsabilité et toujours rien service suivi sinistre injoignable conseiller incompétents Sauf bien sur au service adhésion là on met le paquet Bien joli de faire de la pub en disant nos assures economisent en moyenne 200 euros par années si c est pour prendre ensuite les gens pour des jambons si vous le pouvez mettez vos 200 euros de plus dans une asurance correcte ou priez saint maccadam pour qu il vous protege</t>
  </si>
  <si>
    <t>14/08/2018</t>
  </si>
  <si>
    <t>kaisber-124529</t>
  </si>
  <si>
    <t>Organisation catastrophique, problèmes pour joindre un correspondant, vous promet mais ne fait rien; Attente pas possible pour obtenir des remboursements, vérification de tous les remboursements car certains ne se font pas et personne ne vous prévient. En un mot éviter cette mutuelle</t>
  </si>
  <si>
    <t>cgrand9159-99867</t>
  </si>
  <si>
    <t>A FUIR. en arrêt depuis mars ils prennent toutes les excuses pour ne pas couvrir mon emprunt .dés le début assurance commence au 30 ème jour april m'envoie un courrier qu'après étude mon assurance commence au 91 ème jour ce qui est faux puis attente pendant 3 mois pendant le confinement avec l'impossibilité d'être remboursé malgré les courriers de la ss .clôture de mon dossier en ignorant les lois sur les personnes en ald pouvant avoir une forme grave de covid ;Puis cerise sur le gâteau malgré mon nom et prénom Ils ne peuvent pas me retrouver après des recherches approfondies ;je suis chez eux depuis 2014!!!une mauvaise foi avérée Profession indépendante fuyez cette assurance  Aucune possibilité de les contacter et votre assurance qui devrait vous aider AXA dans mon cas se dédouane  A FUIRRRRRRRRRRRRR</t>
  </si>
  <si>
    <t>vivi33-115977</t>
  </si>
  <si>
    <t>J'ai été très bien reçue par Maria . Elle m'a expliqué clairement mon problème 
Assureur très agréable et compréhensible .merci Maria .
Depuis peu chez santiane j'en suis ravie .</t>
  </si>
  <si>
    <t>04/06/2021</t>
  </si>
  <si>
    <t>etcheverria-l-123128</t>
  </si>
  <si>
    <t xml:space="preserve">Je suis satisfait du service 
Les prix sont très bien et compétitifs 
Je recommanderai l Olivier assurance à mes connaissances sans aucun problème merci </t>
  </si>
  <si>
    <t>walou-80278</t>
  </si>
  <si>
    <t>Dossier envoyé complet, et depuis 2 mois toujours aucune nouvelle malgré plusieurs appels, on me dit que mon dossier est traité et la réponse arrivera sous 48h et 10jours après toujours rien...</t>
  </si>
  <si>
    <t>21/10/2019</t>
  </si>
  <si>
    <t>bobby-51452</t>
  </si>
  <si>
    <t>2 mois que je demande la vignette verte et je n ai toujours rien reçu, mon assurance est payée,impossible de les joindre</t>
  </si>
  <si>
    <t>19/01/2017</t>
  </si>
  <si>
    <t>schischi-105700</t>
  </si>
  <si>
    <t>Bonjour, je suis artisan menuisier ébéniste auto-entrepreneur. Je suis donc dans l'obligation de souscrire une assurance décennale au prix de 80.97€ par mois chez APRIL. Ayant trouvé moins cher chez GROUPAMA et avec plus de couvertures, GROUPAMA c'est occupé de la résiliation qui à eu lieu le 31/12/2020 !!! MAIS APRIL refuse la résiliation malgré que tout soit en règle suivant l'article L.113-12 du code des assurances.
Et continuent de me prélever depuis le début de l'année 2021 soit la somme de 230.97€.
Malgré les relances de GROUPAMA et de ma part, rien ne change.</t>
  </si>
  <si>
    <t>garantie-decennale</t>
  </si>
  <si>
    <t>prescillia-m-128329</t>
  </si>
  <si>
    <t xml:space="preserve">Un peu plus chère que les autres comparateur mais ayant déjà mon contrat chez vous, c'est plus simple par rapport aux démarches. Service client réceptif </t>
  </si>
  <si>
    <t>jpjagniak--106800</t>
  </si>
  <si>
    <t>je viens de recevoir mon avis de prime à compter du 09/04/2021.
Direct assurance me propose une augmentation de 17,51% de ma prime je dis bien 17,51%.
je suppose qu'une virgule a été mal placée et que l'augmentation aurait dû être de 1,75%</t>
  </si>
  <si>
    <t>gilles-35-57170</t>
  </si>
  <si>
    <t xml:space="preserve">bonjour,
nous rencontrons exactement le même problème. Malgré la consolidation de mon épouse en invalidaité cat 2. L'expert d'april soutient que mon épouse peut travailler !! c'est scandaleux.
De plus, April nous demande de leur rembourser du trop perçu, bien que l'état de santé n'a pas changé depuis 1 an. April , en aucun cas est une assurance. ils profitent de la faiblesse des assurés pour ne pas remboursé les échéances. en effet, il faut aller en justice contre april, c'est inacceptable. cordialement . 
</t>
  </si>
  <si>
    <t>07/09/2017</t>
  </si>
  <si>
    <t>cedricf65-89734</t>
  </si>
  <si>
    <t>Interlocuteur injoignable après un vol dans une maison.ACM ne veut rien savoir alors que papiers fournis.injoignable par tel.aucun remboursement pour vol.</t>
  </si>
  <si>
    <t>18/05/2020</t>
  </si>
  <si>
    <t>ixorgalixe-63767</t>
  </si>
  <si>
    <t>Dans l'ensemble satisfait, un bémol pour le prix très élevé.</t>
  </si>
  <si>
    <t>03/05/2018</t>
  </si>
  <si>
    <t>viking-138760</t>
  </si>
  <si>
    <t>Bonjour suite à l'entretien téléphonique que j'ai eu ce matin avec madame Ndeye je vous fais part de mon entière satisfaction pour les réponses qu'elle a apporté à mes questions. Encore Merci.</t>
  </si>
  <si>
    <t>jenenaipa-111215</t>
  </si>
  <si>
    <t>Je donne moins cinq étoiles pour mauvaise foi mensonge prix élevés pas de bonus et refus de payer les frais de réparation surévaluation du coût des réparations sous-évaluation du prix de la voiture qu'il assure assurance a fuire absolument je met une étoile mais c'est moins cinq</t>
  </si>
  <si>
    <t>valerie95-70959</t>
  </si>
  <si>
    <t>77,30 % d'augmentation en 6 ans, prix très avantageux au départ mais 6 ans après...... et plus encore dès qu'il y a un sinistre.</t>
  </si>
  <si>
    <t>jean-marie-m-114219</t>
  </si>
  <si>
    <t>Je suis satisfait par la possibilité de s'assurer en ligne et la gestion en ligne
simple et pratique.
Je viens juste de souscrire, nous verrons à l'avenir si cette satisfaction se confirme.</t>
  </si>
  <si>
    <t>zaza75-70936</t>
  </si>
  <si>
    <t>A EVITER A TOUT PRIX ! Toujours en attente d'un complément de prestation malgré des relances</t>
  </si>
  <si>
    <t>asmina-i-125482</t>
  </si>
  <si>
    <t>Je suis satisfaites des services de Direct assurances en temps que jeune conductrice.
Seul bemol, je n’ai pas trouvé comment régler mensuellement et non annuellement</t>
  </si>
  <si>
    <t>shaddow-60303</t>
  </si>
  <si>
    <t>Suite à un sinistre avec un motard, mon premier interlocuteur rassuré, fait l'éloge des valeurs et des intérêts commun qui nous unissent et garantie de défendre au mieux mon dossier en recueillant les plus d'informations possibles, y comprit aux prés des services de police. Deux semaines plus tard, après une discutions fort désagréable avec un autre opérateur nouveau discourt, qui me semble cette beaucoup plus cohérent. En effet en se basant sur les infos notées sur le dossier lors du premier contact, le verdict est sans appel, débrouillez-vous, car votre responsabilité est engagée. Agir de manière aussi insidieuse est à mon sens un manque de professionnalisme. Aussi, je n'oublie pas les raisons qui me pousse à souscrire chez eux, et malheureusement l'efficacité n'en fait pas parties.</t>
  </si>
  <si>
    <t>pierre-86229</t>
  </si>
  <si>
    <t xml:space="preserve">je me bas depuis plusieurs mois pour une succession pas de réponses au tel pas de réponses aux courriers gestion catastrophique je suis obligé de prendre un avocat pour pouvoir toucher mon héritage  </t>
  </si>
  <si>
    <t>23/01/2020</t>
  </si>
  <si>
    <t>alain-m-131314</t>
  </si>
  <si>
    <t>Je résilie tous mes contrats a la GMF car je ne suis pas du tout satisfait du dernier échange que j'ai eu avec un conseiller de la seyne sur mer.
Il n'a pas voulu assurer un bateau que j'ai acheté et je lui ai dit que j'allais l'assurer ailleurs car j'avais déjà une réponse positive d'une agence concurrente et qu'en même temps je résilierai tous mes contrats.
 il m'a répondu: faite ce que vous voulez sans chercher a arrondir les angles..aujourd'hui je le remercie car j'ai trouvé bien moins cher ailleurs....</t>
  </si>
  <si>
    <t>mehmet-k-132985</t>
  </si>
  <si>
    <t>Rapide et simple. Direct assurance nest pas cher. Le parrainage fait bénéficier 20e a deux personnes et c’est super. 
J’espère trouver plusieurs personnes pour souscrire et bénéficier des 20e</t>
  </si>
  <si>
    <t>15/09/2021</t>
  </si>
  <si>
    <t>lylou-103256</t>
  </si>
  <si>
    <t xml:space="preserve">Je vous ai fait parvenir un devis dentaire il y a quelques temps. Pourtant ayant souscrit lyria stature, je m'aperçois que je suis pas très bien remboursé, sauf si je passe par le raiseau Santéclair, sauf que ces dentistes ne prennent pas de nouveaux clients ou sont trop loin, je trouve ça pas logique du tout. En plus on vous fait faire des économies parce que nous profitons pas plus que ça de cette mutuelle donc il pourrait y avoir une exception, faire un effort sur le   ou sur le prix de la mutuelle trop cher. Cordialement </t>
  </si>
  <si>
    <t>fabdro-97770</t>
  </si>
  <si>
    <t>Malgré plusieurs courriels aucune réponse de leur part heureusement je change de mutuelle fin décembre pas plus de résultats par téléphone médiocre c'est peu dire</t>
  </si>
  <si>
    <t>ferre-le-roy-s-136363</t>
  </si>
  <si>
    <t xml:space="preserve">Satisfaite de vos tarifs et vos garanties  , rapide , simple et efficace . Je ne manquerai pas de parler de vous autour de moi pour un parrainage. Accueil cordial </t>
  </si>
  <si>
    <t>rafael-v-111730</t>
  </si>
  <si>
    <t>Je suis satisfait du prix de mon second contrat, je conseillerai mes proches de venir chez vous, contact sur Messenger très sympathique et arrangeant.</t>
  </si>
  <si>
    <t>aet-70938</t>
  </si>
  <si>
    <t>Pour un sinistre non responsable  mi Décembre
Contraint de payer 1250 de franchise 
Non remboursée à ce jour 
Réponse téléphonique vindicative et sans écoute</t>
  </si>
  <si>
    <t>nini-c-116396</t>
  </si>
  <si>
    <t xml:space="preserve">j ai découverte vos assurances grâce à ma sœur et je suis ravie pour le moment une équipe très sympathique , jai pu les joindre facilement par telephone apres avoir souscrire via la site internet 
</t>
  </si>
  <si>
    <t>groucho-60279</t>
  </si>
  <si>
    <t>MAAF Paris Bastille. Accueil plutôt aimable mais incapable de répondre à des questions simples s'en suit des argumentations tortueuses proches de la mauvaise foi.Dommage!</t>
  </si>
  <si>
    <t>y-130686</t>
  </si>
  <si>
    <t>A fuir 
Si vous vous demander pourquoi c'est une assurance pas cher, cela s'explique : 
Ne penser jamais avoir de sinistre car au quel cas si cela ne concerne pas de la carrosserie, vous devrez avancé des frais de diagnostic et de réparation qui ne seront jamais remboursés , vous aurez beau envoyer tout les documents et le diagnostic de l'expert on vous diras toujours au bout de 2 mois que votre dossier et en cours de traitement et vous serez contraint de faire appel à une association juridique. Conclusion à fuir assurance pas fiable en cas de sinistre.</t>
  </si>
  <si>
    <t>gusse-53876</t>
  </si>
  <si>
    <t>ASSURANCE NULISSIME</t>
  </si>
  <si>
    <t>05/04/2017</t>
  </si>
  <si>
    <t>karine-f-124164</t>
  </si>
  <si>
    <t xml:space="preserve">Je suis satisfait du service, rapidité et le prix est satisfaisant.
Toujours à l'écoute, est prêt à vous satisfaire
je conseil vivement, et la plateforme est assez intuitive
</t>
  </si>
  <si>
    <t>francois-b-109217</t>
  </si>
  <si>
    <t>insastifait des conseillers,ne prenne pas  mes demandes en compte,s en fiche si je resilie mes 3 contrats,toute facon je vais resilier car j en ai raz le bol d envoyez 50 mails pour obtenir une reponse facile.</t>
  </si>
  <si>
    <t>sabrina-133822</t>
  </si>
  <si>
    <t xml:space="preserve">Les RéparationS Ont été effectuées très rapidement 
Dépannage d un véhicule de prêt directement à mon domicile
Je suis Très satisfaite De cette agence d assurance ainsi que du garagiste </t>
  </si>
  <si>
    <t>nana-117260</t>
  </si>
  <si>
    <t>un courrier envoyé le 23/03/2021  ( sans réponse )
2 ième courrier le 14/04/2021      ( sans réponse )
3 ième émail le 07/05/2021          ( sans réponse )
4 ième téléphoné le 16/05/2021   ( répondu MAIS il est stipulé sur mon devis la date de
                                                 réponse le 23/04/2021 faux ) j'ai reçue ce jour seulement
                                                 mon devis!!!!!
Autrement la personne que j'ai eu au tél a été très compétente et rapide.</t>
  </si>
  <si>
    <t>capone-55-86583</t>
  </si>
  <si>
    <t xml:space="preserve">Cette mutuelle frise l'extortion. Malgré le niveau des cotisations , leur service semble volentairement éviter tous support à ses cotisants , une politique de chiffre que l'on rencontre d'habitude plutôt avec des prêteurs sulfureux. Un manque critique également  d'investissement dans les ressources humaines probablement en adéquation avec un objectif de gain maximum. Tous ses clients en patissent. </t>
  </si>
  <si>
    <t>darjy-106484</t>
  </si>
  <si>
    <t>Cette année AXA s'est permis d'augmenter la cotisation automobile de 7% par rapport à 2020, alors que les médias nous disaient que les assureurs avait engrangé des bénéfices importants suite au confinement, je n'ai pas du tout apprécié, il a fallu négocier pou avoir une remise conséquente, autrefois j'assurais mes biens immobiliers et la mutuelle santé chez eux, suite à des augmentations importantes je les ai quitté voila plusieurs années. maintenant je vais surveiller de près l'appel de cotisation. A noter que la garantie accidents de la vie à augmenté de 4% par rapport à 2020.</t>
  </si>
  <si>
    <t>sylvainf51-105208</t>
  </si>
  <si>
    <t xml:space="preserve">Bonjour,
Le fils de ma voisine écrase mes lunettes que j'avais posé au sol (Je travaillais dans le jardin) après que je n'y voyais plus rien car elle étaient couvertes de sueur et voici la réponse de la MACIF :
Cher Sociétaire,
Vous nous sollicitez dans le cadre de la garantie "recours" de votre contrat suite à l'incident survenu le XX/XX/XXXX.
Les informations communiquées ne nous permettent pas de présenter un recours pour la raison suivante :
La mise en jeu de la responsabilité nécessite l'existence d'une faute. Or ce n'est pas le cas ; il ne peut être reproché à M. XXXXXX  d'avoir écrasé les lunettes alors que celles-ci se trouvaient à terre.
En laissant vos lunettes au sol, vous avez commis une imprudence qui est de nature à exonérer celui qui a marché dessus.
Dès lors, nous ne pouvons donner une suite favorable à votre dossier.
Nous restons à votre entière disposition pour tout renseignement complémentaire.
Je suis outré d'une telle réponse !!! Je suis victime et il me porte pour responsable afin de ne pas rembourser mes lunettes ?!?!? Comment faire pour faire cesser ces agissements ?
Cette réponse est insultante et démontre une fois de plus combien nous sommes impuissant face à des assureurs qui fuient leurs responsabilités !!! Car que puis-je faire à part exprimer mon mécontentement à travers votre forum ?... RIEN !!!
Salutation.
</t>
  </si>
  <si>
    <t>dacou67-113501</t>
  </si>
  <si>
    <t>La pub tv correspond à la réalité... c est la MAAF que je préfère ! !!...
Faut prendre en compte tous les critères et au résultat  tout se confirme...</t>
  </si>
  <si>
    <t>gunther-i-136683</t>
  </si>
  <si>
    <t xml:space="preserve">Très facile de compréhension même pour un jeune conducteur. Ma permis de bénéficier d'une assurance auto dans les plus brefs délais. Le service téléphonique est très aimable et agréable. </t>
  </si>
  <si>
    <t>08/10/2021</t>
  </si>
  <si>
    <t>claeys-e-137879</t>
  </si>
  <si>
    <t>Je suis satisfaite des renseignements que l'on nous apportent, je suis satisfaites de l'accompagnement téléphonique et de l'amabilité des conseillés .</t>
  </si>
  <si>
    <t>aleskei-117562</t>
  </si>
  <si>
    <t>C'est une assurance à  fuir ils vous font payer avant des signée le contrat puis juste après ils refuse la souscription l'argent n'est pas remboursé n'aller pas chez eux !</t>
  </si>
  <si>
    <t>ophelie-t-107418</t>
  </si>
  <si>
    <t xml:space="preserve">je suis satisfaite du service. Bonne prise en charge lors d'un sinistre. On pourrait dire également, qu'il y a un bon rapport qualité et prix des prestations.
</t>
  </si>
  <si>
    <t>dauphin-137412</t>
  </si>
  <si>
    <t>Le meilleur tarif que j'ai trouvé !! je recommande la garantie assistance ,pour un cout modéré ,c'est une sécurité lors des déplacement et le système est  au point .</t>
  </si>
  <si>
    <t>14/10/2021</t>
  </si>
  <si>
    <t>dscteddy-64056</t>
  </si>
  <si>
    <t xml:space="preserve">Plus de 10 ans d'assurances, et après 2 sinistres NON responsable, et malgré un bonus à 0,51% ils mettent dehors, comme un malpropre. Il appelle sa un service de qualité je trouve cela très dommageable. Pour faire simple c'est un assureur qui vous couvre que si vous n'avez pas d'accident. </t>
  </si>
  <si>
    <t>chdens-111634</t>
  </si>
  <si>
    <t xml:space="preserve">Suite à mon appel téléphonique, j'ai été très bien renseigné. Mon interlocutrice d'un grande courtoisie , a répondu à toutes mes questions  tout en précisant ce que je devais faire. </t>
  </si>
  <si>
    <t>ilyes-70096</t>
  </si>
  <si>
    <t>Franchement à fuir. Ils ne répondent pas, ni aux mails, ni aux demandes faites dans l'espace personnel. 
Plus de deux mois d'attente pour une demande de prise en charge d'un devis dentaire et ce n'est pas encore fini. Quand je les ai appelé, la dame me demandait de renvoyer de nouveau, après elle me dit qu'elle n'a pas accès à la boite mails pour savoir si ils l'ont bien reçu, après elle me dit que ma demande normalement est en cours de traitement !!!
Elle ne savait pas même pas comment justifier le faite que ma demande datant de plus de deux mois n'avait pas été prise en compte...Franchement, s'il y avait les étoiles en négative j'aurais mis.</t>
  </si>
  <si>
    <t>10/01/2019</t>
  </si>
  <si>
    <t>annie-117583</t>
  </si>
  <si>
    <t>Très chère et très déçu je me l’a recommandé de ne pas prendre.je pris pour 2021 et je suis très mécontente des prestations. Quand je l ai pris tout est merveilleux et après 6 mois je n ai eu aucun remboursement. Mon mari a eu des semelles ils m ont remboursé 11.50 sur 115€ et pourtant au téléphone c était meilleur . Je pense que ils sont tous à mettre dans le même panier</t>
  </si>
  <si>
    <t>kimete-g-131396</t>
  </si>
  <si>
    <t xml:space="preserve">J aurais préféré le payement mensuel. Si le payement mensuel est accessible, je souhaiterai le mettre en place pour l année prochaine. Merci de me confirmer. Cordialement Madame Grainca. </t>
  </si>
  <si>
    <t>05/09/2021</t>
  </si>
  <si>
    <t>walid-adli-61185</t>
  </si>
  <si>
    <t xml:space="preserve">La mauvaise assurance que j'ai jamais eu, j'ai suis en train de vivre un cauchemar avec eu dans un sinistre, une fois mon véhicule déposé chez le garagiste, celui ci ne peut a pas posé la main qu'après 1 mois, et en contactant l'assurance pour un véhicule de près, laisse tombé, on m'a dit que pour en bénéficier il faut payé un pack TRANQUILLITÉ qui n'a rien avoir avec la tranquillité, j'ai payé, puis après , en fait Monsieur on peut pas vous le donner tant que les travaux de réparation n'ont pas commencé, donc véhicule de près dans 1 mois, en plus ils repondent pas à mes email ni à mes appel téléphoniques, j'ai constaté après que mon numero a été blacklisté, après avoir tenté d’appeler à partir du telephone d'un collègue, ça marche en faisant comme si je voulais declarer un nv sinistre c'été la seul manière de les avoir pour suivre mon dossier, c'est la honte.
je leur ai dis ça comme cest bizare avec mon tel j'arrive pas a vous joindre et avec un autre ça marche, ben ils disent rien.
Bref Direct Assu je vous la déconseille sincèrement
pour les brise de glace , des petits truc ils peuvent assurer mais dans des vrais sinistre c'est la galère </t>
  </si>
  <si>
    <t>lautanzi-85666</t>
  </si>
  <si>
    <t xml:space="preserve">Début octobre, demande de changement d'adresse postale. Envoi de l'imprimé, justificatifs etc... Accusé réception de la modification reçu aussitôt par la poste. Début décembre, je souhaite un rachat partiel et contacte le correspondant AFER à Paris. Il vérifie l'ensemble des informations et il s'avère que l'adresse n'a été modifiée que partiellement par l'AFER... Elle doit donc être corrigée préalablement à toute demande de rachat. Nouvel envoi des documents justificatifs....  Nouvel accusé réception de la modification reçu par voie postale .... mais la validation informatique n'étant toujours pas faite, le rachat ne peut pas même être demandé car toute opération est bloquée... Mails de réclamation, nombreux appels téléphonique à l'AFER, au correspondant. Rien n'y fait. Nous sommes le 8 janvier et je n'ai toujours pas pu déposer ma demande de rachat.... Que penser ?
</t>
  </si>
  <si>
    <t>08/01/2020</t>
  </si>
  <si>
    <t>jelauraiunjour-58590</t>
  </si>
  <si>
    <t xml:space="preserve">depuis 30 ans à la MAAf, au lieu de faire des avenants sur les anciens contrats,il les change comme cela moins de garantie avantageuse... une seule conseillère est valable sur Vienne... on voit très le projet de MAAF dans sa PUB télé. les assureurs contre les clients et non les assureurs avec les clients... Aucune écoute des besoins du client, à Vienne on préfère faire du chiffres d'affaires... </t>
  </si>
  <si>
    <t>04/11/2017</t>
  </si>
  <si>
    <t>soso-37-96465</t>
  </si>
  <si>
    <t>Je suis en arrêt maladie depuis le 11/07/2020. j'ai envoyé mon dossier de A à Z. A aujourd'hui je n'ai aucune réponse. C lamentable, j ai lu tous les commentaires "ça fait peur" une bande d'incapable qui donne des réponses à la noix. A leur place j'aurais honte..</t>
  </si>
  <si>
    <t>19/08/2020</t>
  </si>
  <si>
    <t>benoit-m-133429</t>
  </si>
  <si>
    <t xml:space="preserve">C été 17h30 est personne au téléphone j ai attendu 15 min au téléphone pour qu'on me disent qu'il y avait personne pour me répondre avertisser des le début pour nous dire qu'il y a personne qui va répondre au lieu d attendre 15 min au téléphone </t>
  </si>
  <si>
    <t>luc-r-122431</t>
  </si>
  <si>
    <t>service et assistance satisfaisant, toutefois les tarifs sont élevés, j'envisage un changement de véhicule donc je regarde la concurrence ou j'espère un geste commercial</t>
  </si>
  <si>
    <t>guillaume--98618</t>
  </si>
  <si>
    <t>Le service client est lamentable. Pas de réponse à vos simples questions. Imaginez vous pour un sinistre, là il ny aura plus personne. Leur adresse, c est une simple porte de garage. Vous leur demandez de vous envoyer une pochette pour ranger les papiers et ils ne savent pas à quoi cela correspond. Vous leur demandez comment arrêter votre assurance et là il n y a plus personne pour répondre à vos mails</t>
  </si>
  <si>
    <t>11/10/2020</t>
  </si>
  <si>
    <t>carole-77491</t>
  </si>
  <si>
    <t xml:space="preserve">J ai souscrit à un contrat prévoyance auprès  de Intériale devenue mutuelle référencée par le ministère de la justice mon employeur
 J ai pensé que cela m apporterait une garantie de qualité
 Grosse erreur
Tous est bon pour ne pas avoir à indemniser même les mensonges les plus absurdes
On me refuse l indemnisation de ma perte de salaires et primes sous prétexte que j aurais faussement déclaré le 14 août 2018 ne pas avoir été en arrêt maladie le 1 janvier 2019 et ça ne les choque même pas c est dire le niveau et en plus du refus d indemnisation je suis informée que je suis radiée procédure normalement prévue selon le règlement mutualiste en cas de non paiement des cotisations
Je pourrais parler d un dialogue de sourd mais vu qu il n y a plus de contact
Bref je suis bien décidée à aller au bout et déposer plainte au civil mais peut être aussi au pénal vis à vis de la gestionnaire qui m accuse de manière mensongère de fraude cela devrait pouvoir constituer un délit
bref à réfléchir plus qu à deux fois avant de souscrire
</t>
  </si>
  <si>
    <t>marielle-p-106589</t>
  </si>
  <si>
    <t>Site très clair et n° de téléphone bien présents, ce qui est rare sur les sites.
En revanche, j'ai attendu pas mal de temps au tél et j'ai fini par raccrocher avant d'avoir eu le conseiller...</t>
  </si>
  <si>
    <t>pierre-qui-roule-110715</t>
  </si>
  <si>
    <t xml:space="preserve">Depuis plus de 5 ans je suis assuré chez AMV, je suis satisfait de leurs services et des prix attractifs qu'il propose toutefois je n'ai pas eu besoin de leurs services. Je les recommandes auprès de mon entourage.
</t>
  </si>
  <si>
    <t>hotz-l-133975</t>
  </si>
  <si>
    <t xml:space="preserve">Je suis satisfaite des garanties et services proposés par l’olivine assurances. Les offres parrainages sont un plus non négligeable. Je recommande cette compagnie </t>
  </si>
  <si>
    <t>bernard-j-109386</t>
  </si>
  <si>
    <t>rien à signaler tout est parfait.
Reste à voir lorsque malheureusement j'aurai un accident la réactivité de vos services mais sans attendre je le suppose parfait.
BJakubowicz</t>
  </si>
  <si>
    <t>yaho-55154</t>
  </si>
  <si>
    <t>en maladie professionnelle depuis 2008, la Cardif suspendue le premier février 2017 la prise en charge au titre de la garantie incapacité temporaire totale de travail alors que je suis toujours dans cette situation médicalement constaté par mon médecin traitant et les  expertises médicales demandé par mon employeur.
Après les avoirs contacté  par téléphone au sujet de la prise en charge de mon prêt immo, ceux-ci m'ont indiqué de me rapprocher et prendre un RDV avec leur médecin expert afin de m'examiner et de poursuivre le paiement,sauf que je n'ai jamais reçu de convocation écrite  de la compagnie d'assurance Cardif ce qui m'a privé de la possibilité de me faire assisté et d'autre part pourquoi avoir suspendu le paiement depuis février 2017 alors qu’aucune décision formel écrite de la part de la Cardif n'a été prise à ce jour. En outre nul ne peut être privé de ses droit rétroactivement. 
 EVT 1931882. La suite est entre les mains de mon avocat .</t>
  </si>
  <si>
    <t>06/06/2017</t>
  </si>
  <si>
    <t>tegane02-52685</t>
  </si>
  <si>
    <t>refus de resiliation pour mutuelle obligatoire
ne recoit pas les recommandés
ne traite pas les mails
je n'aurai assez de place pour tout citer..</t>
  </si>
  <si>
    <t>23/02/2017</t>
  </si>
  <si>
    <t>stephan-d-129972</t>
  </si>
  <si>
    <t xml:space="preserve">je suis satisfait du tarif assurance ainsi que du service de souscription en ligne simple et rapide je recommande fortement april moto 
merci a april moto de m assurer pour la seconde fois </t>
  </si>
  <si>
    <t>patrick-a-126552</t>
  </si>
  <si>
    <t xml:space="preserve">tres rapide et efficace 
et tres compréhensif
renseignement par tel tres efficace aussi
je recommanderai a mon entourage 
par contre dans faire suivre document  j'ai pas vu l’explication 
 </t>
  </si>
  <si>
    <t>pas-de-pseudo-99159</t>
  </si>
  <si>
    <t xml:space="preserve">J'ai déclaré un sinistre à mon assureur ALLIANZ en juillet 2020. Il s'agit d'un dégat des eaux dont je ne suis par responsable. J'ai payé les travaux de remise en état du plafond de ma salle d'eau. J'ai envoyé la facture à mon agent général le 11 août 2020. Depuis cette date je n'ai aucune nouvelle et je n'ai pas reçu de remboursement. J'ai contacté l'agent général par deux fois sans succès. Il ne peut rien faire pour moi. Il est anormal d'attendre aussi longtemps pour un remboursement de 247 euros. Je ne suis pas du tout satisfait d'ALLIANZ d'autant que j'ai également rencontré des problèmes avec la mutuelle santé ALLIANZ.  </t>
  </si>
  <si>
    <t>audrey-p-133777</t>
  </si>
  <si>
    <t>Les prix sont imbattables. J'ai fait des devis auprès de plusieurs assurances et vous!étiez les moins cher. Du coup je n'ai pas hésité. En plus direct assurance s'occupe de la résiliation de mon contrat</t>
  </si>
  <si>
    <t>katia85-97618</t>
  </si>
  <si>
    <t xml:space="preserve">Une cata je ne peux pas les joindres il se renvoie la balle pour un devis grrrr j en peut plus
Je me retrouve sans assurance demain dimanche alors que c est payé. </t>
  </si>
  <si>
    <t>19/09/2020</t>
  </si>
  <si>
    <t>heuninck-c-139298</t>
  </si>
  <si>
    <t>Je suis satisfaite du service, les prix me conviennent, simple, efficace et pratique.
Jai eu un probleme personnel et L'Olivier assurance, a été très professionnel et bienveillant.</t>
  </si>
  <si>
    <t>09/11/2021</t>
  </si>
  <si>
    <t>monia-z-132269</t>
  </si>
  <si>
    <t>Je suis satisfaite du service et l’offre faite par direct assurance me semble être la plus avantageuse.
La souscription en ligne a été simple.
Merci Direct Assurance</t>
  </si>
  <si>
    <t>wenden-24110</t>
  </si>
  <si>
    <t>Une Mutuelle chère et des remboursements qui ne sont pas en rapports avec le tarif</t>
  </si>
  <si>
    <t>20/04/2017</t>
  </si>
  <si>
    <t>non--121440</t>
  </si>
  <si>
    <t xml:space="preserve">Très bien Émeline très compétente très aimable et al écoute  surtout pour les personnes de mon âge quand on a quelques fois des difficultés a comprendre merci </t>
  </si>
  <si>
    <t>noe261186-65116</t>
  </si>
  <si>
    <t>Clair sur les garantis. Bonne prise en charge pour les explications.</t>
  </si>
  <si>
    <t>28/06/2018</t>
  </si>
  <si>
    <t>mokhta-104366</t>
  </si>
  <si>
    <t xml:space="preserve">La personne au téléphone était à l'écoute très professionnel à su répondre à ma demande, ma conseiller m'a mit sur plusieurs choix et m'a 'aiguiller sur la démarche à effectuer </t>
  </si>
  <si>
    <t>17/02/2021</t>
  </si>
  <si>
    <t>nadia-b-134743</t>
  </si>
  <si>
    <t xml:space="preserve">Je suis heureuse qualité prix superbe réponse direct et super assurance recommander par ma famille qui son assurer chez vous , devis très bien détailler réponse rapide </t>
  </si>
  <si>
    <t>27/09/2021</t>
  </si>
  <si>
    <t>didier-117900</t>
  </si>
  <si>
    <t xml:space="preserve">J ai échangé aujourd'hui avec un conseiller de suravenir  concernant un sinistre , je nai pas eu l impression de m'adresser à mon assureur, , il a été  désagréable et condescendant  . </t>
  </si>
  <si>
    <t>cyssou-54224</t>
  </si>
  <si>
    <t>Assuré depuis plus de 10 ans auprès d'Axa pour tous mes véhicules, le dernier appel de cotisations reçu fait état d'une augmentation de près de 40 %, soit environ 350 €. On est loin des 1 à 3 % annoncé  fin 2016.
C'est scandaleux vu les bénéfices dégagés.</t>
  </si>
  <si>
    <t>22/04/2017</t>
  </si>
  <si>
    <t>gabriel-g-124394</t>
  </si>
  <si>
    <t>Satisfait, prix correct, le paiement mensuel est onéreux. 
A voir avec le temps, le jour où auras un soucis, si vous êtes réactif. 
Rapide et précis à souscrire.</t>
  </si>
  <si>
    <t>juzdzewski-m-128534</t>
  </si>
  <si>
    <t>ayant plusieurs contrats auprès de vous , je suis tout-à fait satisfait du service et de la disponibilité du service aussi bien par mail que par téléphone</t>
  </si>
  <si>
    <t>jaja-69301</t>
  </si>
  <si>
    <t>Impossible de joindre la section départementale de Lille depuis plus d'1 semaine, ils sont trop débordés et ne répondent plus.
C'est ça une mutuelle? Ne pas répondre présent quand vous avez besoin d'eux? C'est honteux et indigne de se dire mutuelle!
Je pense réellement à  aller voir ailleurs! Chapeau bas la MGEN!</t>
  </si>
  <si>
    <t>11/12/2018</t>
  </si>
  <si>
    <t>leti-76866</t>
  </si>
  <si>
    <t>Voilà maintenant depuis 2008 que j'ai mon permis. Assuré en tant que conductrice secondaire sur les trois véhicules.
Enfin c'est ce qu'on pensait. Il y a quelques années déjà j'ai demandé mon relevé d'information que je n'ai jamais reçu mais cela avait soulevé un problème mes parents payé une option qu'ils ne devais pas et problème de reconnaissance en tant que conductrice secondaire.
Scandale la directrice de l'agence nous appel nous rassure on passe à autre chose.
Hier j'appelle pour un devis et là je découvre que je ne suis pas connue de leur service, au bout de 20 minutes on m'annonce qu'il ont des traces en 2008 et 2014. Je tombe des nues. Je suis en colère révolté payer un service et ne pas être reconnu. Mais savoir encaissé 4 assurances (voiture e maison) ça par contre ils savent faire.</t>
  </si>
  <si>
    <t>desombre-p-137592</t>
  </si>
  <si>
    <t>je suis totalement satisfait du service et des tarifs produits par L'OLIVIER Assurance, déjà titulaire d'un contrat au sein de la Société depuis quelques années.</t>
  </si>
  <si>
    <t>16/10/2021</t>
  </si>
  <si>
    <t>frocot-l-113985</t>
  </si>
  <si>
    <t>Je suis satisfait pour le prix, et pour la prise en charge, l’equipe est au top pour m’avoir accompagné dans ma demarche, 
Je recommande l’olivier assurance</t>
  </si>
  <si>
    <t>sonia21-86084</t>
  </si>
  <si>
    <t xml:space="preserve">Voilà 1 an que je suis assuré chez ECA, aucun remboursement jusqu'à ce jour et ce malgré différentes relances, courriers, mail au service réclamation, déplacement physique au siège de ECA. Aucun retours de leur part je déconseille vivement en ce qui concerne l'assurance animal. </t>
  </si>
  <si>
    <t>20/01/2020</t>
  </si>
  <si>
    <t>massandje-k-109507</t>
  </si>
  <si>
    <t>Je suis satisfaite du service. Mon interlocuteur a été très professionnel et à l'écoute. Le service a été adapté à mes besoins ... je recommanderai DA</t>
  </si>
  <si>
    <t>corsica44-80068</t>
  </si>
  <si>
    <t>Suite à un retard de remboursement de soin,j'avais fourni par mail une photocopie du remboursement S.S.
Puis demandé à cet organisme si l'original avait été transmis à owliance ;Ce qui m'a été confirmé (trans.le 27/09/19)</t>
  </si>
  <si>
    <t>15/10/2019</t>
  </si>
  <si>
    <t>kackoune-67748</t>
  </si>
  <si>
    <t>service performant, adhérente depuis 2018 très satisfaite sauf le temps attente  qui me parait assez long</t>
  </si>
  <si>
    <t>16/10/2018</t>
  </si>
  <si>
    <t>jordan-98668</t>
  </si>
  <si>
    <t>Je suis en invalidité type 2 depuis le 5/2019 et ayant été licencié pour cette raison, la prévoyance souscrite par mon employeur a démarrée à cette date déduction faite des indemnités légales et des versements de pôle emploi et CPAM
Le premier versement a été fait avec 3 mois de retard sous prétexte qu’il manquait toujours un document alors que tout avait été envoyé dans les temps et depuis et quasi tous les mois , ma rente est versée en retard malgré les CG Axa qui stipule le règlement sous 10 jours ouvrés après réception des documents mensuels (CPAM et Pôle emploi) 
Y a t’il des recours ou actions à entreprendre connue ou dois je faire intervenir un organisme, avocat ???
Dernier exemple à la date du 1/01/2021, toujours aucun règlement reçu depuis l’envoi de mes justificatifs le 5/12/2020</t>
  </si>
  <si>
    <t>gerardcronen-40501</t>
  </si>
  <si>
    <t xml:space="preserve">Dans les années 80 j’ai souscris une assurance vie. A l’époque à la signature du contrat  le représentant d’AGF allianz  me disait que lors d’une invalidité même minime je toucherais un pourcentage du capital. En décembre 2003 je suis victime d’un accident cardio vasculaire. Infarctus du myocarde et pose de 3 stents. Au bout du 2ème ou 3ème mois je contacte cette assurance afin de bénéficier de l’indemnité journalière qui m’est du. La on me répond qu’il fallait réagir plus vite et donc je perdais  30 jours d’indemnités. Je ne savais pas que j’allais être arrêté + de  6 mois  puisque j’étais prolongé mois par mois. Passons. Le 5 aout 2011, 2ème infarctus  et pose de 2 stents supplémentaire. Durant cet arrêt de 6mois ils m’ont convoqué chez un expert en cardiologie de Mulhouse pour expertise. J’ai passé plus de 45 minutes branché à toutes sortes de machines. Pour moi très professionnelle. On ne m’a jamais communiqué les résultats. Pourquoi ? Vous allez bientôt comprendre. Le 31 janvier 2013 nouvel accident cardio vasculaire et pose de 3 nouveaux stents (7 en tout) Je contacte rapidement allianz pour ne plus être pénalisé. Je suis a nouveau convoqué pour expertise  et a ma grande surprise chez un rhumatologue de Mulhouse. (Pourquoi pas un gynéco ou un vétérinaire) L’expertise a duré même pas 10 minutes. Je signale que cet « expert » est connu sur la place pour rendre des rapports bidon… 2 semaines plus tard (très très rapidement donc) je reçois un courrier me signifiant que cet expert estime mon invalidité a 30 ./. (sans même avoir vu un électrocardiogramme sans même me demander mon traitement médical) et étant donné que mon invalidité n’est pas de 80./. Minimum aucune indemnité ne me sera versée. La je ne comprends plus rien.  Durant cette période j’ai été mis en invalidité par le médecin conseil de la sécurité sociale en 2ème catégorie à partir du 1er avril 2014. (soit 66./. max.)  Je rédige un courrier de réclamation au directeur Général allianz France ainsi qu’au directeur régional.(non sans mal) Septembre 2014, La responsable de Marché ainsi qu’un conseillé financier d’Allianz me rendent visite  pour revoir mon dossier et me faire de nouvelle proposition. Dans un premier temps elle me dit oui j’ai droit a un capital suivant le pourcentage de mon invalidité et très vite elle sort un avenant sur une feuille volante et me dit et ben non il faut avoir  au moins 66./. (une fois on me dit 80./. une autre fois c’est 66./. il font tout pour enfumer les gens) Je découvre également que je paye dans mon contrat d’assurance vie à fond perdu depuis plus de 1an1/2  une cotisation pour des indemnités journalières dont je n’ai plus droit et qu’on c’est bien gardé de m’en informer. Par contre ils m’ont très vite informé quand je n’avais plus droit aux indemnités journalières  Je leur demande si je pouvais récupérer le trop payé ? Comme d’habitude il fallait que je réagisse plus vite. Je cotisais durant plus de 35ans mais jamais on m’a parlé qu’il fallait avoir au moins 80./. pour pouvoir toucher un capital. Surtout pour le prix payé 152 euros exactement pendant plus de 35ans.  Bref cette responsable de chez allianz me fixe un nouveau rendez-vous après avoir entendu toute mes doléances.  15 Jours plus tard elle revient avec son conseillé financier (qui c’est déjà sauvé de cette compagnie, on se demande pourquoi…)  pour revoir ce dossier et la elle fait le ménage en détruisant plusieurs papiers des vieux contrats AGF en ma possession vraiment trop vieux qui n’ont plus court et que cela ne sert a rien de garder d’après elle. Elle prend également plein de renseignements patrimoine compte bancaire etc.  et me fixe un nouveau rendez vous avec a la clé une proposition extraordinaire que je ne pourrais pas refuser.   Quelques jours plus tard 3ème visite de cette responsable de marché avec la super proposition. C’était en faite 2 nouveaux contrats : 1 assurance vie moins cher (bien sur sans les indemnités journalière) et une nouvelle assurance décès. Je lui dis qu’après plus de 35ans de cotisation pour rien il faut être très con pour re signer chez vous et que j’attendais d’abord  une réponse pour un éventuel arrangement a l’amiable suite a mes réclamations, et que je veux également soumettre ces 2 contrats a un spécialiste et que après seulement je prendrais une décision. La elle me dit d’un ton fort et très ferme qu’il y avait des délais à respecter et que bien sur qu’Allianz a une grande responsabilité dans cette affaire et si je voulais que ma réclamation aboutisse il faut que je signe de suite ces 2 contrats et « sur » un arrangement en ma faveur sera engagé. Et bien sur j’ai signé ces deux nouveaux contrats en toute confiance. Au bout de 4 mois cette compagnie d’assurance m’informe que je n’ai droit à rien. Dossier clos, circuler il n’y a rien à voir. Du coup, J’ai arrêté tout les virements à savoir ces 2 nouveaux contrats ainsi que toutes mes assurances voiture maison etc. et depuis plus rien… bizarre (J’étais très bon client toutes mes assurances étaient chez eu et je n’ai jamais eu a les solliciter durant ces 40 années) allianz a fait preuve de désinvolture et de machiavélisme conduisant à la perte des petits et naïfs que nous sommes !! Lors de ma réclamation pour l’expertise bidon, chez ce rhumatologue, il me propose une nouvelle expertise au choix auprès de 3 médecins généraliste « maison » de leur choix et que  les honoraires de ce médecin que j’aurais choisi, seront partagés par moitié entre allianz et moi  (ils sont gonflé) Pour finir  ce que je conteste c’est ce fameux taux de 80./. qui ne figure pas sur mon contrat mais sur un avenant que l’on m’a fait découvrir (sur une feuille a part très astucieux). Jamais on ne m’a parlé de ça surtout au prix payé (+ de 80.000 euros en 35ans) ils écrivent : une invalidité fonctionnelle d’au moins 67./. en cas d’accident ou d’au moins 80./. par suite de maladie etc…, toute invalidité par maladie inférieur à 80./. ne peut faire l’objet d’un règlement. Vous vous rendez compte 152 euros/mois pour de telle garantie, la concurrence a bien rigolé (On m’enfume), je conteste aussi la « méthode » employé pour me faire signer 2 nouveaux contrats, également les documents soit disant trop vieux détruits par leurs soins. Ces personnes ont eu une sacrée formation interne pour rouler leur clients Ce qui est très bizarre aussi, impossible de contacter le directeur régional, ni même d’avoir son nom, seul entreprise commercial en France qui refuse de donner le nom de son directeur Je trouve qu’il y a beaucoup de choses « pas normal » Et j’en passe… Ils ont tout (mal) fait en amont pour ne rien payer. A voir la genèse de cette assurance cela ne m’étonne pas. Cette compagnie allemande ne devrait même plus exister, il faut simplement rappeler qu’elle assurait les prisonniers et les fours crématoires durant la dernière mondiale et j’en passe. Vous trouver plein d’info sur le net et vous ne risquer pas d’être déçu. D’après les forums de discutions c’est la pire assurance de France.  Actuellement je suis en invalidité, je n’ai plus le droit de travailler, je touche une petite pension d’invalidité 2eme catégorie de la sécurité sociale  et je pensais pouvoir toucher un petit capital à ma rente d’invalide. Pendant plus de 35ans j’étais persuadé que lors d’un problème de santé j’étais bien couvert. J’ai une forte impression d’avoir été berné et trompé durant toutes ces années et surtout cotisé pour rien. allianz est une très grosse compagnie avec un service juridique très efficace (source internet forum et avocats) et ça il le Save, elle est intouchable, se moque du code des assurances, de la justice, les expertises médicales sont fantaisistes souvent sur dossier. c’est pourquoi il se comporte de cette manière.  Même pas un petit geste commercial rien du tout au contraire il vienne me menacer pour signer deux nouveaux contrats.  Les actions de groupe en France sont inefficaces, aux USA, allianz a été condamné à une amende record. Une pétition ou une plainte auprès de la Commission Européenne est la seule solution. allianz a échappé à une faillite (voir histoire guerre 1940) mais peut être pas à une résiliation massive de la part des assurés. Cette assurance a oublié son objectif. Je suis un client maltraité, OK, mais suis-je le seul ? La lecture de l'article paru dans le journal économique "Les Echos" est édifiante..... Consultez-le,-vous serez édifié !!! http://patrimoine.lesechos.fr/patrimoine/placement/0203566094454-epargne-les-rappels-a-lordre-des-gendarmes-boursier-et-bancaire-1013127.php?68xEYGaeV1ktU9Os.99
Mettez un terme aux contrats que vous avez avec AGF / allianz, vous ne serez jamais correctement assuré et payé!
 UN CONSEIL fuyez cette compagnie aucune considération pour leurs bons clients
</t>
  </si>
  <si>
    <t>23/01/2018</t>
  </si>
  <si>
    <t>jmarc73-53441</t>
  </si>
  <si>
    <t>Injoignables n'écoutent rien, mais aiment en revanche s'écouter parler. Ne justifient par leur hausses de prix</t>
  </si>
  <si>
    <t>cath-131136</t>
  </si>
  <si>
    <t xml:space="preserve">Fonctionnaire d'état mais n'ayant rien à  voir avec l'éducation nationale je me suis retrouvée suite à  une fusion entre la Mutualité  Fonction Publique et la MGEN affiliée  à  cette dernière pour la couverture sociale. Dans les faits, la MGEN me rembourse directement mes dépenses relevant de la Sécurité  Sociale. Depuis je cumule les problèmes comme par exemple  
?Je ne peux ouvrir un compte Amélie donc barrage pour obtenir le QR code relatif à  la vaccination COVID aucune alerte de la MGEN Nice qui s'en moque et laisse ses assurés se débrouiller avec les pharmaciens...
 ? Je suis atteinte d'un cancer la MGEN ne dispose pas  de Medecin Conseil et mon dossier de demande de prise en charge à 100 % se perd ce qui me vaut de reprendre la constitution du dossier a la base et d'avancer pendant trois mois tous les frais médicaux . Encore une fois personne ne s'en émeut au sein de la MGEN de Nice.
Quand un organisme veut "tout avaler" il faut qu'il s'en donne les moyens. Tous ces assurés que la MGEN a pris en otage n'ont rien demandé.
</t>
  </si>
  <si>
    <t>emmesse-81132</t>
  </si>
  <si>
    <t>Je dois dire que j'ai été surpris par l'écoute et la bonne volonté de mes interlocuteurs (trices) à chercher pour moi le meilleur service en terme d'assurance auto. J'avais été très déçu de ma précédente assurance avec laquelle il était impossible de dialoguer. J'ai trouvé l'Olivier par hasard et le hasard a bien fait les choses.</t>
  </si>
  <si>
    <t>berger-112198</t>
  </si>
  <si>
    <t>Je suis satisfait du service, par contre j'ai eu des difficultés à m connecter à mon compte. Interlocuteur au téléphone agréable mais je n'ai pas été rappelé par le service informatique comme indiqué.</t>
  </si>
  <si>
    <t>monocyl-62352</t>
  </si>
  <si>
    <t xml:space="preserve">Caisse d'épargne et CNP meme combat , si j'osais je dirais , vu la désorganisation de la CNP , la CNP va couler dans les 2 ans , j'ai déjà fait des paris de ce genre et j'ai gagné. Notre pere décède debut mars 2017 , les 4 enfants que nous sommes étant presque tous en retraite , dès la sépulture faite , contact est pris avec les banques . on decouvre une assu vie  à la caisse d'épargne .Le directeur de Champagnole (Jura) me demande de livrer les rib des un et des autres pour liquider l'affaire , il me me dit que sous un mois on aura l'argent , il va meme , alors que je ne lui demande rien , me calculer la répercution possible sur mes impots . Etait-ce son role? nombreux coups de tel et de mails vont suivrent  sans réponse . 6 mois passent , La caisse d'épargne nous demande en octobre que le notaire confirme que nous sommes bien les seuls héritiers . On livre le document . Un mois mois plus tard , on reprend des nouvelles , le sous dirlo ne trouve rien et nous dit son impossibilité à retrouver des messages mails envoyés à son patron absent depuis plusieurs semaines . Visiblement , sans le patron la boite boite. Enfin ,on apprend en novembre que notre dossier est dans les mains de la CNP depuis le mois de JUIN  .Personne ne nous l'avait dit . En décembre , je reçois un papier à remplir par les 4 enfants et les impots . J'en parle à ma conseillere CE , je recois peu apres un 2 formulaire identique à remplir. Enfin en fevrier les impots renvoient le formulaire , tous les documents sont regroupés et envoyés en recommandés avec accusé reception . le 10 Mars je reçois pour la 3eme fois le formulaire à remplir . Visiblement ils ne savent pas qu'ils ont déjà les documents chez eux . mes 3 freres et soeurs  ont fermé  chacun leurs comptes à la caisse d'épargne , ma conseillere CE sait que dès que l'assu Vie de mon pere arrive , je ferme mes comptes aussi .Un an est passé , l'assu vie n'est toujours pas versée . La CNP peut aller se faire voir . </t>
  </si>
  <si>
    <t>15/03/2018</t>
  </si>
  <si>
    <t>david-i-135358</t>
  </si>
  <si>
    <t xml:space="preserve">satisfait du tarif..j espère ne pas me tromper sur les services 
on verra bien .d autres contrats pourraient s y rajouter si tout va bien .a bon e.tendeur 
</t>
  </si>
  <si>
    <t>de-azevedo-t-107303</t>
  </si>
  <si>
    <t>Le prix me convient, et est le moins cher trouvable sur le marché. Plus qu'à résilier mon contrat à la date d'échéance chez pour passer chez l'olivier!</t>
  </si>
  <si>
    <t>jbb2507-124418</t>
  </si>
  <si>
    <t>Si nous n avez besoin de rien  alors vous pouvez les contacter....
Condescendance et mépris sont au rendez-vous avec certains de leurs prétendus  conseillers ( à ne pas prendre au sens littéral du mot)
A éviter.......</t>
  </si>
  <si>
    <t>LCL</t>
  </si>
  <si>
    <t>emmanuel-d-102804</t>
  </si>
  <si>
    <t xml:space="preserve">Bon service, réactivité et prix vraiment intéressant par rapport à la banque
Personne agréable et précise
Bonne découverte, du coup je ferai appelle à eux par la suite
</t>
  </si>
  <si>
    <t>dany-s-114447</t>
  </si>
  <si>
    <t>SATISFAIT   
CORRESPOND A MES ATTENTES 
BON RAPPORT QUALITE PRIX POUR LOGEMENT DESTINE A LA LOCATION
150 CARACTERES BEAUCOUP TROP LONG POUR CET AVIS ..</t>
  </si>
  <si>
    <t>nenene-57904</t>
  </si>
  <si>
    <t>Ne tient pas ses promesses,ou plutôt me tient plus ses promesses concernant les remboursements que j'attends pour continuer à faire soigner ma petite chienne. Sans ça je ne peux pas .</t>
  </si>
  <si>
    <t>09/10/2017</t>
  </si>
  <si>
    <t>k0t3i-103168</t>
  </si>
  <si>
    <t>Opérateur gentil, à l'écoute, compétente.
Elle a su répondre rapidement à mes demandes.
Résumé : tres satisfait, seul petit souci : le délai d'attente était estimé à 1min et j'ai attendu plus que ça.</t>
  </si>
  <si>
    <t>25/01/2021</t>
  </si>
  <si>
    <t>hasel-66572</t>
  </si>
  <si>
    <t xml:space="preserve">Assurance à bannir, je me suis fait volé mon véhicule fin juin nous sommes début septembre toujours pas indemniser l'expert mandater par l'assurance à évaluer mon véhicule plus bas que le marché, je demande une contre expertise l'assurance macif donne le dossier à l'expert conseil et depuis toujours rien j'ai toutes mes assurances habitation scolaire auto et Cie chez macif je vais résilier, dans l'histoire j'ai l'impression que c'est moi le coupable alors que je suis la victime, j'ai jamais voulu qu'on me vole ma voiture et surtout avant les vacances..... </t>
  </si>
  <si>
    <t>04/09/2018</t>
  </si>
  <si>
    <t>mendonca-p-117880</t>
  </si>
  <si>
    <t>Très bien dans l'ensemble.
Et merci de ne pas me forcer à écrire davantage car cela devient déplacé et par conséquent la prochaine fois je n'écris rien.</t>
  </si>
  <si>
    <t>viper57-62803</t>
  </si>
  <si>
    <t>Etant assuré pour plusieurs véhicules et ce depuis plusieures années chez Allianz, je pensais être bien assuré. Quand il n'y a rien de spécial, tout va bien mais cela est vrai chez tous les assureurs. Mais lorsqu'il arrive un sinistre, alors là rien ne va plus. Etant assuré en tous risques pour un de mes véhicule, celui-ci m'a été volé : réponse de l'assurance "ah mais cela n'est pas assuré !!!!!!!"</t>
  </si>
  <si>
    <t>sublon-t-130452</t>
  </si>
  <si>
    <t>Je suis satisfait de l'assurance qui m'a été proposé (au niveau tarif et garantie)
Je suis satisfait du professionnel qui a traité ma demande par téléphone</t>
  </si>
  <si>
    <t>alexandra-h-125702</t>
  </si>
  <si>
    <t xml:space="preserve">Très simple et rapide. J’ai pu assurer mon véhicule de chez moi sans contraintes horaires en quelques minutes. Les tarifs sont raisonnables et les garanties également. </t>
  </si>
  <si>
    <t>clermont-e-130363</t>
  </si>
  <si>
    <t xml:space="preserve">Très satisfaisant, rapide et facile à valider je recommande et niveau prix très attractif
Rappel rapidement et très poli
Signature électronique et sans difficulté </t>
  </si>
  <si>
    <t>richard-c-131606</t>
  </si>
  <si>
    <t>Je suis satisfait de votre service simple et pratique merci de m’avoir assuré ma voiture cela me convient je compte rester chez vous merci mes salutations distinguées</t>
  </si>
  <si>
    <t>zezette-70801</t>
  </si>
  <si>
    <t xml:space="preserve">ils savent prendre l argent mais quand il s agit de rembourser c est plus la meme  1mois que l on attend la prise en charge pour des lunettes meme l opticien qui a notre dossier se fait balader 
une mise en demeure va partir et le dossier ira chez notre avocat si ils ne font rien </t>
  </si>
  <si>
    <t>31/01/2019</t>
  </si>
  <si>
    <t>blanblan-60975</t>
  </si>
  <si>
    <t xml:space="preserve">Bonjour à tous adhérents FLOUES par la CARDIF
Je rejoins avec tristesse votre liste scandaleusement longue et non close.
Je suis atteint de pathologies multiples invalidantes qui prises une a une suffisent a me radier définitivement du monde de l'emploi.
A 59 ans donc j'ai perdu santé,famille,mobilité,travail et me retrouve aujourd'hui avec les capacités physiques d'un vieillard .
Etat acté par un ensemble de medecins 
 et spécialistes....Ainsi que par le médecin expert de la CPAM qui m'a placé en INVALIDITÉ catégorie 2.
Quelques temps après la mise en place des garanties....je suis convoqué par 2 courriers autoritaires simultanés
Celui de la CARDIF  et celui du médecin (EXPERT DE LA CARDIF PAYE PAR LA CARDIF )
Et la c'est le miracle
en 5 minutes d'une auscultation bâclée.....sans connaitre rien de mes antécédent.....,foulant au pied des années de souffrance personnelle  ainsi que  les dossiers de ses confrères qu'il ne daigne même pas consulter, IL me déclare en tres bonne santé santé......puisque le lendemain.....
.....admirez l'efficacité!!!! je reçois un courrier de la CARDIF mettant fin a mes droits  acquis au titre de mon invalidité.
je ne demande rien d'autre que la mise en place des garanties  DIAT pour lesquelles j'ai cotisé pendant plus de 18 ans!
ADHÉRENTS...VOUS DEVENEZ BON A  ETRE JETÉS AU COMPOST UNE FOIS MALADES
FAITES LE SAVOIR PARTOUT
CES PRATIQUES SONT INHUMAINES 
IL Y A SUFFISAMMENT DE CAS REFERENCES
IL EST FACILE DE CONSTATER QU'IL S'AGIT D'UNE VOLONTE DELIBEREE DE NE PAS PAYER LES INDEMNITÉS DUES AUX PERSONNES EN INVALIDITÉ CAT 2 AJOUTANT DE LA MISÈRE A LA MISÈRE
bien sur la CARDIF continue a me prélever chaque mois pour des garanties qu'elle refuse d'apporter
tout le monde est content ...la CARDIF prélève et ne garantit pas
et le medecin en carton,vendu,peut penser au prochain bateau qu'il va s'offrir
LA VIE N'EST PAS BELLE??
et moi je suis en instance de tomber dans la précarité
JE SUIS BIEN ENTENDU  PRÊT A DEFENDRE MES DROITS ET CEUX DES AUTRES PERSONNES DANS LE MEME CAS....  A ENGAGER TOUTE ACTION COLLECTIVE JUDICIAIRE OU INFORMATIVE AUPRES DES ORGANISMES DE CONSOMMATEURS ET DE LA PRESSE.
</t>
  </si>
  <si>
    <t>05/02/2018</t>
  </si>
  <si>
    <t>vali-59544</t>
  </si>
  <si>
    <t>Très mauvaise compagnie d'assurance. Ne souscrivez surtout pas chez eux..a part encaisser les cotisations, rien. Assureur à éviter absolument ! Assurance irrespectueuse de ses bons clients. Je déconseille fortement cette assurance . Je n ai jamais vu ça.</t>
  </si>
  <si>
    <t>10/12/2017</t>
  </si>
  <si>
    <t>cosnard-m-126440</t>
  </si>
  <si>
    <t>Assurance la moins chère que j’ai trouvée en tant que jeune conducteur, le site est fonctionnel simple intuitif et pratique. Pas piqué des hannetons .</t>
  </si>
  <si>
    <t>sab-110131</t>
  </si>
  <si>
    <t xml:space="preserve">Très mauvaise mutuelle impossible de les joindre je dois encore tenir 6 mois avant de changer j'ai hâte! ne rembourse quasiment rien même ce qui devrait être automatique.
Ne jamais souscrire! </t>
  </si>
  <si>
    <t>zam-61850</t>
  </si>
  <si>
    <t>A éviter sans remords.</t>
  </si>
  <si>
    <t>thierry-k-110379</t>
  </si>
  <si>
    <t>on m'a accordé une remise ,donc le prix me semble juste et adapté a ma situation,contrairement aux autres assurance qui ne savent pas faire de geste commercial quand cela doit se faire.</t>
  </si>
  <si>
    <t>14/04/2021</t>
  </si>
  <si>
    <t>gabrielle37-58413</t>
  </si>
  <si>
    <t>Chers collègues enseignants, SURTOUT NE CHOISISSEZ PAS LA MGEN pour votre complémentaire santé et prévoyance !!! 
Pour la partie sécurité sociale vous n'avez pas le choix : c'est MGEN - sauf si vous habitez Paris ou le département du Rhône : là vous pouvez adhérer à la MAGE, centre de sécurité sociale + complémentaire santé de l'enseignement public tout à fait honnête et satisfaisant.
La complémentaire santé MGEN :
. ne prend pas en charge les dépassements d'honoraire des médecins spécialistes et les patients n'ont pas toujours le choix, 
. ne rembourse pas les lunettes sauf si vous allez chez leurs opticiens partenaires - c'est à dire des opticiens avec qui la MGEN a conclu quelques petits arrangements ...
Par ailleurs vos cotisations complémentaire santé et prévoyance sont basées sur l'ensemble de vos revenus, y compris si vous avez un revenu hors E.N. Mais si vous tombez malade et que votre arrêt de travail dépasse les 3 mois, la prévoyance MGEN ne complétera que vos revenus E.N. alors que vous avez cotisé aussi en fonction de vos revenus hors E.N.
Bref : restez à la MGEN pour la partie sécu, mais pour la complémentaire : partez vite !!! Demandez des devis à d'autres mutuelles, moins connues mais moins chères et plus honnêtes ! (ex. Adréa ...)</t>
  </si>
  <si>
    <t>27/10/2017</t>
  </si>
  <si>
    <t>veronica-m-121142</t>
  </si>
  <si>
    <t>Les prix sont vraiment excellents et la facilité pour avoir un devis et un contrat vraiment rapide. Nous avons eu une infraction chez nous en janvier, juste après notre déménagement et nous avouons que ça a été un peu galère pour se faire réparer la porte. Nous n'y sommes pour rien et ça a été très compliqué.</t>
  </si>
  <si>
    <t>25/06/2021</t>
  </si>
  <si>
    <t>victorus-95714</t>
  </si>
  <si>
    <t xml:space="preserve">Laisser tomber, 
Amv c’est une coquille vide . Les avoir au téléphone est impossible. Les mails qui leurs sont envoyés ne sont traités que 72 heures après et lorsque ils sont traités ?!!! Ce n’est pas toujours le cas . Ils encaissent les chèques mais oublient d’envoyé la carte verte aux assurés. Je n’ ai pas de carte verte à jour depuis maintenant 9 jours et je continue de leur demander des explications. Ils me répondent que c’est la faute de la poste ( cela me fait rire ??) . La poste m’a assuré qu’un courrier depuis Bordeaux c’est 3 jours Max !!! Mon chèque a été envoyé il y a plus de 3 semaines.  Je vous laisse seul juge. </t>
  </si>
  <si>
    <t>30/07/2020</t>
  </si>
  <si>
    <t>alexis-107774</t>
  </si>
  <si>
    <t>le service client est tres compétent. Les conseillés prennent le temps devant eux pour s'adapter et donner les informations. 
j'etais content de trouver l'olivier quand j'etais malusé et pendant ces 2 ans, mais cependant les prix sont beaucoup trop élevé  cet année  pour mon malus/bonus qui est revenu a 1. 1250 euro  au tiers comparé a 900 euro pour beaucoup d'assurance , d'ou mon depart. 
Je recommande cependant l'olivier pour sa qualité dans la communication en lien avec le service client.</t>
  </si>
  <si>
    <t>pabau-100424</t>
  </si>
  <si>
    <t>augmentation d'environ 50% sur deux contrats la deuxieme annee. inadmissible
assuré vol et incendie, seulement il faut rentrer dans les détails car l'incendie n'est pas pris en charge si il y a eu vandalisme. inadmissible également.</t>
  </si>
  <si>
    <t>21/11/2020</t>
  </si>
  <si>
    <t>falmento-107069</t>
  </si>
  <si>
    <t>c'est la 1e fois que je contacte Neoliane ,mon interlocutrice Aya a été très aimable, très réceptive et a répondu à mes questions ...pour l'instant rien de négatif</t>
  </si>
  <si>
    <t>hami--121481</t>
  </si>
  <si>
    <t xml:space="preserve">Je viens de souscrire une assurance auto chez eurofil BY AVIVA, j'ai eu des réponses précises et claires sur les garanties souscrites. Et la souscription était plus simple et rapide. Et les vérifications des documents sont faites le jour même. Je recommande cette compagnie à mes proches et Amis. </t>
  </si>
  <si>
    <t>najia-75579</t>
  </si>
  <si>
    <t>Merci Erika pour cet échange et votre compréhension, à bientôt pour de nouvelles aventures.</t>
  </si>
  <si>
    <t>03/05/2019</t>
  </si>
  <si>
    <t>djoik-57339</t>
  </si>
  <si>
    <t xml:space="preserve">Au secours ! 
J'y suis depuis Mars 2017 par obligation et non par choix au final j'ai pris l'option maximum pour être mieux remboursé et c'est pire ! c'est comme si je payais tous mes frais santé moi même. J'attends qu'une chose c'est d'y partir ! Fuyez ! </t>
  </si>
  <si>
    <t>14/09/2017</t>
  </si>
  <si>
    <t>clara-m-133213</t>
  </si>
  <si>
    <t xml:space="preserve">Le devis et la souscription sont claires et rapides. Tarif très accessible, un tarif étudiant serait un plus, il n'y a pas de petites économies. Mais le coût de l'assurance sont quand même très avantageux. </t>
  </si>
  <si>
    <t>emma-d-114173</t>
  </si>
  <si>
    <t>je suis satisfaite du niveau de garantie. Jeune conductrice, je bénéficie de 20% de réduction sur mon contrat par le parrainage de mon père. Bonne relation client.</t>
  </si>
  <si>
    <t>thibault56-72244</t>
  </si>
  <si>
    <t xml:space="preserve">Fuyez cette assurance !! Ils agissent complètement à l'opposé de l'image qu'ils communiquent dans leurs publicités. Nous avons été victime d'un incendie de notre maison en juin 2018 et nous avons reçu la réponse la semaine dernière comme quoi la matmut refusait de nous indemniser. Leur argumentaire repose sur le fait que l'on connaissait la dangerosité des produits que l'on utilisait et que nous avons été négligent. La matmut n'a jamais voulu nous communiquer les résultats des 3 expertises qu'il y a eu sur site malgré nos nombreuses demandes par courrier RAR. Ma compagne était enceinte au moment de l'incendie aujourd'hui notre fille est âgée de 2 mois. La matmut nous fait vivre un calvaire juridique depuis maintenant 9 mois, c'est insupportable. Cette compagnie essaye de faire craquer les gens en leur faisant perdre du temps et de l'argent, une HONTE !!! </t>
  </si>
  <si>
    <t>18/03/2019</t>
  </si>
  <si>
    <t>dmarchand380-53587</t>
  </si>
  <si>
    <t>La personne chargée de mon dossier à une gentillesse, un professionnalisme et un dévouement tel, que je reste chez AXA car je ne veux pas la décevoir.</t>
  </si>
  <si>
    <t>26/03/2017</t>
  </si>
  <si>
    <t>sandra-81853</t>
  </si>
  <si>
    <t>Le 10/12/2019,j'ai demandé un devis assurance auto .Le 12/12/2019 à 15h15 , suite aux différents mails de relance journalier de l'assureur ( le dernier 14h44 ), j'ai contacté le service client le même jour à 15h15, afin de finaliser ma demande. Le tarif a changé dans la demi heure qui suit .Toutes les propositions journalières ont été bloquées ( message AOUPS UNE ERREUR S'EST PRODUITE), puis réactualisées au nouveau tarif .A FUIR !!!!</t>
  </si>
  <si>
    <t>13/12/2019</t>
  </si>
  <si>
    <t>auger-m-131370</t>
  </si>
  <si>
    <t>Simple, efficace. Pour l'instant aucun problème à signaler, je vais poursuivre la suite logique de mon contrat. Tarif attractif sur le marché, pour l'instant ok pour moi.</t>
  </si>
  <si>
    <t>benjamin-j-137089</t>
  </si>
  <si>
    <t xml:space="preserve">Trop chère peut mieux faire même pour les véhicule non assuré depuis plus de trois mois ainsi que pour les conducteurs ayant un malus/bonus supérieur à un </t>
  </si>
  <si>
    <t>12/10/2021</t>
  </si>
  <si>
    <t>ninie-67438</t>
  </si>
  <si>
    <t>très a l'écoute et une personne charmante au téléphone et  pratique le rappel automatique .</t>
  </si>
  <si>
    <t>08/10/2018</t>
  </si>
  <si>
    <t>jean-francois-l-121995</t>
  </si>
  <si>
    <t>D'une maniére générale . je recommande la G M F si le souscripteur remplit les conditions d'adhésion .Ce qui prouve mon satisfecit en matiére d'assurance</t>
  </si>
  <si>
    <t>sam-101981</t>
  </si>
  <si>
    <t xml:space="preserve">Rien à dire .. C’est scandaleux ! Fuyez cette assurance. Ils sont désagréables  au plus haut point, ils sont méprisants et méprisables. Je résilie et je suis bien contente. </t>
  </si>
  <si>
    <t>29/12/2020</t>
  </si>
  <si>
    <t>mohammed-53849</t>
  </si>
  <si>
    <t>Catastrophique</t>
  </si>
  <si>
    <t>alain-54658</t>
  </si>
  <si>
    <t>Suite à un sinistre dégât des eaux le 3 octobre 2021, déclaré le lendemain, le dossier n'est toujours pas traité plus d'un mois après. Mes relances téléphoniques et par mail n'ont pas permis de débloquer la situation. Les réparations ne peuvent toujours pas avoir lieu. Pourtant, j'assure 3 logements, 3 véhicules, et dispose d'un autre contrat. Peut être faut-il changer d'assureur .....</t>
  </si>
  <si>
    <t>05/11/2021</t>
  </si>
  <si>
    <t>philippe-p-115293</t>
  </si>
  <si>
    <t>Absolument Satisfait de mon interlocutrice et les renseignements fournis me  permettent d'assurer sereinement 2 Véhicules dans un même échange.  Je recommande .</t>
  </si>
  <si>
    <t>n'goma-o-112658</t>
  </si>
  <si>
    <t>Je suis satisfait du service d'assurance qui m'est proposé par l'Olivier Assurance. La souscription en ligne a été des plus simples. Les conseillers ont été réactifs et précis dans leurs réponses à mes questions.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</si>
</sst>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A1" s="1" t="s">
        <v>0</v>
      </c>
      <c r="B1" s="1" t="s">
        <v>1</v>
      </c>
      <c r="C1" s="1" t="s">
        <v>2</v>
      </c>
      <c r="D1" s="1" t="s">
        <v>3</v>
      </c>
      <c r="E1" s="1" t="s">
        <v>4</v>
      </c>
      <c r="F1" s="1" t="s">
        <v>5</v>
      </c>
      <c r="G1" s="1" t="s">
        <v>6</v>
      </c>
      <c r="H1" s="1" t="s">
        <v>7</v>
      </c>
      <c r="I1" s="1" t="s">
        <v>8</v>
      </c>
      <c r="J1" s="1" t="s">
        <v>9</v>
      </c>
      <c r="K1" s="1" t="s">
        <v>10</v>
      </c>
    </row>
    <row r="2">
      <c r="A2" s="2">
        <v>4.0</v>
      </c>
      <c r="B2" s="2" t="s">
        <v>11</v>
      </c>
      <c r="C2" s="2" t="s">
        <v>12</v>
      </c>
      <c r="D2" s="2" t="s">
        <v>13</v>
      </c>
      <c r="E2" s="2" t="s">
        <v>14</v>
      </c>
      <c r="F2" s="2" t="s">
        <v>15</v>
      </c>
      <c r="G2" s="2" t="s">
        <v>16</v>
      </c>
      <c r="H2" s="2" t="s">
        <v>17</v>
      </c>
      <c r="I2" s="2" t="str">
        <f>IFERROR(__xludf.DUMMYFUNCTION("GOOGLETRANSLATE(C2,""fr"",""en"")"),"I am generally satisfied with your services except for the monthly direct debit where I have redone the process several times and it still does not work")</f>
        <v>I am generally satisfied with your services except for the monthly direct debit where I have redone the process several times and it still does not work</v>
      </c>
    </row>
    <row r="3">
      <c r="A3" s="2">
        <v>3.0</v>
      </c>
      <c r="B3" s="2" t="s">
        <v>18</v>
      </c>
      <c r="C3" s="2" t="s">
        <v>19</v>
      </c>
      <c r="D3" s="2" t="s">
        <v>20</v>
      </c>
      <c r="E3" s="2" t="s">
        <v>21</v>
      </c>
      <c r="F3" s="2" t="s">
        <v>15</v>
      </c>
      <c r="G3" s="2" t="s">
        <v>22</v>
      </c>
      <c r="H3" s="2" t="s">
        <v>23</v>
      </c>
      <c r="I3" s="2" t="str">
        <f>IFERROR(__xludf.DUMMYFUNCTION("GOOGLETRANSLATE(C3,""fr"",""en"")"),"A little expensive compared to dental, optical and audio reimbursements.
But responsive.
It was still faster before without healthclair and almerys")</f>
        <v>A little expensive compared to dental, optical and audio reimbursements.
But responsive.
It was still faster before without healthclair and almerys</v>
      </c>
    </row>
    <row r="4">
      <c r="A4" s="2">
        <v>3.0</v>
      </c>
      <c r="B4" s="2" t="s">
        <v>24</v>
      </c>
      <c r="C4" s="2" t="s">
        <v>25</v>
      </c>
      <c r="D4" s="2" t="s">
        <v>26</v>
      </c>
      <c r="E4" s="2" t="s">
        <v>21</v>
      </c>
      <c r="F4" s="2" t="s">
        <v>15</v>
      </c>
      <c r="G4" s="2" t="s">
        <v>27</v>
      </c>
      <c r="H4" s="2" t="s">
        <v>28</v>
      </c>
      <c r="I4" s="2" t="str">
        <f>IFERROR(__xludf.DUMMYFUNCTION("GOOGLETRANSLATE(C4,""fr"",""en"")"),"Being a new member I have not yet been able to assess the operation of this mutual insurance company with regard to care and reimbursements. However, I can testify that it is rather easy to get back into communication with a customer officer which is a go"&amp;"od point. I was able to chat with Gwendal who was very attentive and who was able to quickly find a solution to my problem. I really appreciated his professionalism and his kindness.")</f>
        <v>Being a new member I have not yet been able to assess the operation of this mutual insurance company with regard to care and reimbursements. However, I can testify that it is rather easy to get back into communication with a customer officer which is a good point. I was able to chat with Gwendal who was very attentive and who was able to quickly find a solution to my problem. I really appreciated his professionalism and his kindness.</v>
      </c>
    </row>
    <row r="5">
      <c r="A5" s="2">
        <v>4.0</v>
      </c>
      <c r="B5" s="2" t="s">
        <v>29</v>
      </c>
      <c r="C5" s="2" t="s">
        <v>30</v>
      </c>
      <c r="D5" s="2" t="s">
        <v>31</v>
      </c>
      <c r="E5" s="2" t="s">
        <v>14</v>
      </c>
      <c r="F5" s="2" t="s">
        <v>15</v>
      </c>
      <c r="G5" s="2" t="s">
        <v>32</v>
      </c>
      <c r="H5" s="2" t="s">
        <v>33</v>
      </c>
      <c r="I5" s="2" t="str">
        <f>IFERROR(__xludf.DUMMYFUNCTION("GOOGLETRANSLATE(C5,""fr"",""en"")"),"Simple practical very good communication, efficient efficient staff fast. Correct price The staff have a good ability to explain.
I recommend.")</f>
        <v>Simple practical very good communication, efficient efficient staff fast. Correct price The staff have a good ability to explain.
I recommend.</v>
      </c>
    </row>
    <row r="6">
      <c r="A6" s="2">
        <v>1.0</v>
      </c>
      <c r="B6" s="2" t="s">
        <v>34</v>
      </c>
      <c r="C6" s="2" t="s">
        <v>35</v>
      </c>
      <c r="D6" s="2" t="s">
        <v>36</v>
      </c>
      <c r="E6" s="2" t="s">
        <v>37</v>
      </c>
      <c r="F6" s="2" t="s">
        <v>15</v>
      </c>
      <c r="G6" s="2" t="s">
        <v>38</v>
      </c>
      <c r="H6" s="2" t="s">
        <v>39</v>
      </c>
      <c r="I6" s="2" t="str">
        <f>IFERROR(__xludf.DUMMYFUNCTION("GOOGLETRANSLATE(C6,""fr"",""en"")"),"Playing on the incompetence of people, on the costs of health and the prices of the veterinarians of their animal, they sell you dreams, to participate at any expense !!!!!!")</f>
        <v>Playing on the incompetence of people, on the costs of health and the prices of the veterinarians of their animal, they sell you dreams, to participate at any expense !!!!!!</v>
      </c>
    </row>
    <row r="7">
      <c r="A7" s="2">
        <v>1.0</v>
      </c>
      <c r="B7" s="2" t="s">
        <v>40</v>
      </c>
      <c r="C7" s="2" t="s">
        <v>41</v>
      </c>
      <c r="D7" s="2" t="s">
        <v>13</v>
      </c>
      <c r="E7" s="2" t="s">
        <v>14</v>
      </c>
      <c r="F7" s="2" t="s">
        <v>15</v>
      </c>
      <c r="G7" s="2" t="s">
        <v>42</v>
      </c>
      <c r="H7" s="2" t="s">
        <v>17</v>
      </c>
      <c r="I7" s="2" t="str">
        <f>IFERROR(__xludf.DUMMYFUNCTION("GOOGLETRANSLATE(C7,""fr"",""en"")"),"I am very unhappy, I discover samples from my 18 € account for which I have no current contract !!!
I await an immediate refund of these sums !!!")</f>
        <v>I am very unhappy, I discover samples from my 18 € account for which I have no current contract !!!
I await an immediate refund of these sums !!!</v>
      </c>
    </row>
    <row r="8">
      <c r="A8" s="2">
        <v>5.0</v>
      </c>
      <c r="B8" s="2" t="s">
        <v>43</v>
      </c>
      <c r="C8" s="2" t="s">
        <v>44</v>
      </c>
      <c r="D8" s="2" t="s">
        <v>31</v>
      </c>
      <c r="E8" s="2" t="s">
        <v>14</v>
      </c>
      <c r="F8" s="2" t="s">
        <v>15</v>
      </c>
      <c r="G8" s="2" t="s">
        <v>45</v>
      </c>
      <c r="H8" s="2" t="s">
        <v>46</v>
      </c>
      <c r="I8" s="2" t="str">
        <f>IFERROR(__xludf.DUMMYFUNCTION("GOOGLETRANSLATE(C8,""fr"",""en"")"),"I am satisfied with the price of the insurance and the efficiency of the Olivier Insurance. Sincerely, Miss Moret Jessyka. Have a lovely day everybody ..........")</f>
        <v>I am satisfied with the price of the insurance and the efficiency of the Olivier Insurance. Sincerely, Miss Moret Jessyka. Have a lovely day everybody ..........</v>
      </c>
    </row>
    <row r="9">
      <c r="A9" s="2">
        <v>5.0</v>
      </c>
      <c r="B9" s="2" t="s">
        <v>47</v>
      </c>
      <c r="C9" s="2" t="s">
        <v>48</v>
      </c>
      <c r="D9" s="2" t="s">
        <v>13</v>
      </c>
      <c r="E9" s="2" t="s">
        <v>14</v>
      </c>
      <c r="F9" s="2" t="s">
        <v>15</v>
      </c>
      <c r="G9" s="2" t="s">
        <v>49</v>
      </c>
      <c r="H9" s="2" t="s">
        <v>50</v>
      </c>
      <c r="I9" s="2" t="str">
        <f>IFERROR(__xludf.DUMMYFUNCTION("GOOGLETRANSLATE(C9,""fr"",""en"")"),"I am satisfied with the service. Correct price. Speed. Everything is fine. Thank you Direct Assurance. I highly recommend it to everyone !!!!!!!!")</f>
        <v>I am satisfied with the service. Correct price. Speed. Everything is fine. Thank you Direct Assurance. I highly recommend it to everyone !!!!!!!!</v>
      </c>
    </row>
    <row r="10">
      <c r="A10" s="2">
        <v>3.0</v>
      </c>
      <c r="B10" s="2" t="s">
        <v>51</v>
      </c>
      <c r="C10" s="2" t="s">
        <v>52</v>
      </c>
      <c r="D10" s="2" t="s">
        <v>31</v>
      </c>
      <c r="E10" s="2" t="s">
        <v>14</v>
      </c>
      <c r="F10" s="2" t="s">
        <v>15</v>
      </c>
      <c r="G10" s="2" t="s">
        <v>53</v>
      </c>
      <c r="H10" s="2" t="s">
        <v>54</v>
      </c>
      <c r="I10" s="2" t="str">
        <f>IFERROR(__xludf.DUMMYFUNCTION("GOOGLETRANSLATE(C10,""fr"",""en"")"),"During my disaster they completely left me on the side of the road with my daughter, it was a real disaster I asked to be assured for accidents with game I assured me that yes yes I was there and the day I have Tapped strangely I am not covered. I really "&amp;"do not recommend this insurance. Being good they are great but I hope you will not happen to you")</f>
        <v>During my disaster they completely left me on the side of the road with my daughter, it was a real disaster I asked to be assured for accidents with game I assured me that yes yes I was there and the day I have Tapped strangely I am not covered. I really do not recommend this insurance. Being good they are great but I hope you will not happen to you</v>
      </c>
    </row>
    <row r="11">
      <c r="A11" s="2">
        <v>5.0</v>
      </c>
      <c r="B11" s="2" t="s">
        <v>55</v>
      </c>
      <c r="C11" s="2" t="s">
        <v>56</v>
      </c>
      <c r="D11" s="2" t="s">
        <v>57</v>
      </c>
      <c r="E11" s="2" t="s">
        <v>58</v>
      </c>
      <c r="F11" s="2" t="s">
        <v>15</v>
      </c>
      <c r="G11" s="2" t="s">
        <v>59</v>
      </c>
      <c r="H11" s="2" t="s">
        <v>60</v>
      </c>
      <c r="I11" s="2" t="str">
        <f>IFERROR(__xludf.DUMMYFUNCTION("GOOGLETRANSLATE(C11,""fr"",""en"")"),"practical recording
clear information with all online details
I asked to be recalled for information what was done in less than 3 minutes
Excellent telephone reception")</f>
        <v>practical recording
clear information with all online details
I asked to be recalled for information what was done in less than 3 minutes
Excellent telephone reception</v>
      </c>
    </row>
    <row r="12">
      <c r="A12" s="2">
        <v>4.0</v>
      </c>
      <c r="B12" s="2" t="s">
        <v>61</v>
      </c>
      <c r="C12" s="2" t="s">
        <v>62</v>
      </c>
      <c r="D12" s="2" t="s">
        <v>31</v>
      </c>
      <c r="E12" s="2" t="s">
        <v>14</v>
      </c>
      <c r="F12" s="2" t="s">
        <v>15</v>
      </c>
      <c r="G12" s="2" t="s">
        <v>63</v>
      </c>
      <c r="H12" s="2" t="s">
        <v>50</v>
      </c>
      <c r="I12" s="2" t="str">
        <f>IFERROR(__xludf.DUMMYFUNCTION("GOOGLETRANSLATE(C12,""fr"",""en"")"),"one of the best prices on the market; See if all will go as well during an accident.
For the moment happy to have taken out my first car insurance at home.")</f>
        <v>one of the best prices on the market; See if all will go as well during an accident.
For the moment happy to have taken out my first car insurance at home.</v>
      </c>
    </row>
    <row r="13">
      <c r="A13" s="2">
        <v>4.0</v>
      </c>
      <c r="B13" s="2" t="s">
        <v>64</v>
      </c>
      <c r="C13" s="2" t="s">
        <v>65</v>
      </c>
      <c r="D13" s="2" t="s">
        <v>13</v>
      </c>
      <c r="E13" s="2" t="s">
        <v>14</v>
      </c>
      <c r="F13" s="2" t="s">
        <v>15</v>
      </c>
      <c r="G13" s="2" t="s">
        <v>66</v>
      </c>
      <c r="H13" s="2" t="s">
        <v>50</v>
      </c>
      <c r="I13" s="2" t="str">
        <f>IFERROR(__xludf.DUMMYFUNCTION("GOOGLETRANSLATE(C13,""fr"",""en"")"),"I am satisfied with membership, I will see the use if one day I had to use the Direct Insurance services. Quick recording on the site.")</f>
        <v>I am satisfied with membership, I will see the use if one day I had to use the Direct Insurance services. Quick recording on the site.</v>
      </c>
    </row>
    <row r="14">
      <c r="A14" s="2">
        <v>2.0</v>
      </c>
      <c r="B14" s="2" t="s">
        <v>67</v>
      </c>
      <c r="C14" s="2" t="s">
        <v>68</v>
      </c>
      <c r="D14" s="2" t="s">
        <v>69</v>
      </c>
      <c r="E14" s="2" t="s">
        <v>37</v>
      </c>
      <c r="F14" s="2" t="s">
        <v>15</v>
      </c>
      <c r="G14" s="2" t="s">
        <v>70</v>
      </c>
      <c r="H14" s="2" t="s">
        <v>71</v>
      </c>
      <c r="I14" s="2" t="str">
        <f>IFERROR(__xludf.DUMMYFUNCTION("GOOGLETRANSLATE(C14,""fr"",""en"")"),"No answer when you send a refund request by email. You have to intervene by phone after more than 1 month.")</f>
        <v>No answer when you send a refund request by email. You have to intervene by phone after more than 1 month.</v>
      </c>
    </row>
    <row r="15">
      <c r="A15" s="2">
        <v>1.0</v>
      </c>
      <c r="B15" s="2" t="s">
        <v>72</v>
      </c>
      <c r="C15" s="2" t="s">
        <v>73</v>
      </c>
      <c r="D15" s="2" t="s">
        <v>74</v>
      </c>
      <c r="E15" s="2" t="s">
        <v>58</v>
      </c>
      <c r="F15" s="2" t="s">
        <v>15</v>
      </c>
      <c r="G15" s="2" t="s">
        <v>75</v>
      </c>
      <c r="H15" s="2" t="s">
        <v>76</v>
      </c>
      <c r="I15" s="2" t="str">
        <f>IFERROR(__xludf.DUMMYFUNCTION("GOOGLETRANSLATE(C15,""fr"",""en"")"),"Thank you for this inexpensive insurance and quickly made on the internet I am happy to do this site which helps young people I think to advise this insurance to other people")</f>
        <v>Thank you for this inexpensive insurance and quickly made on the internet I am happy to do this site which helps young people I think to advise this insurance to other people</v>
      </c>
    </row>
    <row r="16">
      <c r="A16" s="2">
        <v>5.0</v>
      </c>
      <c r="B16" s="2" t="s">
        <v>77</v>
      </c>
      <c r="C16" s="2" t="s">
        <v>78</v>
      </c>
      <c r="D16" s="2" t="s">
        <v>79</v>
      </c>
      <c r="E16" s="2" t="s">
        <v>21</v>
      </c>
      <c r="F16" s="2" t="s">
        <v>15</v>
      </c>
      <c r="G16" s="2" t="s">
        <v>80</v>
      </c>
      <c r="H16" s="2" t="s">
        <v>81</v>
      </c>
      <c r="I16" s="2" t="str">
        <f>IFERROR(__xludf.DUMMYFUNCTION("GOOGLETRANSLATE(C16,""fr"",""en"")"),"I am assured at Generation through my business, for the entire family, which has 2 adults and 2 children.
Previously insured at the MGEN, I am today much better covered by generation.
The prices, negotiated, are very competitive, which allows us to bene"&amp;"fit from a high level of coverage.
Refunds are made quickly, thanks to the remote transmission implemented, and the notifications are effective.
The website and the mobile application are ergonomic, I am also satisfied.
It is possible to contact a tele"&amp;"phone advisor if necessary; It is a service that unfortunately very often becomes rare, so you might as well emphasize it!
In the event of a questioning concerning a refund, the possibility of photographing a quote to have a refund simulation is very pra"&amp;"ctical.
In general, I am therefore perfectly satisfied with quality and highly recommend generation! :))
")</f>
        <v>I am assured at Generation through my business, for the entire family, which has 2 adults and 2 children.
Previously insured at the MGEN, I am today much better covered by generation.
The prices, negotiated, are very competitive, which allows us to benefit from a high level of coverage.
Refunds are made quickly, thanks to the remote transmission implemented, and the notifications are effective.
The website and the mobile application are ergonomic, I am also satisfied.
It is possible to contact a telephone advisor if necessary; It is a service that unfortunately very often becomes rare, so you might as well emphasize it!
In the event of a questioning concerning a refund, the possibility of photographing a quote to have a refund simulation is very practical.
In general, I am therefore perfectly satisfied with quality and highly recommend generation! :))
</v>
      </c>
    </row>
    <row r="17">
      <c r="A17" s="2">
        <v>2.0</v>
      </c>
      <c r="B17" s="2" t="s">
        <v>82</v>
      </c>
      <c r="C17" s="2" t="s">
        <v>83</v>
      </c>
      <c r="D17" s="2" t="s">
        <v>84</v>
      </c>
      <c r="E17" s="2" t="s">
        <v>14</v>
      </c>
      <c r="F17" s="2" t="s">
        <v>15</v>
      </c>
      <c r="G17" s="2" t="s">
        <v>85</v>
      </c>
      <c r="H17" s="2" t="s">
        <v>86</v>
      </c>
      <c r="I17" s="2" t="str">
        <f>IFERROR(__xludf.DUMMYFUNCTION("GOOGLETRANSLATE(C17,""fr"",""en"")"),"Good insurance as a rule, except when you decided to live abroad. Request for an extension of 2 months following the closure of the borders between France and Switzerland (countries in which I currently live), since my car was to be sold in France. Accept"&amp;"ance by an advisor + payment of the first month (166th for 3 vehicles) to finally tell me that I have not been insuring since my departure from France. So it's been 2 months since I ride without insurance !!!!!!! It might be necessary to review the commun"&amp;"ication between the advisers.")</f>
        <v>Good insurance as a rule, except when you decided to live abroad. Request for an extension of 2 months following the closure of the borders between France and Switzerland (countries in which I currently live), since my car was to be sold in France. Acceptance by an advisor + payment of the first month (166th for 3 vehicles) to finally tell me that I have not been insuring since my departure from France. So it's been 2 months since I ride without insurance !!!!!!! It might be necessary to review the communication between the advisers.</v>
      </c>
    </row>
    <row r="18">
      <c r="A18" s="2">
        <v>4.0</v>
      </c>
      <c r="B18" s="2" t="s">
        <v>87</v>
      </c>
      <c r="C18" s="2" t="s">
        <v>88</v>
      </c>
      <c r="D18" s="2" t="s">
        <v>13</v>
      </c>
      <c r="E18" s="2" t="s">
        <v>14</v>
      </c>
      <c r="F18" s="2" t="s">
        <v>15</v>
      </c>
      <c r="G18" s="2" t="s">
        <v>89</v>
      </c>
      <c r="H18" s="2" t="s">
        <v>17</v>
      </c>
      <c r="I18" s="2" t="str">
        <f>IFERROR(__xludf.DUMMYFUNCTION("GOOGLETRANSLATE(C18,""fr"",""en"")"),"The prices are very competitive, significantly lower than the competition even by being a young driver. The interlocutor I had on the phone advised me very well. I recommend !")</f>
        <v>The prices are very competitive, significantly lower than the competition even by being a young driver. The interlocutor I had on the phone advised me very well. I recommend !</v>
      </c>
    </row>
    <row r="19">
      <c r="A19" s="2">
        <v>1.0</v>
      </c>
      <c r="B19" s="2" t="s">
        <v>90</v>
      </c>
      <c r="C19" s="2" t="s">
        <v>91</v>
      </c>
      <c r="D19" s="2" t="s">
        <v>31</v>
      </c>
      <c r="E19" s="2" t="s">
        <v>14</v>
      </c>
      <c r="F19" s="2" t="s">
        <v>15</v>
      </c>
      <c r="G19" s="2" t="s">
        <v>92</v>
      </c>
      <c r="H19" s="2" t="s">
        <v>93</v>
      </c>
      <c r="I19" s="2" t="str">
        <f>IFERROR(__xludf.DUMMYFUNCTION("GOOGLETRANSLATE(C19,""fr"",""en"")"),"Attractive price for subscription, except that after a few days I was imposed on me an amendment that I refused and to which they gave up, then this year at the end of one year without any sinister, 27% of Increase that after discussion they brought back "&amp;"to 20 % evoking an alleged general clay ...")</f>
        <v>Attractive price for subscription, except that after a few days I was imposed on me an amendment that I refused and to which they gave up, then this year at the end of one year without any sinister, 27% of Increase that after discussion they brought back to 20 % evoking an alleged general clay ...</v>
      </c>
    </row>
    <row r="20">
      <c r="A20" s="2">
        <v>5.0</v>
      </c>
      <c r="B20" s="2" t="s">
        <v>94</v>
      </c>
      <c r="C20" s="2" t="s">
        <v>95</v>
      </c>
      <c r="D20" s="2" t="s">
        <v>31</v>
      </c>
      <c r="E20" s="2" t="s">
        <v>14</v>
      </c>
      <c r="F20" s="2" t="s">
        <v>15</v>
      </c>
      <c r="G20" s="2" t="s">
        <v>96</v>
      </c>
      <c r="H20" s="2" t="s">
        <v>50</v>
      </c>
      <c r="I20" s="2" t="str">
        <f>IFERROR(__xludf.DUMMYFUNCTION("GOOGLETRANSLATE(C20,""fr"",""en"")"),"Simple and practical to use
Many thanks to the attentive and very professional interlocutor
Good insurance
Perfectly suits my needs
To advice")</f>
        <v>Simple and practical to use
Many thanks to the attentive and very professional interlocutor
Good insurance
Perfectly suits my needs
To advice</v>
      </c>
    </row>
    <row r="21" ht="15.75" customHeight="1">
      <c r="A21" s="2">
        <v>5.0</v>
      </c>
      <c r="B21" s="2" t="s">
        <v>97</v>
      </c>
      <c r="C21" s="2" t="s">
        <v>98</v>
      </c>
      <c r="D21" s="2" t="s">
        <v>31</v>
      </c>
      <c r="E21" s="2" t="s">
        <v>14</v>
      </c>
      <c r="F21" s="2" t="s">
        <v>15</v>
      </c>
      <c r="G21" s="2" t="s">
        <v>99</v>
      </c>
      <c r="H21" s="2" t="s">
        <v>50</v>
      </c>
      <c r="I21" s="2" t="str">
        <f>IFERROR(__xludf.DUMMYFUNCTION("GOOGLETRANSLATE(C21,""fr"",""en"")"),"Appreciable responsiveness, telephone exchanges and pleasant advice.
To see if in the event of a dispute the service will be there, I will ask for quotes for other types of insurance ;-)")</f>
        <v>Appreciable responsiveness, telephone exchanges and pleasant advice.
To see if in the event of a dispute the service will be there, I will ask for quotes for other types of insurance ;-)</v>
      </c>
    </row>
    <row r="22" ht="15.75" customHeight="1">
      <c r="A22" s="2">
        <v>3.0</v>
      </c>
      <c r="B22" s="2" t="s">
        <v>100</v>
      </c>
      <c r="C22" s="2" t="s">
        <v>101</v>
      </c>
      <c r="D22" s="2" t="s">
        <v>102</v>
      </c>
      <c r="E22" s="2" t="s">
        <v>103</v>
      </c>
      <c r="F22" s="2" t="s">
        <v>15</v>
      </c>
      <c r="G22" s="2" t="s">
        <v>63</v>
      </c>
      <c r="H22" s="2" t="s">
        <v>60</v>
      </c>
      <c r="I22" s="2" t="str">
        <f>IFERROR(__xludf.DUMMYFUNCTION("GOOGLETRANSLATE(C22,""fr"",""en"")"),"What degradation in the services rendered by Maif! We have been a member for 45 years, but disappointment, MAIF becomes insurance like any other. Unable to reach a phone advisor, no response to messages sent via the site. We are far from the personal advi"&amp;"sor who followed our files. The company that has done work following a claim was nevertheless reimbursed but not our personal costs. A little less advertising and more services please !!!")</f>
        <v>What degradation in the services rendered by Maif! We have been a member for 45 years, but disappointment, MAIF becomes insurance like any other. Unable to reach a phone advisor, no response to messages sent via the site. We are far from the personal advisor who followed our files. The company that has done work following a claim was nevertheless reimbursed but not our personal costs. A little less advertising and more services please !!!</v>
      </c>
    </row>
    <row r="23" ht="15.75" customHeight="1">
      <c r="A23" s="2">
        <v>1.0</v>
      </c>
      <c r="B23" s="2" t="s">
        <v>104</v>
      </c>
      <c r="C23" s="2" t="s">
        <v>105</v>
      </c>
      <c r="D23" s="2" t="s">
        <v>13</v>
      </c>
      <c r="E23" s="2" t="s">
        <v>14</v>
      </c>
      <c r="F23" s="2" t="s">
        <v>15</v>
      </c>
      <c r="G23" s="2" t="s">
        <v>106</v>
      </c>
      <c r="H23" s="2" t="s">
        <v>107</v>
      </c>
      <c r="I23" s="2" t="str">
        <f>IFERROR(__xludf.DUMMYFUNCTION("GOOGLETRANSLATE(C23,""fr"",""en"")"),"Customer for a very long time ... and very unhappy with the last car contract! New car, new contract, a quote announced OK, finally a car delivery with a lower finish and higher insurance! To understand nothing and no plausible explanation given ... So I "&amp;"intend to leave the company with my 3 contracts (car, scooter, house). You only make efforts for new customers")</f>
        <v>Customer for a very long time ... and very unhappy with the last car contract! New car, new contract, a quote announced OK, finally a car delivery with a lower finish and higher insurance! To understand nothing and no plausible explanation given ... So I intend to leave the company with my 3 contracts (car, scooter, house). You only make efforts for new customers</v>
      </c>
    </row>
    <row r="24" ht="15.75" customHeight="1">
      <c r="A24" s="2">
        <v>3.0</v>
      </c>
      <c r="B24" s="2" t="s">
        <v>108</v>
      </c>
      <c r="C24" s="2" t="s">
        <v>109</v>
      </c>
      <c r="D24" s="2" t="s">
        <v>13</v>
      </c>
      <c r="E24" s="2" t="s">
        <v>14</v>
      </c>
      <c r="F24" s="2" t="s">
        <v>15</v>
      </c>
      <c r="G24" s="2" t="s">
        <v>110</v>
      </c>
      <c r="H24" s="2" t="s">
        <v>111</v>
      </c>
      <c r="I24" s="2" t="str">
        <f>IFERROR(__xludf.DUMMYFUNCTION("GOOGLETRANSLATE(C24,""fr"",""en"")"),"Simple and clear entry form, the prices offered seem rather correct. Already client Direct Insurance for several years, so far the service has always been up to par.
")</f>
        <v>Simple and clear entry form, the prices offered seem rather correct. Already client Direct Insurance for several years, so far the service has always been up to par.
</v>
      </c>
    </row>
    <row r="25" ht="15.75" customHeight="1">
      <c r="A25" s="2">
        <v>4.0</v>
      </c>
      <c r="B25" s="2" t="s">
        <v>112</v>
      </c>
      <c r="C25" s="2" t="s">
        <v>113</v>
      </c>
      <c r="D25" s="2" t="s">
        <v>13</v>
      </c>
      <c r="E25" s="2" t="s">
        <v>14</v>
      </c>
      <c r="F25" s="2" t="s">
        <v>15</v>
      </c>
      <c r="G25" s="2" t="s">
        <v>114</v>
      </c>
      <c r="H25" s="2" t="s">
        <v>50</v>
      </c>
      <c r="I25" s="2" t="str">
        <f>IFERROR(__xludf.DUMMYFUNCTION("GOOGLETRANSLATE(C25,""fr"",""en"")"),"Well, interesting price but complicated site (too few details). Regarding prices, I think more options and personalization would be good.")</f>
        <v>Well, interesting price but complicated site (too few details). Regarding prices, I think more options and personalization would be good.</v>
      </c>
    </row>
    <row r="26" ht="15.75" customHeight="1">
      <c r="A26" s="2">
        <v>4.0</v>
      </c>
      <c r="B26" s="2" t="s">
        <v>115</v>
      </c>
      <c r="C26" s="2" t="s">
        <v>116</v>
      </c>
      <c r="D26" s="2" t="s">
        <v>117</v>
      </c>
      <c r="E26" s="2" t="s">
        <v>14</v>
      </c>
      <c r="F26" s="2" t="s">
        <v>15</v>
      </c>
      <c r="G26" s="2" t="s">
        <v>118</v>
      </c>
      <c r="H26" s="2" t="s">
        <v>107</v>
      </c>
      <c r="I26" s="2" t="str">
        <f>IFERROR(__xludf.DUMMYFUNCTION("GOOGLETRANSLATE(C26,""fr"",""en"")"),"Very satisfied with the GMF service and my interlocutors.
People I had online, especially following my vehicle failure that occurred 10 days ago.
Too bad the loyalty does not pay!")</f>
        <v>Very satisfied with the GMF service and my interlocutors.
People I had online, especially following my vehicle failure that occurred 10 days ago.
Too bad the loyalty does not pay!</v>
      </c>
    </row>
    <row r="27" ht="15.75" customHeight="1">
      <c r="A27" s="2">
        <v>2.0</v>
      </c>
      <c r="B27" s="2" t="s">
        <v>119</v>
      </c>
      <c r="C27" s="2" t="s">
        <v>120</v>
      </c>
      <c r="D27" s="2" t="s">
        <v>13</v>
      </c>
      <c r="E27" s="2" t="s">
        <v>14</v>
      </c>
      <c r="F27" s="2" t="s">
        <v>15</v>
      </c>
      <c r="G27" s="2" t="s">
        <v>121</v>
      </c>
      <c r="H27" s="2" t="s">
        <v>122</v>
      </c>
      <c r="I27" s="2" t="str">
        <f>IFERROR(__xludf.DUMMYFUNCTION("GOOGLETRANSLATE(C27,""fr"",""en"")"),"Never advise the currents of nothing
Unable to give clear answers
Cancellation of the contract after paying
Late reimbursements
7O € for 10 days")</f>
        <v>Never advise the currents of nothing
Unable to give clear answers
Cancellation of the contract after paying
Late reimbursements
7O € for 10 days</v>
      </c>
    </row>
    <row r="28" ht="15.75" customHeight="1">
      <c r="A28" s="2">
        <v>3.0</v>
      </c>
      <c r="B28" s="2" t="s">
        <v>123</v>
      </c>
      <c r="C28" s="2" t="s">
        <v>124</v>
      </c>
      <c r="D28" s="2" t="s">
        <v>31</v>
      </c>
      <c r="E28" s="2" t="s">
        <v>14</v>
      </c>
      <c r="F28" s="2" t="s">
        <v>15</v>
      </c>
      <c r="G28" s="2" t="s">
        <v>125</v>
      </c>
      <c r="H28" s="2" t="s">
        <v>107</v>
      </c>
      <c r="I28" s="2" t="str">
        <f>IFERROR(__xludf.DUMMYFUNCTION("GOOGLETRANSLATE(C28,""fr"",""en"")"),"Super I am assured, the reason why I subscribe online. It's simple, fast and effective. To see later the efficiency in the event of litigation and degradation of the vehicle.")</f>
        <v>Super I am assured, the reason why I subscribe online. It's simple, fast and effective. To see later the efficiency in the event of litigation and degradation of the vehicle.</v>
      </c>
    </row>
    <row r="29" ht="15.75" customHeight="1">
      <c r="A29" s="2">
        <v>5.0</v>
      </c>
      <c r="B29" s="2" t="s">
        <v>126</v>
      </c>
      <c r="C29" s="2" t="s">
        <v>127</v>
      </c>
      <c r="D29" s="2" t="s">
        <v>128</v>
      </c>
      <c r="E29" s="2" t="s">
        <v>14</v>
      </c>
      <c r="F29" s="2" t="s">
        <v>15</v>
      </c>
      <c r="G29" s="2" t="s">
        <v>129</v>
      </c>
      <c r="H29" s="2" t="s">
        <v>130</v>
      </c>
      <c r="I29" s="2" t="str">
        <f>IFERROR(__xludf.DUMMYFUNCTION("GOOGLETRANSLATE(C29,""fr"",""en"")"),"Hello
At the sight of certain comments, I must give my opinion on this insurer. I have been a matmut member for 37 years. Unfortunately, I had sinister vehicles, for example.
My son assured to our name who meets a badger. Matmut identified a third by ha"&amp;"irs found under the engine (nothing to pay).
Our first used motorhome bought from a stolen dealer after 11 months (full reimbursement according to invoice).
Recent hanging of our car by a truck (fast management, and at no cost)
So really, nothing to sa"&amp;"y except that I am completely satisfied with my insurer.
The office I depend is always available and very responsive.
I have 5 Matmut contracts. I recommend.
Cdlt
")</f>
        <v>Hello
At the sight of certain comments, I must give my opinion on this insurer. I have been a matmut member for 37 years. Unfortunately, I had sinister vehicles, for example.
My son assured to our name who meets a badger. Matmut identified a third by hairs found under the engine (nothing to pay).
Our first used motorhome bought from a stolen dealer after 11 months (full reimbursement according to invoice).
Recent hanging of our car by a truck (fast management, and at no cost)
So really, nothing to say except that I am completely satisfied with my insurer.
The office I depend is always available and very responsive.
I have 5 Matmut contracts. I recommend.
Cdlt
</v>
      </c>
    </row>
    <row r="30" ht="15.75" customHeight="1">
      <c r="A30" s="2">
        <v>5.0</v>
      </c>
      <c r="B30" s="2" t="s">
        <v>131</v>
      </c>
      <c r="C30" s="2" t="s">
        <v>132</v>
      </c>
      <c r="D30" s="2" t="s">
        <v>31</v>
      </c>
      <c r="E30" s="2" t="s">
        <v>14</v>
      </c>
      <c r="F30" s="2" t="s">
        <v>15</v>
      </c>
      <c r="G30" s="2" t="s">
        <v>133</v>
      </c>
      <c r="H30" s="2" t="s">
        <v>107</v>
      </c>
      <c r="I30" s="2" t="str">
        <f>IFERROR(__xludf.DUMMYFUNCTION("GOOGLETRANSLATE(C30,""fr"",""en"")"),"I am too satisfied with your services and I intend to recommend to my parents, my knowledge and all my family. I am also very satisfied with your advisers.")</f>
        <v>I am too satisfied with your services and I intend to recommend to my parents, my knowledge and all my family. I am also very satisfied with your advisers.</v>
      </c>
    </row>
    <row r="31" ht="15.75" customHeight="1">
      <c r="A31" s="2">
        <v>1.0</v>
      </c>
      <c r="B31" s="2" t="s">
        <v>134</v>
      </c>
      <c r="C31" s="2" t="s">
        <v>135</v>
      </c>
      <c r="D31" s="2" t="s">
        <v>136</v>
      </c>
      <c r="E31" s="2" t="s">
        <v>103</v>
      </c>
      <c r="F31" s="2" t="s">
        <v>15</v>
      </c>
      <c r="G31" s="2" t="s">
        <v>137</v>
      </c>
      <c r="H31" s="2" t="s">
        <v>138</v>
      </c>
      <c r="I31" s="2" t="str">
        <f>IFERROR(__xludf.DUMMYFUNCTION("GOOGLETRANSLATE(C31,""fr"",""en"")"),"Home insurance taken from LCL
Sinister of the water leak..1 months that it lasts ... you go through several services which are aware of nothing ... Plumber who never passes ... Insurance to avoid and to flee as soon as possible ...")</f>
        <v>Home insurance taken from LCL
Sinister of the water leak..1 months that it lasts ... you go through several services which are aware of nothing ... Plumber who never passes ... Insurance to avoid and to flee as soon as possible ...</v>
      </c>
    </row>
    <row r="32" ht="15.75" customHeight="1">
      <c r="A32" s="2">
        <v>1.0</v>
      </c>
      <c r="B32" s="2" t="s">
        <v>139</v>
      </c>
      <c r="C32" s="2" t="s">
        <v>140</v>
      </c>
      <c r="D32" s="2" t="s">
        <v>84</v>
      </c>
      <c r="E32" s="2" t="s">
        <v>103</v>
      </c>
      <c r="F32" s="2" t="s">
        <v>15</v>
      </c>
      <c r="G32" s="2" t="s">
        <v>141</v>
      </c>
      <c r="H32" s="2" t="s">
        <v>142</v>
      </c>
      <c r="I32" s="2" t="str">
        <f>IFERROR(__xludf.DUMMYFUNCTION("GOOGLETRANSLATE(C32,""fr"",""en"")"),"Everything is fine when we pay our contributions then, in the event of a problem, there is no one left.
Indeed, after long years without disaster everything was going on for the best until we are faced with two incidents in two years (whose sums engaged "&amp;"were far from exorbitant). Apart from the fact that it was not easy to obtain the corresponding compensation, our insurance sent us shortly after a letter by informing us that she no longer wanted to cover us in the future and that she put an end to Our c"&amp;"ontract. Thank you Macif, what honesty! You are far from being as faithful as your policyholders; The only thing for which you are effective is compliance with the date and amount of the monthly direct debit.")</f>
        <v>Everything is fine when we pay our contributions then, in the event of a problem, there is no one left.
Indeed, after long years without disaster everything was going on for the best until we are faced with two incidents in two years (whose sums engaged were far from exorbitant). Apart from the fact that it was not easy to obtain the corresponding compensation, our insurance sent us shortly after a letter by informing us that she no longer wanted to cover us in the future and that she put an end to Our contract. Thank you Macif, what honesty! You are far from being as faithful as your policyholders; The only thing for which you are effective is compliance with the date and amount of the monthly direct debit.</v>
      </c>
    </row>
    <row r="33" ht="15.75" customHeight="1">
      <c r="A33" s="2">
        <v>3.0</v>
      </c>
      <c r="B33" s="2" t="s">
        <v>143</v>
      </c>
      <c r="C33" s="2" t="s">
        <v>144</v>
      </c>
      <c r="D33" s="2" t="s">
        <v>31</v>
      </c>
      <c r="E33" s="2" t="s">
        <v>14</v>
      </c>
      <c r="F33" s="2" t="s">
        <v>15</v>
      </c>
      <c r="G33" s="2" t="s">
        <v>145</v>
      </c>
      <c r="H33" s="2" t="s">
        <v>46</v>
      </c>
      <c r="I33" s="2" t="str">
        <f>IFERROR(__xludf.DUMMYFUNCTION("GOOGLETRANSLATE(C33,""fr"",""en"")"),"First contact with the Insurance olive tree this month.
To see in time the quality of customer relations. No particular opinion at this stage. However first contact ++")</f>
        <v>First contact with the Insurance olive tree this month.
To see in time the quality of customer relations. No particular opinion at this stage. However first contact ++</v>
      </c>
    </row>
    <row r="34" ht="15.75" customHeight="1">
      <c r="A34" s="2">
        <v>4.0</v>
      </c>
      <c r="B34" s="2" t="s">
        <v>146</v>
      </c>
      <c r="C34" s="2" t="s">
        <v>147</v>
      </c>
      <c r="D34" s="2" t="s">
        <v>13</v>
      </c>
      <c r="E34" s="2" t="s">
        <v>14</v>
      </c>
      <c r="F34" s="2" t="s">
        <v>15</v>
      </c>
      <c r="G34" s="2" t="s">
        <v>148</v>
      </c>
      <c r="H34" s="2" t="s">
        <v>107</v>
      </c>
      <c r="I34" s="2" t="str">
        <f>IFERROR(__xludf.DUMMYFUNCTION("GOOGLETRANSLATE(C34,""fr"",""en"")"),"Satisfied with the service ..SA does not put BCP of TPS to finalize insurance. Site to advise relatives and family
Cordially
Mr. Bocquillon")</f>
        <v>Satisfied with the service ..SA does not put BCP of TPS to finalize insurance. Site to advise relatives and family
Cordially
Mr. Bocquillon</v>
      </c>
    </row>
    <row r="35" ht="15.75" customHeight="1">
      <c r="A35" s="2">
        <v>4.0</v>
      </c>
      <c r="B35" s="2" t="s">
        <v>149</v>
      </c>
      <c r="C35" s="2" t="s">
        <v>150</v>
      </c>
      <c r="D35" s="2" t="s">
        <v>31</v>
      </c>
      <c r="E35" s="2" t="s">
        <v>14</v>
      </c>
      <c r="F35" s="2" t="s">
        <v>15</v>
      </c>
      <c r="G35" s="2" t="s">
        <v>151</v>
      </c>
      <c r="H35" s="2" t="s">
        <v>33</v>
      </c>
      <c r="I35" s="2" t="str">
        <f>IFERROR(__xludf.DUMMYFUNCTION("GOOGLETRANSLATE(C35,""fr"",""en"")"),"I am generally satisfied, the prices are reasonable, the documents arrived quickly, I was able to make sure very quickly online. Hoping that the prices will remain the same.")</f>
        <v>I am generally satisfied, the prices are reasonable, the documents arrived quickly, I was able to make sure very quickly online. Hoping that the prices will remain the same.</v>
      </c>
    </row>
    <row r="36" ht="15.75" customHeight="1">
      <c r="A36" s="2">
        <v>5.0</v>
      </c>
      <c r="B36" s="2" t="s">
        <v>152</v>
      </c>
      <c r="C36" s="2" t="s">
        <v>153</v>
      </c>
      <c r="D36" s="2" t="s">
        <v>31</v>
      </c>
      <c r="E36" s="2" t="s">
        <v>14</v>
      </c>
      <c r="F36" s="2" t="s">
        <v>15</v>
      </c>
      <c r="G36" s="2" t="s">
        <v>154</v>
      </c>
      <c r="H36" s="2" t="s">
        <v>33</v>
      </c>
      <c r="I36" s="2" t="str">
        <f>IFERROR(__xludf.DUMMYFUNCTION("GOOGLETRANSLATE(C36,""fr"",""en"")"),"I am satisfied with the service the price my most very happy simple and practical a very good assurance my daughter my very well talked about you very happy")</f>
        <v>I am satisfied with the service the price my most very happy simple and practical a very good assurance my daughter my very well talked about you very happy</v>
      </c>
    </row>
    <row r="37" ht="15.75" customHeight="1">
      <c r="A37" s="2">
        <v>1.0</v>
      </c>
      <c r="B37" s="2" t="s">
        <v>155</v>
      </c>
      <c r="C37" s="2" t="s">
        <v>156</v>
      </c>
      <c r="D37" s="2" t="s">
        <v>157</v>
      </c>
      <c r="E37" s="2" t="s">
        <v>21</v>
      </c>
      <c r="F37" s="2" t="s">
        <v>15</v>
      </c>
      <c r="G37" s="2" t="s">
        <v>114</v>
      </c>
      <c r="H37" s="2" t="s">
        <v>50</v>
      </c>
      <c r="I37" s="2" t="str">
        <f>IFERROR(__xludf.DUMMYFUNCTION("GOOGLETRANSLATE(C37,""fr"",""en"")"),"I am very unhappy with my mutual which refuses to pay me for without reason my package of 600 euros for my spa cure carried out in June 2021.
I have been doing cures for ALD for 28 years.
Until here I presented to my mutual meter my cure invoice and man"&amp;"agement of SS since I am 100 %
Having income higher than the ceiling no participation of course SS for accommodation and transport.
I pay more than 200 euros for my husband and I and this package is one of the guarantees offered by Total Puiqui they als"&amp;"o give 65 euros for our mutual.
Depending on the guarantees that we have taken I have to receive 600 euros that I can use as I wish for my transport or accommodation.
This year I send as usual at the end of my cure in June all the documents and to my su"&amp;"rprise the mutual refuses to give me my package for no reason. After many calls to the complaint service where I am told that I must Touching this sum which will be paid to me as soon as possible, I sent a registered letter, without response J while the m"&amp;"onth of delay is exceeded. I feel helpless and don't know what to do anymore.
Whatever one could help me and give me the process to follow.
Did you happen the same with Mercer?
Thank you very much to those who will help me.")</f>
        <v>I am very unhappy with my mutual which refuses to pay me for without reason my package of 600 euros for my spa cure carried out in June 2021.
I have been doing cures for ALD for 28 years.
Until here I presented to my mutual meter my cure invoice and management of SS since I am 100 %
Having income higher than the ceiling no participation of course SS for accommodation and transport.
I pay more than 200 euros for my husband and I and this package is one of the guarantees offered by Total Puiqui they also give 65 euros for our mutual.
Depending on the guarantees that we have taken I have to receive 600 euros that I can use as I wish for my transport or accommodation.
This year I send as usual at the end of my cure in June all the documents and to my surprise the mutual refuses to give me my package for no reason. After many calls to the complaint service where I am told that I must Touching this sum which will be paid to me as soon as possible, I sent a registered letter, without response J while the month of delay is exceeded. I feel helpless and don't know what to do anymore.
Whatever one could help me and give me the process to follow.
Did you happen the same with Mercer?
Thank you very much to those who will help me.</v>
      </c>
    </row>
    <row r="38" ht="15.75" customHeight="1">
      <c r="A38" s="2">
        <v>1.0</v>
      </c>
      <c r="B38" s="2" t="s">
        <v>158</v>
      </c>
      <c r="C38" s="2" t="s">
        <v>159</v>
      </c>
      <c r="D38" s="2" t="s">
        <v>160</v>
      </c>
      <c r="E38" s="2" t="s">
        <v>21</v>
      </c>
      <c r="F38" s="2" t="s">
        <v>15</v>
      </c>
      <c r="G38" s="2" t="s">
        <v>161</v>
      </c>
      <c r="H38" s="2" t="s">
        <v>162</v>
      </c>
      <c r="I38" s="2" t="str">
        <f>IFERROR(__xludf.DUMMYFUNCTION("GOOGLETRANSLATE(C38,""fr"",""en"")"),"Since the beginning of November 2018, I sent my daughter's certificate ... by phone they assured me that her file was in order and that I would receive the Mutual Card at the end of 12/2018. In fact, nothing has been done, my daughter was operated on 08/0"&amp;"1 without cover. You have to wait, without knowing how long !!! The platform tells me to advance the costs of the intervention ... It is unspeakable.")</f>
        <v>Since the beginning of November 2018, I sent my daughter's certificate ... by phone they assured me that her file was in order and that I would receive the Mutual Card at the end of 12/2018. In fact, nothing has been done, my daughter was operated on 08/01 without cover. You have to wait, without knowing how long !!! The platform tells me to advance the costs of the intervention ... It is unspeakable.</v>
      </c>
    </row>
    <row r="39" ht="15.75" customHeight="1">
      <c r="A39" s="2">
        <v>5.0</v>
      </c>
      <c r="B39" s="2" t="s">
        <v>163</v>
      </c>
      <c r="C39" s="2" t="s">
        <v>164</v>
      </c>
      <c r="D39" s="2" t="s">
        <v>13</v>
      </c>
      <c r="E39" s="2" t="s">
        <v>14</v>
      </c>
      <c r="F39" s="2" t="s">
        <v>15</v>
      </c>
      <c r="G39" s="2" t="s">
        <v>165</v>
      </c>
      <c r="H39" s="2" t="s">
        <v>17</v>
      </c>
      <c r="I39" s="2" t="str">
        <f>IFERROR(__xludf.DUMMYFUNCTION("GOOGLETRANSLATE(C39,""fr"",""en"")"),"The site is simple and quick, I was able to make my quote quickly with the options of my choice for my next vehicle!
Congratulations on the prices that are affordable
Good continuations.")</f>
        <v>The site is simple and quick, I was able to make my quote quickly with the options of my choice for my next vehicle!
Congratulations on the prices that are affordable
Good continuations.</v>
      </c>
    </row>
    <row r="40" ht="15.75" customHeight="1">
      <c r="A40" s="2">
        <v>1.0</v>
      </c>
      <c r="B40" s="2" t="s">
        <v>166</v>
      </c>
      <c r="C40" s="2" t="s">
        <v>167</v>
      </c>
      <c r="D40" s="2" t="s">
        <v>168</v>
      </c>
      <c r="E40" s="2" t="s">
        <v>103</v>
      </c>
      <c r="F40" s="2" t="s">
        <v>15</v>
      </c>
      <c r="G40" s="2" t="s">
        <v>169</v>
      </c>
      <c r="H40" s="2" t="s">
        <v>170</v>
      </c>
      <c r="I40" s="2" t="str">
        <f>IFERROR(__xludf.DUMMYFUNCTION("GOOGLETRANSLATE(C40,""fr"",""en"")"),"Sinister declared this day, falling with damage on sink, the maaf tells me that it is not supported what is the civil liability for ?? Too bad I just paid my deadline otherwise I was terminating.")</f>
        <v>Sinister declared this day, falling with damage on sink, the maaf tells me that it is not supported what is the civil liability for ?? Too bad I just paid my deadline otherwise I was terminating.</v>
      </c>
    </row>
    <row r="41" ht="15.75" customHeight="1">
      <c r="A41" s="2">
        <v>3.0</v>
      </c>
      <c r="B41" s="2" t="s">
        <v>171</v>
      </c>
      <c r="C41" s="2" t="s">
        <v>172</v>
      </c>
      <c r="D41" s="2" t="s">
        <v>13</v>
      </c>
      <c r="E41" s="2" t="s">
        <v>14</v>
      </c>
      <c r="F41" s="2" t="s">
        <v>15</v>
      </c>
      <c r="G41" s="2" t="s">
        <v>173</v>
      </c>
      <c r="H41" s="2" t="s">
        <v>107</v>
      </c>
      <c r="I41" s="2" t="str">
        <f>IFERROR(__xludf.DUMMYFUNCTION("GOOGLETRANSLATE(C41,""fr"",""en"")"),"Satisfied the price and the conditions the speed and the advantages quick and easy to use clear and precise customer area I will start insurance director")</f>
        <v>Satisfied the price and the conditions the speed and the advantages quick and easy to use clear and precise customer area I will start insurance director</v>
      </c>
    </row>
    <row r="42" ht="15.75" customHeight="1">
      <c r="A42" s="2">
        <v>5.0</v>
      </c>
      <c r="B42" s="2" t="s">
        <v>174</v>
      </c>
      <c r="C42" s="2" t="s">
        <v>175</v>
      </c>
      <c r="D42" s="2" t="s">
        <v>13</v>
      </c>
      <c r="E42" s="2" t="s">
        <v>14</v>
      </c>
      <c r="F42" s="2" t="s">
        <v>15</v>
      </c>
      <c r="G42" s="2" t="s">
        <v>176</v>
      </c>
      <c r="H42" s="2" t="s">
        <v>50</v>
      </c>
      <c r="I42" s="2" t="str">
        <f>IFERROR(__xludf.DUMMYFUNCTION("GOOGLETRANSLATE(C42,""fr"",""en"")"),"Simple and quick.
I was able to do my contract in a few really perfect clicks
I recommend thousand times
I am delighted to have been able to be quickly insured")</f>
        <v>Simple and quick.
I was able to do my contract in a few really perfect clicks
I recommend thousand times
I am delighted to have been able to be quickly insured</v>
      </c>
    </row>
    <row r="43" ht="15.75" customHeight="1">
      <c r="A43" s="2">
        <v>4.0</v>
      </c>
      <c r="B43" s="2" t="s">
        <v>177</v>
      </c>
      <c r="C43" s="2" t="s">
        <v>178</v>
      </c>
      <c r="D43" s="2" t="s">
        <v>74</v>
      </c>
      <c r="E43" s="2" t="s">
        <v>58</v>
      </c>
      <c r="F43" s="2" t="s">
        <v>15</v>
      </c>
      <c r="G43" s="2" t="s">
        <v>179</v>
      </c>
      <c r="H43" s="2" t="s">
        <v>50</v>
      </c>
      <c r="I43" s="2" t="str">
        <f>IFERROR(__xludf.DUMMYFUNCTION("GOOGLETRANSLATE(C43,""fr"",""en"")"),"I am satisfied with the value of the insurance. .")</f>
        <v>I am satisfied with the value of the insurance. .</v>
      </c>
    </row>
    <row r="44" ht="15.75" customHeight="1">
      <c r="A44" s="2">
        <v>1.0</v>
      </c>
      <c r="B44" s="2" t="s">
        <v>180</v>
      </c>
      <c r="C44" s="2" t="s">
        <v>181</v>
      </c>
      <c r="D44" s="2" t="s">
        <v>182</v>
      </c>
      <c r="E44" s="2" t="s">
        <v>103</v>
      </c>
      <c r="F44" s="2" t="s">
        <v>15</v>
      </c>
      <c r="G44" s="2" t="s">
        <v>183</v>
      </c>
      <c r="H44" s="2" t="s">
        <v>184</v>
      </c>
      <c r="I44" s="2" t="str">
        <f>IFERROR(__xludf.DUMMYFUNCTION("GOOGLETRANSLATE(C44,""fr"",""en"")"),"Ensure at AXA in 2017, Jais is under fire in 2018 and always in procedure with them in 2021.
Homeless for 1 year with my pregnant wife 2 dogs and 2 cats in a car for more than 4 months because it did not want to rehove or provide a provision.
When the f"&amp;"inal regulations arrived with the regulator inspector, (Mafia) SA was blackmail or signing yourself or you have nothing and we will get out.
I signed by thinking of being able to go to court but the he made me sign a text of laws which says that I cannot"&amp;" attack them in court.
Home insurance to flee and not to subscribe.")</f>
        <v>Ensure at AXA in 2017, Jais is under fire in 2018 and always in procedure with them in 2021.
Homeless for 1 year with my pregnant wife 2 dogs and 2 cats in a car for more than 4 months because it did not want to rehove or provide a provision.
When the final regulations arrived with the regulator inspector, (Mafia) SA was blackmail or signing yourself or you have nothing and we will get out.
I signed by thinking of being able to go to court but the he made me sign a text of laws which says that I cannot attack them in court.
Home insurance to flee and not to subscribe.</v>
      </c>
    </row>
    <row r="45" ht="15.75" customHeight="1">
      <c r="A45" s="2">
        <v>5.0</v>
      </c>
      <c r="B45" s="2" t="s">
        <v>185</v>
      </c>
      <c r="C45" s="2" t="s">
        <v>186</v>
      </c>
      <c r="D45" s="2" t="s">
        <v>31</v>
      </c>
      <c r="E45" s="2" t="s">
        <v>14</v>
      </c>
      <c r="F45" s="2" t="s">
        <v>15</v>
      </c>
      <c r="G45" s="2" t="s">
        <v>187</v>
      </c>
      <c r="H45" s="2" t="s">
        <v>76</v>
      </c>
      <c r="I45" s="2" t="str">
        <f>IFERROR(__xludf.DUMMYFUNCTION("GOOGLETRANSLATE(C45,""fr"",""en"")"),"I am very satisfied the price suits me enormously I recommend to friends who need to insure their cars or knowledge it is perfect insurance")</f>
        <v>I am very satisfied the price suits me enormously I recommend to friends who need to insure their cars or knowledge it is perfect insurance</v>
      </c>
    </row>
    <row r="46" ht="15.75" customHeight="1">
      <c r="A46" s="2">
        <v>5.0</v>
      </c>
      <c r="B46" s="2" t="s">
        <v>188</v>
      </c>
      <c r="C46" s="2" t="s">
        <v>189</v>
      </c>
      <c r="D46" s="2" t="s">
        <v>13</v>
      </c>
      <c r="E46" s="2" t="s">
        <v>14</v>
      </c>
      <c r="F46" s="2" t="s">
        <v>15</v>
      </c>
      <c r="G46" s="2" t="s">
        <v>190</v>
      </c>
      <c r="H46" s="2" t="s">
        <v>60</v>
      </c>
      <c r="I46" s="2" t="str">
        <f>IFERROR(__xludf.DUMMYFUNCTION("GOOGLETRANSLATE(C46,""fr"",""en"")"),"The prices are satisfactory. Compared to my current insurer for a car over 10 years old nothing is used to put more. I would recommend if in the future years in the event of a claim everything happens properly.")</f>
        <v>The prices are satisfactory. Compared to my current insurer for a car over 10 years old nothing is used to put more. I would recommend if in the future years in the event of a claim everything happens properly.</v>
      </c>
    </row>
    <row r="47" ht="15.75" customHeight="1">
      <c r="A47" s="2">
        <v>2.0</v>
      </c>
      <c r="B47" s="2" t="s">
        <v>191</v>
      </c>
      <c r="C47" s="2" t="s">
        <v>192</v>
      </c>
      <c r="D47" s="2" t="s">
        <v>102</v>
      </c>
      <c r="E47" s="2" t="s">
        <v>14</v>
      </c>
      <c r="F47" s="2" t="s">
        <v>15</v>
      </c>
      <c r="G47" s="2" t="s">
        <v>193</v>
      </c>
      <c r="H47" s="2" t="s">
        <v>194</v>
      </c>
      <c r="I47" s="2" t="str">
        <f>IFERROR(__xludf.DUMMYFUNCTION("GOOGLETRANSLATE(C47,""fr"",""en"")"),"So far I was very satisfied with the MAIF but since my car accident my file is processed by a sinister management advisor who is just absolutely unfriendly. I only manifest myself rarely but each time I was received more than coldly on the phone, she clea"&amp;"rly made me understand that I was annoying her. And when I ask where my file has been because no news for 3 months, I receive an email once again more than cold with an attachment a letter reminding me of his last letter 3 months ago. I therefore have no "&amp;"answer to my question, namely if she received the documents she asked for various organizations, and once again she makes me understand by her mail that I am ... obviously , I keep myself well for reflection as long as my compensation file is not complete"&amp;"d. (So ​​far I have always had extremely competent and very sympathetic people) and who to contact to do with my dissatisfaction? A manager, director ...
Obviously, I do not give my name here but a nickname.")</f>
        <v>So far I was very satisfied with the MAIF but since my car accident my file is processed by a sinister management advisor who is just absolutely unfriendly. I only manifest myself rarely but each time I was received more than coldly on the phone, she clearly made me understand that I was annoying her. And when I ask where my file has been because no news for 3 months, I receive an email once again more than cold with an attachment a letter reminding me of his last letter 3 months ago. I therefore have no answer to my question, namely if she received the documents she asked for various organizations, and once again she makes me understand by her mail that I am ... obviously , I keep myself well for reflection as long as my compensation file is not completed. (So ​​far I have always had extremely competent and very sympathetic people) and who to contact to do with my dissatisfaction? A manager, director ...
Obviously, I do not give my name here but a nickname.</v>
      </c>
    </row>
    <row r="48" ht="15.75" customHeight="1">
      <c r="A48" s="2">
        <v>4.0</v>
      </c>
      <c r="B48" s="2" t="s">
        <v>195</v>
      </c>
      <c r="C48" s="2" t="s">
        <v>196</v>
      </c>
      <c r="D48" s="2" t="s">
        <v>31</v>
      </c>
      <c r="E48" s="2" t="s">
        <v>14</v>
      </c>
      <c r="F48" s="2" t="s">
        <v>15</v>
      </c>
      <c r="G48" s="2" t="s">
        <v>197</v>
      </c>
      <c r="H48" s="2" t="s">
        <v>39</v>
      </c>
      <c r="I48" s="2" t="str">
        <f>IFERROR(__xludf.DUMMYFUNCTION("GOOGLETRANSLATE(C48,""fr"",""en"")"),"I am satisfied with the service, I have nothing to complain about.
I would recommend this insurance to those around me.
Do not change anything in your prices, continue the low price
Goodbye")</f>
        <v>I am satisfied with the service, I have nothing to complain about.
I would recommend this insurance to those around me.
Do not change anything in your prices, continue the low price
Goodbye</v>
      </c>
    </row>
    <row r="49" ht="15.75" customHeight="1">
      <c r="A49" s="2">
        <v>3.0</v>
      </c>
      <c r="B49" s="2" t="s">
        <v>198</v>
      </c>
      <c r="C49" s="2" t="s">
        <v>199</v>
      </c>
      <c r="D49" s="2" t="s">
        <v>31</v>
      </c>
      <c r="E49" s="2" t="s">
        <v>14</v>
      </c>
      <c r="F49" s="2" t="s">
        <v>15</v>
      </c>
      <c r="G49" s="2" t="s">
        <v>200</v>
      </c>
      <c r="H49" s="2" t="s">
        <v>107</v>
      </c>
      <c r="I49" s="2" t="str">
        <f>IFERROR(__xludf.DUMMYFUNCTION("GOOGLETRANSLATE(C49,""fr"",""en"")"),"I am generally satisfied even if it is never a pleasure to put 53 euros per month in insurance when you are young and that you start in working life. For satisfaction I would judge over time.")</f>
        <v>I am generally satisfied even if it is never a pleasure to put 53 euros per month in insurance when you are young and that you start in working life. For satisfaction I would judge over time.</v>
      </c>
    </row>
    <row r="50" ht="15.75" customHeight="1">
      <c r="A50" s="2">
        <v>1.0</v>
      </c>
      <c r="B50" s="2" t="s">
        <v>201</v>
      </c>
      <c r="C50" s="2" t="s">
        <v>202</v>
      </c>
      <c r="D50" s="2" t="s">
        <v>117</v>
      </c>
      <c r="E50" s="2" t="s">
        <v>14</v>
      </c>
      <c r="F50" s="2" t="s">
        <v>15</v>
      </c>
      <c r="G50" s="2" t="s">
        <v>203</v>
      </c>
      <c r="H50" s="2" t="s">
        <v>39</v>
      </c>
      <c r="I50" s="2" t="str">
        <f>IFERROR(__xludf.DUMMYFUNCTION("GOOGLETRANSLATE(C50,""fr"",""en"")"),"Insured at the GMF for 58 years I LUIS remains faithful because satisfied with its services whether for my cars or my home. I have in a few claims but the answer has always been up to my needs")</f>
        <v>Insured at the GMF for 58 years I LUIS remains faithful because satisfied with its services whether for my cars or my home. I have in a few claims but the answer has always been up to my needs</v>
      </c>
    </row>
    <row r="51" ht="15.75" customHeight="1">
      <c r="A51" s="2">
        <v>1.0</v>
      </c>
      <c r="B51" s="2" t="s">
        <v>204</v>
      </c>
      <c r="C51" s="2" t="s">
        <v>205</v>
      </c>
      <c r="D51" s="2" t="s">
        <v>102</v>
      </c>
      <c r="E51" s="2" t="s">
        <v>103</v>
      </c>
      <c r="F51" s="2" t="s">
        <v>15</v>
      </c>
      <c r="G51" s="2" t="s">
        <v>206</v>
      </c>
      <c r="H51" s="2" t="s">
        <v>207</v>
      </c>
      <c r="I51" s="2" t="str">
        <f>IFERROR(__xludf.DUMMYFUNCTION("GOOGLETRANSLATE(C51,""fr"",""en"")"),"I have been suffering from the waters since the end of 2017. Until recently, I have not received a lot of help from Maif, except to record my disaster. It is impossible to reach the person who must take care of my file. Always the same answer: it is in a "&amp;"meeting, or on the phone. She reminds you. Than nenni. After 15 days I have to recall myself ^to get the same answer. No communication, no listening for people who call themselves militants and for a society that gives itself the name of mutual.
The expe"&amp;"rt passed after more than a year. I had to ask the report for 6 months. The damage increases but the insurer doesn't care. He does false advertising to attract new members who will pay for work not done.
In summary, no professionalism, no empathy for the"&amp;" misfortune of the insured. Even the managers contacted do not have politeness and respect to respond.
We are talking about a legal service, but it seems that it is nonexistent, or on the side of the opponent.
")</f>
        <v>I have been suffering from the waters since the end of 2017. Until recently, I have not received a lot of help from Maif, except to record my disaster. It is impossible to reach the person who must take care of my file. Always the same answer: it is in a meeting, or on the phone. She reminds you. Than nenni. After 15 days I have to recall myself ^to get the same answer. No communication, no listening for people who call themselves militants and for a society that gives itself the name of mutual.
The expert passed after more than a year. I had to ask the report for 6 months. The damage increases but the insurer doesn't care. He does false advertising to attract new members who will pay for work not done.
In summary, no professionalism, no empathy for the misfortune of the insured. Even the managers contacted do not have politeness and respect to respond.
We are talking about a legal service, but it seems that it is nonexistent, or on the side of the opponent.
</v>
      </c>
    </row>
    <row r="52" ht="15.75" customHeight="1">
      <c r="A52" s="2">
        <v>5.0</v>
      </c>
      <c r="B52" s="2" t="s">
        <v>208</v>
      </c>
      <c r="C52" s="2" t="s">
        <v>209</v>
      </c>
      <c r="D52" s="2" t="s">
        <v>13</v>
      </c>
      <c r="E52" s="2" t="s">
        <v>14</v>
      </c>
      <c r="F52" s="2" t="s">
        <v>15</v>
      </c>
      <c r="G52" s="2" t="s">
        <v>210</v>
      </c>
      <c r="H52" s="2" t="s">
        <v>50</v>
      </c>
      <c r="I52" s="2" t="str">
        <f>IFERROR(__xludf.DUMMYFUNCTION("GOOGLETRANSLATE(C52,""fr"",""en"")"),"Perfect (1) I join my wife who already has a contract at Direct Assurance.
(1) Both for the price and for advisor contact.
To see in the event of a claim.
")</f>
        <v>Perfect (1) I join my wife who already has a contract at Direct Assurance.
(1) Both for the price and for advisor contact.
To see in the event of a claim.
</v>
      </c>
    </row>
    <row r="53" ht="15.75" customHeight="1">
      <c r="A53" s="2">
        <v>5.0</v>
      </c>
      <c r="B53" s="2" t="s">
        <v>211</v>
      </c>
      <c r="C53" s="2" t="s">
        <v>212</v>
      </c>
      <c r="D53" s="2" t="s">
        <v>128</v>
      </c>
      <c r="E53" s="2" t="s">
        <v>103</v>
      </c>
      <c r="F53" s="2" t="s">
        <v>15</v>
      </c>
      <c r="G53" s="2" t="s">
        <v>213</v>
      </c>
      <c r="H53" s="2" t="s">
        <v>130</v>
      </c>
      <c r="I53" s="2" t="str">
        <f>IFERROR(__xludf.DUMMYFUNCTION("GOOGLETRANSLATE(C53,""fr"",""en"")"),"Very good customer price and availability. I have been in the Matmut for over 20 years I am very happy.
I apparently have rc fire + car + death accident life")</f>
        <v>Very good customer price and availability. I have been in the Matmut for over 20 years I am very happy.
I apparently have rc fire + car + death accident life</v>
      </c>
    </row>
    <row r="54" ht="15.75" customHeight="1">
      <c r="A54" s="2">
        <v>1.0</v>
      </c>
      <c r="B54" s="2" t="s">
        <v>214</v>
      </c>
      <c r="C54" s="2" t="s">
        <v>215</v>
      </c>
      <c r="D54" s="2" t="s">
        <v>26</v>
      </c>
      <c r="E54" s="2" t="s">
        <v>21</v>
      </c>
      <c r="F54" s="2" t="s">
        <v>15</v>
      </c>
      <c r="G54" s="2" t="s">
        <v>216</v>
      </c>
      <c r="H54" s="2" t="s">
        <v>60</v>
      </c>
      <c r="I54" s="2" t="str">
        <f>IFERROR(__xludf.DUMMYFUNCTION("GOOGLETRANSLATE(C54,""fr"",""en"")"),"I trusted a broker who advised me this mutual, it was a big stupidity on my part.
Very long reimbursement, incompetent personal who is not attentive to the insured
No quote monitoring")</f>
        <v>I trusted a broker who advised me this mutual, it was a big stupidity on my part.
Very long reimbursement, incompetent personal who is not attentive to the insured
No quote monitoring</v>
      </c>
    </row>
    <row r="55" ht="15.75" customHeight="1">
      <c r="A55" s="2">
        <v>5.0</v>
      </c>
      <c r="B55" s="2" t="s">
        <v>217</v>
      </c>
      <c r="C55" s="2" t="s">
        <v>218</v>
      </c>
      <c r="D55" s="2" t="s">
        <v>128</v>
      </c>
      <c r="E55" s="2" t="s">
        <v>14</v>
      </c>
      <c r="F55" s="2" t="s">
        <v>15</v>
      </c>
      <c r="G55" s="2" t="s">
        <v>219</v>
      </c>
      <c r="H55" s="2" t="s">
        <v>184</v>
      </c>
      <c r="I55" s="2" t="str">
        <f>IFERROR(__xludf.DUMMYFUNCTION("GOOGLETRANSLATE(C55,""fr"",""en"")"),"The Matmut is for us. The best insurance. Car or Maison La Matmut really assures. Our house burned 8 years ago. And they were very responsive because very quickly relocated and compensated for our clothes and our house rebuilt better than before and quick"&amp;"ly compensated for everything
 Have been very faithful to our insurance and fortunately that were well assured because they had lost everything thank you thank you thank you for their professionalism
 Mr and Mrs Daguin
")</f>
        <v>The Matmut is for us. The best insurance. Car or Maison La Matmut really assures. Our house burned 8 years ago. And they were very responsive because very quickly relocated and compensated for our clothes and our house rebuilt better than before and quickly compensated for everything
 Have been very faithful to our insurance and fortunately that were well assured because they had lost everything thank you thank you thank you for their professionalism
 Mr and Mrs Daguin
</v>
      </c>
    </row>
    <row r="56" ht="15.75" customHeight="1">
      <c r="A56" s="2">
        <v>3.0</v>
      </c>
      <c r="B56" s="2" t="s">
        <v>220</v>
      </c>
      <c r="C56" s="2" t="s">
        <v>221</v>
      </c>
      <c r="D56" s="2" t="s">
        <v>222</v>
      </c>
      <c r="E56" s="2" t="s">
        <v>21</v>
      </c>
      <c r="F56" s="2" t="s">
        <v>15</v>
      </c>
      <c r="G56" s="2" t="s">
        <v>223</v>
      </c>
      <c r="H56" s="2" t="s">
        <v>122</v>
      </c>
      <c r="I56" s="2" t="str">
        <f>IFERROR(__xludf.DUMMYFUNCTION("GOOGLETRANSLATE(C56,""fr"",""en"")"),"Joining this mutual insurance company since 2014, I am satisfied by the services at the health reimbursement level, as well as by customer service.
The prices are very competitive at the market level.
Refunds are very fast.")</f>
        <v>Joining this mutual insurance company since 2014, I am satisfied by the services at the health reimbursement level, as well as by customer service.
The prices are very competitive at the market level.
Refunds are very fast.</v>
      </c>
    </row>
    <row r="57" ht="15.75" customHeight="1">
      <c r="A57" s="2">
        <v>5.0</v>
      </c>
      <c r="B57" s="2" t="s">
        <v>224</v>
      </c>
      <c r="C57" s="2" t="s">
        <v>225</v>
      </c>
      <c r="D57" s="2" t="s">
        <v>222</v>
      </c>
      <c r="E57" s="2" t="s">
        <v>21</v>
      </c>
      <c r="F57" s="2" t="s">
        <v>15</v>
      </c>
      <c r="G57" s="2" t="s">
        <v>226</v>
      </c>
      <c r="H57" s="2" t="s">
        <v>17</v>
      </c>
      <c r="I57" s="2" t="str">
        <f>IFERROR(__xludf.DUMMYFUNCTION("GOOGLETRANSLATE(C57,""fr"",""en"")"),"The Lamia insurer replied very effectively and very clearly to my various questions. I recommend.
I am satisfied with our exchanges.")</f>
        <v>The Lamia insurer replied very effectively and very clearly to my various questions. I recommend.
I am satisfied with our exchanges.</v>
      </c>
    </row>
    <row r="58" ht="15.75" customHeight="1">
      <c r="A58" s="2">
        <v>1.0</v>
      </c>
      <c r="B58" s="2" t="s">
        <v>227</v>
      </c>
      <c r="C58" s="2" t="s">
        <v>228</v>
      </c>
      <c r="D58" s="2" t="s">
        <v>229</v>
      </c>
      <c r="E58" s="2" t="s">
        <v>58</v>
      </c>
      <c r="F58" s="2" t="s">
        <v>15</v>
      </c>
      <c r="G58" s="2" t="s">
        <v>230</v>
      </c>
      <c r="H58" s="2" t="s">
        <v>162</v>
      </c>
      <c r="I58" s="2" t="str">
        <f>IFERROR(__xludf.DUMMYFUNCTION("GOOGLETRANSLATE(C58,""fr"",""en"")"),"Watch out for the contract subscription, unpleasant surprise at the end")</f>
        <v>Watch out for the contract subscription, unpleasant surprise at the end</v>
      </c>
    </row>
    <row r="59" ht="15.75" customHeight="1">
      <c r="A59" s="2">
        <v>2.0</v>
      </c>
      <c r="B59" s="2" t="s">
        <v>231</v>
      </c>
      <c r="C59" s="2" t="s">
        <v>232</v>
      </c>
      <c r="D59" s="2" t="s">
        <v>13</v>
      </c>
      <c r="E59" s="2" t="s">
        <v>14</v>
      </c>
      <c r="F59" s="2" t="s">
        <v>15</v>
      </c>
      <c r="G59" s="2" t="s">
        <v>233</v>
      </c>
      <c r="H59" s="2" t="s">
        <v>234</v>
      </c>
      <c r="I59" s="2" t="str">
        <f>IFERROR(__xludf.DUMMYFUNCTION("GOOGLETRANSLATE(C59,""fr"",""en"")"),"Customer service is catastrophic, they do not receive being not saying the recommended of termination, it has been 1 year since he takes me, it is a story of madness, I have another vehicle I solve at the end of the contract")</f>
        <v>Customer service is catastrophic, they do not receive being not saying the recommended of termination, it has been 1 year since he takes me, it is a story of madness, I have another vehicle I solve at the end of the contract</v>
      </c>
    </row>
    <row r="60" ht="15.75" customHeight="1">
      <c r="A60" s="2">
        <v>4.0</v>
      </c>
      <c r="B60" s="2" t="s">
        <v>235</v>
      </c>
      <c r="C60" s="2" t="s">
        <v>236</v>
      </c>
      <c r="D60" s="2" t="s">
        <v>31</v>
      </c>
      <c r="E60" s="2" t="s">
        <v>14</v>
      </c>
      <c r="F60" s="2" t="s">
        <v>15</v>
      </c>
      <c r="G60" s="2" t="s">
        <v>237</v>
      </c>
      <c r="H60" s="2" t="s">
        <v>54</v>
      </c>
      <c r="I60" s="2" t="str">
        <f>IFERROR(__xludf.DUMMYFUNCTION("GOOGLETRANSLATE(C60,""fr"",""en"")"),"Hello,
I am satisfied despite that I did not get 10% on my third contract.
Thank you for seeing this again.
Well to you.
Excellent day.
Tisserand Aicha
")</f>
        <v>Hello,
I am satisfied despite that I did not get 10% on my third contract.
Thank you for seeing this again.
Well to you.
Excellent day.
Tisserand Aicha
</v>
      </c>
    </row>
    <row r="61" ht="15.75" customHeight="1">
      <c r="A61" s="2">
        <v>5.0</v>
      </c>
      <c r="B61" s="2" t="s">
        <v>238</v>
      </c>
      <c r="C61" s="2" t="s">
        <v>239</v>
      </c>
      <c r="D61" s="2" t="s">
        <v>240</v>
      </c>
      <c r="E61" s="2" t="s">
        <v>241</v>
      </c>
      <c r="F61" s="2" t="s">
        <v>15</v>
      </c>
      <c r="G61" s="2" t="s">
        <v>242</v>
      </c>
      <c r="H61" s="2" t="s">
        <v>23</v>
      </c>
      <c r="I61" s="2" t="str">
        <f>IFERROR(__xludf.DUMMYFUNCTION("GOOGLETRANSLATE(C61,""fr"",""en"")"),"I am very satisfied with the services that have been offered to me. Responsive and competitive to see over time. I highly recommend. Having taken the internet steps I was perplexed. I do not regret")</f>
        <v>I am very satisfied with the services that have been offered to me. Responsive and competitive to see over time. I highly recommend. Having taken the internet steps I was perplexed. I do not regret</v>
      </c>
    </row>
    <row r="62" ht="15.75" customHeight="1">
      <c r="A62" s="2">
        <v>3.0</v>
      </c>
      <c r="B62" s="2" t="s">
        <v>243</v>
      </c>
      <c r="C62" s="2" t="s">
        <v>244</v>
      </c>
      <c r="D62" s="2" t="s">
        <v>31</v>
      </c>
      <c r="E62" s="2" t="s">
        <v>14</v>
      </c>
      <c r="F62" s="2" t="s">
        <v>15</v>
      </c>
      <c r="G62" s="2" t="s">
        <v>245</v>
      </c>
      <c r="H62" s="2" t="s">
        <v>50</v>
      </c>
      <c r="I62" s="2" t="str">
        <f>IFERROR(__xludf.DUMMYFUNCTION("GOOGLETRANSLATE(C62,""fr"",""en"")"),"I am satisfied with the price service and the advantages that I was offered simple and effective I have been able to answer my questions without problem I am very happy with my choice")</f>
        <v>I am satisfied with the price service and the advantages that I was offered simple and effective I have been able to answer my questions without problem I am very happy with my choice</v>
      </c>
    </row>
    <row r="63" ht="15.75" customHeight="1">
      <c r="A63" s="2">
        <v>1.0</v>
      </c>
      <c r="B63" s="2" t="s">
        <v>246</v>
      </c>
      <c r="C63" s="2" t="s">
        <v>247</v>
      </c>
      <c r="D63" s="2" t="s">
        <v>182</v>
      </c>
      <c r="E63" s="2" t="s">
        <v>14</v>
      </c>
      <c r="F63" s="2" t="s">
        <v>15</v>
      </c>
      <c r="G63" s="2" t="s">
        <v>248</v>
      </c>
      <c r="H63" s="2" t="s">
        <v>249</v>
      </c>
      <c r="I63" s="2" t="str">
        <f>IFERROR(__xludf.DUMMYFUNCTION("GOOGLETRANSLATE(C63,""fr"",""en"")"),"For a few days I have lived a nightmare with the AXA Insurance services following an accident for which I am not responsible")</f>
        <v>For a few days I have lived a nightmare with the AXA Insurance services following an accident for which I am not responsible</v>
      </c>
    </row>
    <row r="64" ht="15.75" customHeight="1">
      <c r="A64" s="2">
        <v>1.0</v>
      </c>
      <c r="B64" s="2" t="s">
        <v>250</v>
      </c>
      <c r="C64" s="2" t="s">
        <v>251</v>
      </c>
      <c r="D64" s="2" t="s">
        <v>252</v>
      </c>
      <c r="E64" s="2" t="s">
        <v>21</v>
      </c>
      <c r="F64" s="2" t="s">
        <v>15</v>
      </c>
      <c r="G64" s="2" t="s">
        <v>253</v>
      </c>
      <c r="H64" s="2" t="s">
        <v>81</v>
      </c>
      <c r="I64" s="2" t="str">
        <f>IFERROR(__xludf.DUMMYFUNCTION("GOOGLETRANSLATE(C64,""fr"",""en"")"),"It's been 3 years that I have been insured at Harmonie Mutuelle, first of all it is going great as long as you pay the most expensive option, you are in VIP, quick refund, supported the top, but be careful Day or switch to Basic optional or the cheapest, "&amp;"even worse in ACS, CMU, you no longer exist, after -sales service is too busy to answer you a minimum of 20m waiting, we talk to you badly, disturb you, we has no time for you, reimbursements you never see them in your life, I am more than 6 months of let"&amp;"ters and emails, phone blows, to accuse receipt for several reimbursements in the middle of COVID, they have they In no way fucking, no answer, merciless, I do not recommend this mutual if you could not afford the luxury option at home. Flee ........")</f>
        <v>It's been 3 years that I have been insured at Harmonie Mutuelle, first of all it is going great as long as you pay the most expensive option, you are in VIP, quick refund, supported the top, but be careful Day or switch to Basic optional or the cheapest, even worse in ACS, CMU, you no longer exist, after -sales service is too busy to answer you a minimum of 20m waiting, we talk to you badly, disturb you, we has no time for you, reimbursements you never see them in your life, I am more than 6 months of letters and emails, phone blows, to accuse receipt for several reimbursements in the middle of COVID, they have they In no way fucking, no answer, merciless, I do not recommend this mutual if you could not afford the luxury option at home. Flee ........</v>
      </c>
    </row>
    <row r="65" ht="15.75" customHeight="1">
      <c r="A65" s="2">
        <v>1.0</v>
      </c>
      <c r="B65" s="2" t="s">
        <v>254</v>
      </c>
      <c r="C65" s="2" t="s">
        <v>255</v>
      </c>
      <c r="D65" s="2" t="s">
        <v>256</v>
      </c>
      <c r="E65" s="2" t="s">
        <v>14</v>
      </c>
      <c r="F65" s="2" t="s">
        <v>15</v>
      </c>
      <c r="G65" s="2" t="s">
        <v>54</v>
      </c>
      <c r="H65" s="2" t="s">
        <v>54</v>
      </c>
      <c r="I65" s="2" t="str">
        <f>IFERROR(__xludf.DUMMYFUNCTION("GOOGLETRANSLATE(C65,""fr"",""en"")"),"I have never seen such incompetent insurance, I terminated my registered contract with acknowledgment of receipt 3 days after having taken out it and to date 15 months after I still expect my refund. The advisers never answer the same thing and take us fr"&amp;"om above. I really do not recommend this insurance in the event of a dispute It is a real hassle.")</f>
        <v>I have never seen such incompetent insurance, I terminated my registered contract with acknowledgment of receipt 3 days after having taken out it and to date 15 months after I still expect my refund. The advisers never answer the same thing and take us from above. I really do not recommend this insurance in the event of a dispute It is a real hassle.</v>
      </c>
    </row>
    <row r="66" ht="15.75" customHeight="1">
      <c r="A66" s="2">
        <v>1.0</v>
      </c>
      <c r="B66" s="2" t="s">
        <v>257</v>
      </c>
      <c r="C66" s="2" t="s">
        <v>258</v>
      </c>
      <c r="D66" s="2" t="s">
        <v>168</v>
      </c>
      <c r="E66" s="2" t="s">
        <v>14</v>
      </c>
      <c r="F66" s="2" t="s">
        <v>15</v>
      </c>
      <c r="G66" s="2" t="s">
        <v>259</v>
      </c>
      <c r="H66" s="2" t="s">
        <v>54</v>
      </c>
      <c r="I66" s="2" t="str">
        <f>IFERROR(__xludf.DUMMYFUNCTION("GOOGLETRANSLATE(C66,""fr"",""en"")"),"I have just been terminated without any notice no recommended I am the restaurateur I crossed the covid without any help from this insurance… They took them 1 and a half years to reimburse me 100 euros on a glass washing machine with a purchase value of 1"&amp;"395 euros efficient And cheap ...
Colleagues in food trades and bar we will take you more than 2000 euros per year and here I absolutely do not recommend
For the time being we are in October I am in litigation for an entire year but no longer insure do "&amp;"not count on them any response to emails no reminder when they tell you that they will ...
A if they know how to call you to tell you that you are late")</f>
        <v>I have just been terminated without any notice no recommended I am the restaurateur I crossed the covid without any help from this insurance… They took them 1 and a half years to reimburse me 100 euros on a glass washing machine with a purchase value of 1395 euros efficient And cheap ...
Colleagues in food trades and bar we will take you more than 2000 euros per year and here I absolutely do not recommend
For the time being we are in October I am in litigation for an entire year but no longer insure do not count on them any response to emails no reminder when they tell you that they will ...
A if they know how to call you to tell you that you are late</v>
      </c>
    </row>
    <row r="67" ht="15.75" customHeight="1">
      <c r="A67" s="2">
        <v>5.0</v>
      </c>
      <c r="B67" s="2" t="s">
        <v>260</v>
      </c>
      <c r="C67" s="2" t="s">
        <v>261</v>
      </c>
      <c r="D67" s="2" t="s">
        <v>13</v>
      </c>
      <c r="E67" s="2" t="s">
        <v>14</v>
      </c>
      <c r="F67" s="2" t="s">
        <v>15</v>
      </c>
      <c r="G67" s="2" t="s">
        <v>262</v>
      </c>
      <c r="H67" s="2" t="s">
        <v>17</v>
      </c>
      <c r="I67" s="2" t="str">
        <f>IFERROR(__xludf.DUMMYFUNCTION("GOOGLETRANSLATE(C67,""fr"",""en"")"),"I am satisfied with the price of the quote, the online quote system is practical and fast, the telephone management was effective.
I will recommend")</f>
        <v>I am satisfied with the price of the quote, the online quote system is practical and fast, the telephone management was effective.
I will recommend</v>
      </c>
    </row>
    <row r="68" ht="15.75" customHeight="1">
      <c r="A68" s="2">
        <v>4.0</v>
      </c>
      <c r="B68" s="2" t="s">
        <v>263</v>
      </c>
      <c r="C68" s="2" t="s">
        <v>264</v>
      </c>
      <c r="D68" s="2" t="s">
        <v>13</v>
      </c>
      <c r="E68" s="2" t="s">
        <v>14</v>
      </c>
      <c r="F68" s="2" t="s">
        <v>15</v>
      </c>
      <c r="G68" s="2" t="s">
        <v>265</v>
      </c>
      <c r="H68" s="2" t="s">
        <v>60</v>
      </c>
      <c r="I68" s="2" t="str">
        <f>IFERROR(__xludf.DUMMYFUNCTION("GOOGLETRANSLATE(C68,""fr"",""en"")"),"- Ease of subscription online
- attractive price hoping that the guarantees are up to the task
- Termination with the old insurer supported
")</f>
        <v>- Ease of subscription online
- attractive price hoping that the guarantees are up to the task
- Termination with the old insurer supported
</v>
      </c>
    </row>
    <row r="69" ht="15.75" customHeight="1">
      <c r="A69" s="2">
        <v>1.0</v>
      </c>
      <c r="B69" s="2" t="s">
        <v>266</v>
      </c>
      <c r="C69" s="2" t="s">
        <v>267</v>
      </c>
      <c r="D69" s="2" t="s">
        <v>13</v>
      </c>
      <c r="E69" s="2" t="s">
        <v>14</v>
      </c>
      <c r="F69" s="2" t="s">
        <v>15</v>
      </c>
      <c r="G69" s="2" t="s">
        <v>268</v>
      </c>
      <c r="H69" s="2" t="s">
        <v>17</v>
      </c>
      <c r="I69" s="2" t="str">
        <f>IFERROR(__xludf.DUMMYFUNCTION("GOOGLETRANSLATE(C69,""fr"",""en"")"),"I am not satisfied because the price of ""assistance 0 km"" options is overpriced, you are a subsidiary AXA, put yourself in terms of level! On the price of car insurance, despite a 0.8 penalty, I found cheaper at AXA .... lol!")</f>
        <v>I am not satisfied because the price of "assistance 0 km" options is overpriced, you are a subsidiary AXA, put yourself in terms of level! On the price of car insurance, despite a 0.8 penalty, I found cheaper at AXA .... lol!</v>
      </c>
    </row>
    <row r="70" ht="15.75" customHeight="1">
      <c r="A70" s="2">
        <v>2.0</v>
      </c>
      <c r="B70" s="2" t="s">
        <v>269</v>
      </c>
      <c r="C70" s="2" t="s">
        <v>270</v>
      </c>
      <c r="D70" s="2" t="s">
        <v>31</v>
      </c>
      <c r="E70" s="2" t="s">
        <v>14</v>
      </c>
      <c r="F70" s="2" t="s">
        <v>15</v>
      </c>
      <c r="G70" s="2" t="s">
        <v>271</v>
      </c>
      <c r="H70" s="2" t="s">
        <v>170</v>
      </c>
      <c r="I70" s="2" t="str">
        <f>IFERROR(__xludf.DUMMYFUNCTION("GOOGLETRANSLATE(C70,""fr"",""en"")"),"After having made a quote and put a start date the day after my purchase, I received a rectification of the amount of my insurance subscription of 14Pourcent and 15euro of administrative expenses ... on my side in 1 year bye bye, I may try to discuss this"&amp;" subject, I am referred to this justification.")</f>
        <v>After having made a quote and put a start date the day after my purchase, I received a rectification of the amount of my insurance subscription of 14Pourcent and 15euro of administrative expenses ... on my side in 1 year bye bye, I may try to discuss this subject, I am referred to this justification.</v>
      </c>
    </row>
    <row r="71" ht="15.75" customHeight="1">
      <c r="A71" s="2">
        <v>5.0</v>
      </c>
      <c r="B71" s="2" t="s">
        <v>272</v>
      </c>
      <c r="C71" s="2" t="s">
        <v>273</v>
      </c>
      <c r="D71" s="2" t="s">
        <v>13</v>
      </c>
      <c r="E71" s="2" t="s">
        <v>14</v>
      </c>
      <c r="F71" s="2" t="s">
        <v>15</v>
      </c>
      <c r="G71" s="2" t="s">
        <v>274</v>
      </c>
      <c r="H71" s="2" t="s">
        <v>50</v>
      </c>
      <c r="I71" s="2" t="str">
        <f>IFERROR(__xludf.DUMMYFUNCTION("GOOGLETRANSLATE(C71,""fr"",""en"")"),"Fast and practical.
I came to the site to see a price (for a new vehicle) and I even insure it in stride! So impeccable, fully satisfied with my price and the speed of management (immediate warranty)")</f>
        <v>Fast and practical.
I came to the site to see a price (for a new vehicle) and I even insure it in stride! So impeccable, fully satisfied with my price and the speed of management (immediate warranty)</v>
      </c>
    </row>
    <row r="72" ht="15.75" customHeight="1">
      <c r="A72" s="2">
        <v>5.0</v>
      </c>
      <c r="B72" s="2" t="s">
        <v>275</v>
      </c>
      <c r="C72" s="2" t="s">
        <v>276</v>
      </c>
      <c r="D72" s="2" t="s">
        <v>74</v>
      </c>
      <c r="E72" s="2" t="s">
        <v>58</v>
      </c>
      <c r="F72" s="2" t="s">
        <v>15</v>
      </c>
      <c r="G72" s="2" t="s">
        <v>277</v>
      </c>
      <c r="H72" s="2" t="s">
        <v>76</v>
      </c>
      <c r="I72" s="2" t="str">
        <f>IFERROR(__xludf.DUMMYFUNCTION("GOOGLETRANSLATE(C72,""fr"",""en"")"),"Perfect very fast and easy to do I recommend
I found April Motorcycle by Internet but I am not disappointed with the ease of subscription
Thank you")</f>
        <v>Perfect very fast and easy to do I recommend
I found April Motorcycle by Internet but I am not disappointed with the ease of subscription
Thank you</v>
      </c>
    </row>
    <row r="73" ht="15.75" customHeight="1">
      <c r="A73" s="2">
        <v>4.0</v>
      </c>
      <c r="B73" s="2" t="s">
        <v>278</v>
      </c>
      <c r="C73" s="2" t="s">
        <v>279</v>
      </c>
      <c r="D73" s="2" t="s">
        <v>13</v>
      </c>
      <c r="E73" s="2" t="s">
        <v>14</v>
      </c>
      <c r="F73" s="2" t="s">
        <v>15</v>
      </c>
      <c r="G73" s="2" t="s">
        <v>179</v>
      </c>
      <c r="H73" s="2" t="s">
        <v>50</v>
      </c>
      <c r="I73" s="2" t="str">
        <f>IFERROR(__xludf.DUMMYFUNCTION("GOOGLETRANSLATE(C73,""fr"",""en"")"),"I am satisfied with the service and the speed of service. Being already a customer at Direct Insurance I highly recommend for his seriousness and his professionalism")</f>
        <v>I am satisfied with the service and the speed of service. Being already a customer at Direct Insurance I highly recommend for his seriousness and his professionalism</v>
      </c>
    </row>
    <row r="74" ht="15.75" customHeight="1">
      <c r="A74" s="2">
        <v>1.0</v>
      </c>
      <c r="B74" s="2" t="s">
        <v>280</v>
      </c>
      <c r="C74" s="2" t="s">
        <v>281</v>
      </c>
      <c r="D74" s="2" t="s">
        <v>84</v>
      </c>
      <c r="E74" s="2" t="s">
        <v>103</v>
      </c>
      <c r="F74" s="2" t="s">
        <v>15</v>
      </c>
      <c r="G74" s="2" t="s">
        <v>282</v>
      </c>
      <c r="H74" s="2" t="s">
        <v>93</v>
      </c>
      <c r="I74" s="2" t="str">
        <f>IFERROR(__xludf.DUMMYFUNCTION("GOOGLETRANSLATE(C74,""fr"",""en"")"),"I have just been assisted for expertise following a work damage I am very disappointed with the continuation of the expertise. No means of direct communication with the advisor and the expert they claim that the case is classified as it is that I declared"&amp;" the end of the work ??? They used a sentence on a question that had been asked about the installation of an accessory. I received the report two months later and I forget about it")</f>
        <v>I have just been assisted for expertise following a work damage I am very disappointed with the continuation of the expertise. No means of direct communication with the advisor and the expert they claim that the case is classified as it is that I declared the end of the work ??? They used a sentence on a question that had been asked about the installation of an accessory. I received the report two months later and I forget about it</v>
      </c>
    </row>
    <row r="75" ht="15.75" customHeight="1">
      <c r="A75" s="2">
        <v>1.0</v>
      </c>
      <c r="B75" s="2" t="s">
        <v>283</v>
      </c>
      <c r="C75" s="2" t="s">
        <v>284</v>
      </c>
      <c r="D75" s="2" t="s">
        <v>157</v>
      </c>
      <c r="E75" s="2" t="s">
        <v>21</v>
      </c>
      <c r="F75" s="2" t="s">
        <v>15</v>
      </c>
      <c r="G75" s="2" t="s">
        <v>285</v>
      </c>
      <c r="H75" s="2" t="s">
        <v>39</v>
      </c>
      <c r="I75" s="2" t="str">
        <f>IFERROR(__xludf.DUMMYFUNCTION("GOOGLETRANSLATE(C75,""fr"",""en"")"),"Flee this mutual !!!! Mediocre, a total disaster, interlocutors of the worst, when they do not know how to answer it they hang up on the nose.
An inflicting service, their latest novelty they do not allow teletransmission on two social security issues. B"&amp;"ig whatever !!!!!!!")</f>
        <v>Flee this mutual !!!! Mediocre, a total disaster, interlocutors of the worst, when they do not know how to answer it they hang up on the nose.
An inflicting service, their latest novelty they do not allow teletransmission on two social security issues. Big whatever !!!!!!!</v>
      </c>
    </row>
    <row r="76" ht="15.75" customHeight="1">
      <c r="A76" s="2">
        <v>5.0</v>
      </c>
      <c r="B76" s="2" t="s">
        <v>286</v>
      </c>
      <c r="C76" s="2" t="s">
        <v>287</v>
      </c>
      <c r="D76" s="2" t="s">
        <v>288</v>
      </c>
      <c r="E76" s="2" t="s">
        <v>58</v>
      </c>
      <c r="F76" s="2" t="s">
        <v>15</v>
      </c>
      <c r="G76" s="2" t="s">
        <v>289</v>
      </c>
      <c r="H76" s="2" t="s">
        <v>290</v>
      </c>
      <c r="I76" s="2" t="str">
        <f>IFERROR(__xludf.DUMMYFUNCTION("GOOGLETRANSLATE(C76,""fr"",""en"")"),"Top insurance, top claim, content compared to AMV all rotten.
I think I ensure other motorcycle
Compared to other insurances, they respond to the phone during confinement and after")</f>
        <v>Top insurance, top claim, content compared to AMV all rotten.
I think I ensure other motorcycle
Compared to other insurances, they respond to the phone during confinement and after</v>
      </c>
    </row>
    <row r="77" ht="15.75" customHeight="1">
      <c r="A77" s="2">
        <v>1.0</v>
      </c>
      <c r="B77" s="2" t="s">
        <v>291</v>
      </c>
      <c r="C77" s="2" t="s">
        <v>292</v>
      </c>
      <c r="D77" s="2" t="s">
        <v>293</v>
      </c>
      <c r="E77" s="2" t="s">
        <v>14</v>
      </c>
      <c r="F77" s="2" t="s">
        <v>15</v>
      </c>
      <c r="G77" s="2" t="s">
        <v>294</v>
      </c>
      <c r="H77" s="2" t="s">
        <v>295</v>
      </c>
      <c r="I77" s="2" t="str">
        <f>IFERROR(__xludf.DUMMYFUNCTION("GOOGLETRANSLATE(C77,""fr"",""en"")"),"I have been a customer for a year and believed me I do not wish you it puts rejection costs on a payment method by check wishes you to pay online on the website it checks for you the current receipt and the next result had to pay two receipts
You are wai"&amp;"ting for your receipt your green card your renewal proposal you can always wait you will only receive the letters from a no customer
You wish you explanation or information you must pay your communication but you will never have a clear answer understand"&amp;"able and well formulated
")</f>
        <v>I have been a customer for a year and believed me I do not wish you it puts rejection costs on a payment method by check wishes you to pay online on the website it checks for you the current receipt and the next result had to pay two receipts
You are waiting for your receipt your green card your renewal proposal you can always wait you will only receive the letters from a no customer
You wish you explanation or information you must pay your communication but you will never have a clear answer understandable and well formulated
</v>
      </c>
    </row>
    <row r="78" ht="15.75" customHeight="1">
      <c r="A78" s="2">
        <v>1.0</v>
      </c>
      <c r="B78" s="2" t="s">
        <v>296</v>
      </c>
      <c r="C78" s="2" t="s">
        <v>297</v>
      </c>
      <c r="D78" s="2" t="s">
        <v>13</v>
      </c>
      <c r="E78" s="2" t="s">
        <v>14</v>
      </c>
      <c r="F78" s="2" t="s">
        <v>15</v>
      </c>
      <c r="G78" s="2" t="s">
        <v>298</v>
      </c>
      <c r="H78" s="2" t="s">
        <v>234</v>
      </c>
      <c r="I78" s="2" t="str">
        <f>IFERROR(__xludf.DUMMYFUNCTION("GOOGLETRANSLATE(C78,""fr"",""en"")"),"Former customer who left this insurance when my car stopped living! This is the style of insurance where everything is fine when you have no problem. The day you have a glitch, it gets complicated.")</f>
        <v>Former customer who left this insurance when my car stopped living! This is the style of insurance where everything is fine when you have no problem. The day you have a glitch, it gets complicated.</v>
      </c>
    </row>
    <row r="79" ht="15.75" customHeight="1">
      <c r="A79" s="2">
        <v>5.0</v>
      </c>
      <c r="B79" s="2" t="s">
        <v>299</v>
      </c>
      <c r="C79" s="2" t="s">
        <v>300</v>
      </c>
      <c r="D79" s="2" t="s">
        <v>31</v>
      </c>
      <c r="E79" s="2" t="s">
        <v>14</v>
      </c>
      <c r="F79" s="2" t="s">
        <v>15</v>
      </c>
      <c r="G79" s="2" t="s">
        <v>301</v>
      </c>
      <c r="H79" s="2" t="s">
        <v>39</v>
      </c>
      <c r="I79" s="2" t="str">
        <f>IFERROR(__xludf.DUMMYFUNCTION("GOOGLETRANSLATE(C79,""fr"",""en"")"),"A simple quote to establish online. An advisor available and attentive to check and adjust. Good value for money for a young driver.")</f>
        <v>A simple quote to establish online. An advisor available and attentive to check and adjust. Good value for money for a young driver.</v>
      </c>
    </row>
    <row r="80" ht="15.75" customHeight="1">
      <c r="A80" s="2">
        <v>2.0</v>
      </c>
      <c r="B80" s="2" t="s">
        <v>302</v>
      </c>
      <c r="C80" s="2" t="s">
        <v>303</v>
      </c>
      <c r="D80" s="2" t="s">
        <v>304</v>
      </c>
      <c r="E80" s="2" t="s">
        <v>58</v>
      </c>
      <c r="F80" s="2" t="s">
        <v>15</v>
      </c>
      <c r="G80" s="2" t="s">
        <v>305</v>
      </c>
      <c r="H80" s="2" t="s">
        <v>306</v>
      </c>
      <c r="I80" s="2" t="str">
        <f>IFERROR(__xludf.DUMMYFUNCTION("GOOGLETRANSLATE(C80,""fr"",""en"")"),"Hello, Pleasant to have a local representation in Cannes, even if indeed to resume another comment, it is very kind but not very reachable by phone, please maintain this antenna. Biker without any accident for more than 30 years, this year 2020 The price "&amp;"of my two old vehicles (scooter &amp; motorcycle) has increased significantly (the MA's seat kindly gives me a formatted response of cyclical reason, analysis of analysis statistics etc.)
In addition, the AMM seems to have changed a supplier of insurance sti"&amp;"ckers or decided to save ink? Because my two vignettes are very well printed but the printed characters so small and fine that they are not very readable, then in the event of control and/or after a few months of exposure to bad weather…. Cdt")</f>
        <v>Hello, Pleasant to have a local representation in Cannes, even if indeed to resume another comment, it is very kind but not very reachable by phone, please maintain this antenna. Biker without any accident for more than 30 years, this year 2020 The price of my two old vehicles (scooter &amp; motorcycle) has increased significantly (the MA's seat kindly gives me a formatted response of cyclical reason, analysis of analysis statistics etc.)
In addition, the AMM seems to have changed a supplier of insurance stickers or decided to save ink? Because my two vignettes are very well printed but the printed characters so small and fine that they are not very readable, then in the event of control and/or after a few months of exposure to bad weather…. Cdt</v>
      </c>
    </row>
    <row r="81" ht="15.75" customHeight="1">
      <c r="A81" s="2">
        <v>2.0</v>
      </c>
      <c r="B81" s="2" t="s">
        <v>307</v>
      </c>
      <c r="C81" s="2" t="s">
        <v>308</v>
      </c>
      <c r="D81" s="2" t="s">
        <v>13</v>
      </c>
      <c r="E81" s="2" t="s">
        <v>14</v>
      </c>
      <c r="F81" s="2" t="s">
        <v>15</v>
      </c>
      <c r="G81" s="2" t="s">
        <v>309</v>
      </c>
      <c r="H81" s="2" t="s">
        <v>33</v>
      </c>
      <c r="I81" s="2" t="str">
        <f>IFERROR(__xludf.DUMMYFUNCTION("GOOGLETRANSLATE(C81,""fr"",""en"")"),"I am not satisfied because I have no laptop and I could not finalize my contract directly with the advisor. He asked me 1 sms. So tell me how to do it when you have no profile.")</f>
        <v>I am not satisfied because I have no laptop and I could not finalize my contract directly with the advisor. He asked me 1 sms. So tell me how to do it when you have no profile.</v>
      </c>
    </row>
    <row r="82" ht="15.75" customHeight="1">
      <c r="A82" s="2">
        <v>2.0</v>
      </c>
      <c r="B82" s="2" t="s">
        <v>310</v>
      </c>
      <c r="C82" s="2" t="s">
        <v>311</v>
      </c>
      <c r="D82" s="2" t="s">
        <v>256</v>
      </c>
      <c r="E82" s="2" t="s">
        <v>14</v>
      </c>
      <c r="F82" s="2" t="s">
        <v>15</v>
      </c>
      <c r="G82" s="2" t="s">
        <v>312</v>
      </c>
      <c r="H82" s="2" t="s">
        <v>313</v>
      </c>
      <c r="I82" s="2" t="str">
        <f>IFERROR(__xludf.DUMMYFUNCTION("GOOGLETRANSLATE(C82,""fr"",""en"")"),"I strongly advise against Allianz as an insurer; Indeed, at the time of subscription, they took me three months in advance, and for a fallacious reason, not specified during the subscription, namely, an uninterrupted 36 -month requirement of previous insu"&amp;"rance, they terminated The contract a month later, by doing the lowest on my two other months already paid, on the grounds that it would be ""non -refundable"", when it was a premium advance, and not a deposit; We are currently in litigation, having requi"&amp;"red the reimbursement of the two unused months of insurance premium; Such actions are neither more, nor less, than attempts at illicit enrichment, inadmissible on the part of a company of such renown")</f>
        <v>I strongly advise against Allianz as an insurer; Indeed, at the time of subscription, they took me three months in advance, and for a fallacious reason, not specified during the subscription, namely, an uninterrupted 36 -month requirement of previous insurance, they terminated The contract a month later, by doing the lowest on my two other months already paid, on the grounds that it would be "non -refundable", when it was a premium advance, and not a deposit; We are currently in litigation, having required the reimbursement of the two unused months of insurance premium; Such actions are neither more, nor less, than attempts at illicit enrichment, inadmissible on the part of a company of such renown</v>
      </c>
    </row>
    <row r="83" ht="15.75" customHeight="1">
      <c r="A83" s="2">
        <v>2.0</v>
      </c>
      <c r="B83" s="2" t="s">
        <v>314</v>
      </c>
      <c r="C83" s="2" t="s">
        <v>315</v>
      </c>
      <c r="D83" s="2" t="s">
        <v>316</v>
      </c>
      <c r="E83" s="2" t="s">
        <v>317</v>
      </c>
      <c r="F83" s="2" t="s">
        <v>15</v>
      </c>
      <c r="G83" s="2" t="s">
        <v>318</v>
      </c>
      <c r="H83" s="2" t="s">
        <v>60</v>
      </c>
      <c r="I83" s="2" t="str">
        <f>IFERROR(__xludf.DUMMYFUNCTION("GOOGLETRANSLATE(C83,""fr"",""en"")"),"They are never reachable, no but allo no interlocutor!
Must think of recruiting or settling down ....
lamentable! No advice, in short I don't recommend at all")</f>
        <v>They are never reachable, no but allo no interlocutor!
Must think of recruiting or settling down ....
lamentable! No advice, in short I don't recommend at all</v>
      </c>
    </row>
    <row r="84" ht="15.75" customHeight="1">
      <c r="A84" s="2">
        <v>1.0</v>
      </c>
      <c r="B84" s="2" t="s">
        <v>319</v>
      </c>
      <c r="C84" s="2" t="s">
        <v>320</v>
      </c>
      <c r="D84" s="2" t="s">
        <v>13</v>
      </c>
      <c r="E84" s="2" t="s">
        <v>14</v>
      </c>
      <c r="F84" s="2" t="s">
        <v>15</v>
      </c>
      <c r="G84" s="2" t="s">
        <v>321</v>
      </c>
      <c r="H84" s="2" t="s">
        <v>39</v>
      </c>
      <c r="I84" s="2" t="str">
        <f>IFERROR(__xludf.DUMMYFUNCTION("GOOGLETRANSLATE(C84,""fr"",""en"")"),"Overview of our accidentology ... 736.44 € per year for a 2011 5008, any risk.
We will change insurance very soon ...")</f>
        <v>Overview of our accidentology ... 736.44 € per year for a 2011 5008, any risk.
We will change insurance very soon ...</v>
      </c>
    </row>
    <row r="85" ht="15.75" customHeight="1">
      <c r="A85" s="2">
        <v>1.0</v>
      </c>
      <c r="B85" s="2" t="s">
        <v>322</v>
      </c>
      <c r="C85" s="2" t="s">
        <v>323</v>
      </c>
      <c r="D85" s="2" t="s">
        <v>324</v>
      </c>
      <c r="E85" s="2" t="s">
        <v>103</v>
      </c>
      <c r="F85" s="2" t="s">
        <v>15</v>
      </c>
      <c r="G85" s="2" t="s">
        <v>325</v>
      </c>
      <c r="H85" s="2" t="s">
        <v>60</v>
      </c>
      <c r="I85" s="2" t="str">
        <f>IFERROR(__xludf.DUMMYFUNCTION("GOOGLETRANSLATE(C85,""fr"",""en"")"),"Very efficient insurance to carry out the levy of the contributions.
Always as efficient not to repay a covered loss.
Insurance to flee absolutely.
I put 1 star because it is not possible to put Zero on the satisfaction part.")</f>
        <v>Very efficient insurance to carry out the levy of the contributions.
Always as efficient not to repay a covered loss.
Insurance to flee absolutely.
I put 1 star because it is not possible to put Zero on the satisfaction part.</v>
      </c>
    </row>
    <row r="86" ht="15.75" customHeight="1">
      <c r="A86" s="2">
        <v>5.0</v>
      </c>
      <c r="B86" s="2" t="s">
        <v>326</v>
      </c>
      <c r="C86" s="2" t="s">
        <v>327</v>
      </c>
      <c r="D86" s="2" t="s">
        <v>13</v>
      </c>
      <c r="E86" s="2" t="s">
        <v>14</v>
      </c>
      <c r="F86" s="2" t="s">
        <v>15</v>
      </c>
      <c r="G86" s="2" t="s">
        <v>328</v>
      </c>
      <c r="H86" s="2" t="s">
        <v>60</v>
      </c>
      <c r="I86" s="2" t="str">
        <f>IFERROR(__xludf.DUMMYFUNCTION("GOOGLETRANSLATE(C86,""fr"",""en"")"),"Perfect service and service. Since the time I heard about this insurance I finally get started. Everything is online it's much simpler and practical")</f>
        <v>Perfect service and service. Since the time I heard about this insurance I finally get started. Everything is online it's much simpler and practical</v>
      </c>
    </row>
    <row r="87" ht="15.75" customHeight="1">
      <c r="A87" s="2">
        <v>4.0</v>
      </c>
      <c r="B87" s="2" t="s">
        <v>329</v>
      </c>
      <c r="C87" s="2" t="s">
        <v>330</v>
      </c>
      <c r="D87" s="2" t="s">
        <v>31</v>
      </c>
      <c r="E87" s="2" t="s">
        <v>14</v>
      </c>
      <c r="F87" s="2" t="s">
        <v>15</v>
      </c>
      <c r="G87" s="2" t="s">
        <v>331</v>
      </c>
      <c r="H87" s="2" t="s">
        <v>39</v>
      </c>
      <c r="I87" s="2" t="str">
        <f>IFERROR(__xludf.DUMMYFUNCTION("GOOGLETRANSLATE(C87,""fr"",""en"")"),"Very good listening and agent with good information to facilitate the choices. The prices are correct the franchise broken ice fairly high for my taste.")</f>
        <v>Very good listening and agent with good information to facilitate the choices. The prices are correct the franchise broken ice fairly high for my taste.</v>
      </c>
    </row>
    <row r="88" ht="15.75" customHeight="1">
      <c r="A88" s="2">
        <v>2.0</v>
      </c>
      <c r="B88" s="2" t="s">
        <v>332</v>
      </c>
      <c r="C88" s="2" t="s">
        <v>333</v>
      </c>
      <c r="D88" s="2" t="s">
        <v>117</v>
      </c>
      <c r="E88" s="2" t="s">
        <v>14</v>
      </c>
      <c r="F88" s="2" t="s">
        <v>15</v>
      </c>
      <c r="G88" s="2" t="s">
        <v>141</v>
      </c>
      <c r="H88" s="2" t="s">
        <v>142</v>
      </c>
      <c r="I88" s="2" t="str">
        <f>IFERROR(__xludf.DUMMYFUNCTION("GOOGLETRANSLATE(C88,""fr"",""en"")"),"Disappointed with the care of my self -loss - GMF this mock of its customers - 2 months of processing and the file does not advance - you are not considering and your good faith has no values ​​for them - insurance to flee")</f>
        <v>Disappointed with the care of my self -loss - GMF this mock of its customers - 2 months of processing and the file does not advance - you are not considering and your good faith has no values ​​for them - insurance to flee</v>
      </c>
    </row>
    <row r="89" ht="15.75" customHeight="1">
      <c r="A89" s="2">
        <v>1.0</v>
      </c>
      <c r="B89" s="2" t="s">
        <v>334</v>
      </c>
      <c r="C89" s="2" t="s">
        <v>335</v>
      </c>
      <c r="D89" s="2" t="s">
        <v>13</v>
      </c>
      <c r="E89" s="2" t="s">
        <v>14</v>
      </c>
      <c r="F89" s="2" t="s">
        <v>15</v>
      </c>
      <c r="G89" s="2" t="s">
        <v>336</v>
      </c>
      <c r="H89" s="2" t="s">
        <v>23</v>
      </c>
      <c r="I89" s="2" t="str">
        <f>IFERROR(__xludf.DUMMYFUNCTION("GOOGLETRANSLATE(C89,""fr"",""en"")"),"Strongly not recommended, I paid 150th a month for two years for insurance all risk and they are not even able to take care of a windshield crack.
No complaint service, no expert, ceilings out of nowhere.")</f>
        <v>Strongly not recommended, I paid 150th a month for two years for insurance all risk and they are not even able to take care of a windshield crack.
No complaint service, no expert, ceilings out of nowhere.</v>
      </c>
    </row>
    <row r="90" ht="15.75" customHeight="1">
      <c r="A90" s="2">
        <v>5.0</v>
      </c>
      <c r="B90" s="2" t="s">
        <v>337</v>
      </c>
      <c r="C90" s="2" t="s">
        <v>338</v>
      </c>
      <c r="D90" s="2" t="s">
        <v>31</v>
      </c>
      <c r="E90" s="2" t="s">
        <v>14</v>
      </c>
      <c r="F90" s="2" t="s">
        <v>15</v>
      </c>
      <c r="G90" s="2" t="s">
        <v>339</v>
      </c>
      <c r="H90" s="2" t="s">
        <v>50</v>
      </c>
      <c r="I90" s="2" t="str">
        <f>IFERROR(__xludf.DUMMYFUNCTION("GOOGLETRANSLATE(C90,""fr"",""en"")")," I am satisfied with the steps taken in my new insurance, I find it a good value for money. The telephone service is impeccable is impeccable.")</f>
        <v> I am satisfied with the steps taken in my new insurance, I find it a good value for money. The telephone service is impeccable is impeccable.</v>
      </c>
    </row>
    <row r="91" ht="15.75" customHeight="1">
      <c r="A91" s="2">
        <v>3.0</v>
      </c>
      <c r="B91" s="2" t="s">
        <v>340</v>
      </c>
      <c r="C91" s="2" t="s">
        <v>341</v>
      </c>
      <c r="D91" s="2" t="s">
        <v>84</v>
      </c>
      <c r="E91" s="2" t="s">
        <v>14</v>
      </c>
      <c r="F91" s="2" t="s">
        <v>15</v>
      </c>
      <c r="G91" s="2" t="s">
        <v>342</v>
      </c>
      <c r="H91" s="2" t="s">
        <v>184</v>
      </c>
      <c r="I91" s="2" t="str">
        <f>IFERROR(__xludf.DUMMYFUNCTION("GOOGLETRANSLATE(C91,""fr"",""en"")"),"I have several insurance at the Macif. Regarding L (Housing and my quad after research they are in the nails. Regarding vehicles they are in the average forks of other insurers")</f>
        <v>I have several insurance at the Macif. Regarding L (Housing and my quad after research they are in the nails. Regarding vehicles they are in the average forks of other insurers</v>
      </c>
    </row>
    <row r="92" ht="15.75" customHeight="1">
      <c r="A92" s="2">
        <v>5.0</v>
      </c>
      <c r="B92" s="2" t="s">
        <v>343</v>
      </c>
      <c r="C92" s="2" t="s">
        <v>344</v>
      </c>
      <c r="D92" s="2" t="s">
        <v>13</v>
      </c>
      <c r="E92" s="2" t="s">
        <v>14</v>
      </c>
      <c r="F92" s="2" t="s">
        <v>15</v>
      </c>
      <c r="G92" s="2" t="s">
        <v>63</v>
      </c>
      <c r="H92" s="2" t="s">
        <v>50</v>
      </c>
      <c r="I92" s="2" t="str">
        <f>IFERROR(__xludf.DUMMYFUNCTION("GOOGLETRANSLATE(C92,""fr"",""en"")"),"Interesting price not tro dear and quick easy to subscribe. Assess quickly and reasonable price. I have told me about direct insurance and I did well to listen to the advice")</f>
        <v>Interesting price not tro dear and quick easy to subscribe. Assess quickly and reasonable price. I have told me about direct insurance and I did well to listen to the advice</v>
      </c>
    </row>
    <row r="93" ht="15.75" customHeight="1">
      <c r="A93" s="2">
        <v>2.0</v>
      </c>
      <c r="B93" s="2" t="s">
        <v>345</v>
      </c>
      <c r="C93" s="2" t="s">
        <v>346</v>
      </c>
      <c r="D93" s="2" t="s">
        <v>13</v>
      </c>
      <c r="E93" s="2" t="s">
        <v>14</v>
      </c>
      <c r="F93" s="2" t="s">
        <v>15</v>
      </c>
      <c r="G93" s="2" t="s">
        <v>75</v>
      </c>
      <c r="H93" s="2" t="s">
        <v>76</v>
      </c>
      <c r="I93" s="2" t="str">
        <f>IFERROR(__xludf.DUMMYFUNCTION("GOOGLETRANSLATE(C93,""fr"",""en"")"),"Before I was satisfied but now that my car is old Directassurrance does not help. The contracts do not always correspond to the circumstances. I feel like I was abandoned by the insurer :(")</f>
        <v>Before I was satisfied but now that my car is old Directassurrance does not help. The contracts do not always correspond to the circumstances. I feel like I was abandoned by the insurer :(</v>
      </c>
    </row>
    <row r="94" ht="15.75" customHeight="1">
      <c r="A94" s="2">
        <v>3.0</v>
      </c>
      <c r="B94" s="2" t="s">
        <v>347</v>
      </c>
      <c r="C94" s="2" t="s">
        <v>348</v>
      </c>
      <c r="D94" s="2" t="s">
        <v>26</v>
      </c>
      <c r="E94" s="2" t="s">
        <v>21</v>
      </c>
      <c r="F94" s="2" t="s">
        <v>15</v>
      </c>
      <c r="G94" s="2" t="s">
        <v>349</v>
      </c>
      <c r="H94" s="2" t="s">
        <v>194</v>
      </c>
      <c r="I94" s="2" t="str">
        <f>IFERROR(__xludf.DUMMYFUNCTION("GOOGLETRANSLATE(C94,""fr"",""en"")"),"Quick reimbursements, I did not make any advances in the hip operation. I did not know them but I was really very pleasantly surprised. They are serious and for the moment no bp ... I recommend it.")</f>
        <v>Quick reimbursements, I did not make any advances in the hip operation. I did not know them but I was really very pleasantly surprised. They are serious and for the moment no bp ... I recommend it.</v>
      </c>
    </row>
    <row r="95" ht="15.75" customHeight="1">
      <c r="A95" s="2">
        <v>2.0</v>
      </c>
      <c r="B95" s="2" t="s">
        <v>350</v>
      </c>
      <c r="C95" s="2" t="s">
        <v>351</v>
      </c>
      <c r="D95" s="2" t="s">
        <v>13</v>
      </c>
      <c r="E95" s="2" t="s">
        <v>14</v>
      </c>
      <c r="F95" s="2" t="s">
        <v>15</v>
      </c>
      <c r="G95" s="2" t="s">
        <v>352</v>
      </c>
      <c r="H95" s="2" t="s">
        <v>60</v>
      </c>
      <c r="I95" s="2" t="str">
        <f>IFERROR(__xludf.DUMMYFUNCTION("GOOGLETRANSLATE(C95,""fr"",""en"")"),"Prices suit me
To see later if sinister or other how it goes.
To see if level calls satisfied and also so speed.
For the moment to see if I will quickly receive my green card
Waiting to give my opinion")</f>
        <v>Prices suit me
To see later if sinister or other how it goes.
To see if level calls satisfied and also so speed.
For the moment to see if I will quickly receive my green card
Waiting to give my opinion</v>
      </c>
    </row>
    <row r="96" ht="15.75" customHeight="1">
      <c r="A96" s="2">
        <v>2.0</v>
      </c>
      <c r="B96" s="2" t="s">
        <v>353</v>
      </c>
      <c r="C96" s="2" t="s">
        <v>354</v>
      </c>
      <c r="D96" s="2" t="s">
        <v>31</v>
      </c>
      <c r="E96" s="2" t="s">
        <v>14</v>
      </c>
      <c r="F96" s="2" t="s">
        <v>15</v>
      </c>
      <c r="G96" s="2" t="s">
        <v>355</v>
      </c>
      <c r="H96" s="2" t="s">
        <v>356</v>
      </c>
      <c r="I96" s="2" t="str">
        <f>IFERROR(__xludf.DUMMYFUNCTION("GOOGLETRANSLATE(C96,""fr"",""en"")"),"Following an accident, a month later I still did not have been compensated and the operators do not seem in a hurry to help me and tell me that some people stay more than two months without a car and that everything is normal !!!!")</f>
        <v>Following an accident, a month later I still did not have been compensated and the operators do not seem in a hurry to help me and tell me that some people stay more than two months without a car and that everything is normal !!!!</v>
      </c>
    </row>
    <row r="97" ht="15.75" customHeight="1">
      <c r="A97" s="2">
        <v>5.0</v>
      </c>
      <c r="B97" s="2" t="s">
        <v>357</v>
      </c>
      <c r="C97" s="2" t="s">
        <v>358</v>
      </c>
      <c r="D97" s="2" t="s">
        <v>57</v>
      </c>
      <c r="E97" s="2" t="s">
        <v>58</v>
      </c>
      <c r="F97" s="2" t="s">
        <v>15</v>
      </c>
      <c r="G97" s="2" t="s">
        <v>352</v>
      </c>
      <c r="H97" s="2" t="s">
        <v>60</v>
      </c>
      <c r="I97" s="2" t="str">
        <f>IFERROR(__xludf.DUMMYFUNCTION("GOOGLETRANSLATE(C97,""fr"",""en"")"),"I assure my 4th motorcycle at AMV, they are at the top!
I highly recommend this motorcycle insurance
Listening team, pro active and very available to find solutions or meet customer needs.
Thank you all")</f>
        <v>I assure my 4th motorcycle at AMV, they are at the top!
I highly recommend this motorcycle insurance
Listening team, pro active and very available to find solutions or meet customer needs.
Thank you all</v>
      </c>
    </row>
    <row r="98" ht="15.75" customHeight="1">
      <c r="A98" s="2">
        <v>1.0</v>
      </c>
      <c r="B98" s="2" t="s">
        <v>359</v>
      </c>
      <c r="C98" s="2" t="s">
        <v>360</v>
      </c>
      <c r="D98" s="2" t="s">
        <v>361</v>
      </c>
      <c r="E98" s="2" t="s">
        <v>21</v>
      </c>
      <c r="F98" s="2" t="s">
        <v>15</v>
      </c>
      <c r="G98" s="2" t="s">
        <v>362</v>
      </c>
      <c r="H98" s="2" t="s">
        <v>93</v>
      </c>
      <c r="I98" s="2" t="str">
        <f>IFERROR(__xludf.DUMMYFUNCTION("GOOGLETRANSLATE(C98,""fr"",""en"")"),"Mutual health to avoid at all costs !!")</f>
        <v>Mutual health to avoid at all costs !!</v>
      </c>
    </row>
    <row r="99" ht="15.75" customHeight="1">
      <c r="A99" s="2">
        <v>5.0</v>
      </c>
      <c r="B99" s="2" t="s">
        <v>363</v>
      </c>
      <c r="C99" s="2" t="s">
        <v>364</v>
      </c>
      <c r="D99" s="2" t="s">
        <v>26</v>
      </c>
      <c r="E99" s="2" t="s">
        <v>21</v>
      </c>
      <c r="F99" s="2" t="s">
        <v>15</v>
      </c>
      <c r="G99" s="2" t="s">
        <v>365</v>
      </c>
      <c r="H99" s="2" t="s">
        <v>54</v>
      </c>
      <c r="I99" s="2" t="str">
        <f>IFERROR(__xludf.DUMMYFUNCTION("GOOGLETRANSLATE(C99,""fr"",""en"")"),"Thank you for the clear explanations of Mr Rawane, on all the steps to be taken about the portability of the complementary health, and to find a solution in order to keep a single complementary health and unlock remote transmission and be reimbursed for o"&amp;"ur past care and come.")</f>
        <v>Thank you for the clear explanations of Mr Rawane, on all the steps to be taken about the portability of the complementary health, and to find a solution in order to keep a single complementary health and unlock remote transmission and be reimbursed for our past care and come.</v>
      </c>
    </row>
    <row r="100" ht="15.75" customHeight="1">
      <c r="A100" s="2">
        <v>3.0</v>
      </c>
      <c r="B100" s="2" t="s">
        <v>366</v>
      </c>
      <c r="C100" s="2" t="s">
        <v>367</v>
      </c>
      <c r="D100" s="2" t="s">
        <v>182</v>
      </c>
      <c r="E100" s="2" t="s">
        <v>14</v>
      </c>
      <c r="F100" s="2" t="s">
        <v>15</v>
      </c>
      <c r="G100" s="2" t="s">
        <v>368</v>
      </c>
      <c r="H100" s="2" t="s">
        <v>369</v>
      </c>
      <c r="I100" s="2" t="str">
        <f>IFERROR(__xludf.DUMMYFUNCTION("GOOGLETRANSLATE(C100,""fr"",""en"")"),"I had a mechanical problem with my vehicle. Having more than ten years I decide to separate from it by giving it back to destruction by an authorized professional.
With the declaration of sale of the vehicle dated 09/27/2017, I send a registered letter t"&amp;"o the AXA Guyana insurance broker notice 06/10/2017.
My account continued was debited the following two months October, November before I opposed the monthly levy and now it is the avalanche of formal notice Axa Intrum, a contribution call. Seven l"&amp;"etters in three
I no longer have the vehicle
I sent a registered letter to terminate my contract for receipt signed by agency 06/10/2017
What should I do ?
Thank you
")</f>
        <v>I had a mechanical problem with my vehicle. Having more than ten years I decide to separate from it by giving it back to destruction by an authorized professional.
With the declaration of sale of the vehicle dated 09/27/2017, I send a registered letter to the AXA Guyana insurance broker notice 06/10/2017.
My account continued was debited the following two months October, November before I opposed the monthly levy and now it is the avalanche of formal notice Axa Intrum, a contribution call. Seven letters in three
I no longer have the vehicle
I sent a registered letter to terminate my contract for receipt signed by agency 06/10/2017
What should I do ?
Thank you
</v>
      </c>
    </row>
    <row r="101" ht="15.75" customHeight="1">
      <c r="A101" s="2">
        <v>5.0</v>
      </c>
      <c r="B101" s="2" t="s">
        <v>370</v>
      </c>
      <c r="C101" s="2" t="s">
        <v>371</v>
      </c>
      <c r="D101" s="2" t="s">
        <v>31</v>
      </c>
      <c r="E101" s="2" t="s">
        <v>14</v>
      </c>
      <c r="F101" s="2" t="s">
        <v>15</v>
      </c>
      <c r="G101" s="2" t="s">
        <v>372</v>
      </c>
      <c r="H101" s="2" t="s">
        <v>54</v>
      </c>
      <c r="I101" s="2" t="str">
        <f>IFERROR(__xludf.DUMMYFUNCTION("GOOGLETRANSLATE(C101,""fr"",""en"")"),"Very good explanations, I was perfectly informed and everything was done quickly and effectively.
Very good insurance that I will recommend in the future")</f>
        <v>Very good explanations, I was perfectly informed and everything was done quickly and effectively.
Very good insurance that I will recommend in the future</v>
      </c>
    </row>
    <row r="102" ht="15.75" customHeight="1">
      <c r="A102" s="2">
        <v>1.0</v>
      </c>
      <c r="B102" s="2" t="s">
        <v>373</v>
      </c>
      <c r="C102" s="2" t="s">
        <v>374</v>
      </c>
      <c r="D102" s="2" t="s">
        <v>128</v>
      </c>
      <c r="E102" s="2" t="s">
        <v>14</v>
      </c>
      <c r="F102" s="2" t="s">
        <v>15</v>
      </c>
      <c r="G102" s="2" t="s">
        <v>375</v>
      </c>
      <c r="H102" s="2" t="s">
        <v>376</v>
      </c>
      <c r="I102" s="2" t="str">
        <f>IFERROR(__xludf.DUMMYFUNCTION("GOOGLETRANSLATE(C102,""fr"",""en"")"),"                                                              
  Very bad insurer I strongly advise against it just want their customers' money is shameful")</f>
        <v>                                                              
  Very bad insurer I strongly advise against it just want their customers' money is shameful</v>
      </c>
    </row>
    <row r="103" ht="15.75" customHeight="1">
      <c r="A103" s="2">
        <v>5.0</v>
      </c>
      <c r="B103" s="2" t="s">
        <v>377</v>
      </c>
      <c r="C103" s="2" t="s">
        <v>378</v>
      </c>
      <c r="D103" s="2" t="s">
        <v>31</v>
      </c>
      <c r="E103" s="2" t="s">
        <v>14</v>
      </c>
      <c r="F103" s="2" t="s">
        <v>15</v>
      </c>
      <c r="G103" s="2" t="s">
        <v>379</v>
      </c>
      <c r="H103" s="2" t="s">
        <v>76</v>
      </c>
      <c r="I103" s="2" t="str">
        <f>IFERROR(__xludf.DUMMYFUNCTION("GOOGLETRANSLATE(C103,""fr"",""en"")"),"I am satisfied with the fast and effective service at the most resonable prices at the moment I am not to complain about what I will wait for my green card")</f>
        <v>I am satisfied with the fast and effective service at the most resonable prices at the moment I am not to complain about what I will wait for my green card</v>
      </c>
    </row>
    <row r="104" ht="15.75" customHeight="1">
      <c r="A104" s="2">
        <v>3.0</v>
      </c>
      <c r="B104" s="2" t="s">
        <v>380</v>
      </c>
      <c r="C104" s="2" t="s">
        <v>381</v>
      </c>
      <c r="D104" s="2" t="s">
        <v>31</v>
      </c>
      <c r="E104" s="2" t="s">
        <v>14</v>
      </c>
      <c r="F104" s="2" t="s">
        <v>15</v>
      </c>
      <c r="G104" s="2" t="s">
        <v>382</v>
      </c>
      <c r="H104" s="2" t="s">
        <v>142</v>
      </c>
      <c r="I104" s="2" t="str">
        <f>IFERROR(__xludf.DUMMYFUNCTION("GOOGLETRANSLATE(C104,""fr"",""en"")"),"Good first insurance")</f>
        <v>Good first insurance</v>
      </c>
    </row>
    <row r="105" ht="15.75" customHeight="1">
      <c r="A105" s="2">
        <v>2.0</v>
      </c>
      <c r="B105" s="2" t="s">
        <v>383</v>
      </c>
      <c r="C105" s="2" t="s">
        <v>384</v>
      </c>
      <c r="D105" s="2" t="s">
        <v>117</v>
      </c>
      <c r="E105" s="2" t="s">
        <v>103</v>
      </c>
      <c r="F105" s="2" t="s">
        <v>15</v>
      </c>
      <c r="G105" s="2" t="s">
        <v>385</v>
      </c>
      <c r="H105" s="2" t="s">
        <v>386</v>
      </c>
      <c r="I105" s="2" t="str">
        <f>IFERROR(__xludf.DUMMYFUNCTION("GOOGLETRANSLATE(C105,""fr"",""en"")"),"6 months after an flood still no reimbursement. Appeal to the claim service every week, no followed by the file (email to the unnamed expert, proposal for compensation not made, notice of natural disaster not treated ...) a not natural disaster. After 31 "&amp;"years with the same company it is a sad disillusionment on the total missed of seriousness of this company whose job is ultimately only to garner contributions.")</f>
        <v>6 months after an flood still no reimbursement. Appeal to the claim service every week, no followed by the file (email to the unnamed expert, proposal for compensation not made, notice of natural disaster not treated ...) a not natural disaster. After 31 years with the same company it is a sad disillusionment on the total missed of seriousness of this company whose job is ultimately only to garner contributions.</v>
      </c>
    </row>
    <row r="106" ht="15.75" customHeight="1">
      <c r="A106" s="2">
        <v>1.0</v>
      </c>
      <c r="B106" s="2" t="s">
        <v>387</v>
      </c>
      <c r="C106" s="2" t="s">
        <v>388</v>
      </c>
      <c r="D106" s="2" t="s">
        <v>57</v>
      </c>
      <c r="E106" s="2" t="s">
        <v>58</v>
      </c>
      <c r="F106" s="2" t="s">
        <v>15</v>
      </c>
      <c r="G106" s="2" t="s">
        <v>389</v>
      </c>
      <c r="H106" s="2" t="s">
        <v>28</v>
      </c>
      <c r="I106" s="2" t="str">
        <f>IFERROR(__xludf.DUMMYFUNCTION("GOOGLETRANSLATE(C106,""fr"",""en"")"),"Difficult to leave them ... they make obstruction")</f>
        <v>Difficult to leave them ... they make obstruction</v>
      </c>
    </row>
    <row r="107" ht="15.75" customHeight="1">
      <c r="A107" s="2">
        <v>3.0</v>
      </c>
      <c r="B107" s="2" t="s">
        <v>390</v>
      </c>
      <c r="C107" s="2" t="s">
        <v>391</v>
      </c>
      <c r="D107" s="2" t="s">
        <v>13</v>
      </c>
      <c r="E107" s="2" t="s">
        <v>14</v>
      </c>
      <c r="F107" s="2" t="s">
        <v>15</v>
      </c>
      <c r="G107" s="2" t="s">
        <v>392</v>
      </c>
      <c r="H107" s="2" t="s">
        <v>76</v>
      </c>
      <c r="I107" s="2" t="str">
        <f>IFERROR(__xludf.DUMMYFUNCTION("GOOGLETRANSLATE(C107,""fr"",""en"")"),"Axa subsidiary, prices are significantly more attractive for ""simple"" risks, do not expect to ensure a Porsche for example, even old.
I also noticed during the renewal of the housing contract a significant increase ...
So as for any insurer, do not he"&amp;"sitate to check the market
I specify that I had no claim")</f>
        <v>Axa subsidiary, prices are significantly more attractive for "simple" risks, do not expect to ensure a Porsche for example, even old.
I also noticed during the renewal of the housing contract a significant increase ...
So as for any insurer, do not hesitate to check the market
I specify that I had no claim</v>
      </c>
    </row>
    <row r="108" ht="15.75" customHeight="1">
      <c r="A108" s="2">
        <v>5.0</v>
      </c>
      <c r="B108" s="2" t="s">
        <v>393</v>
      </c>
      <c r="C108" s="2" t="s">
        <v>394</v>
      </c>
      <c r="D108" s="2" t="s">
        <v>31</v>
      </c>
      <c r="E108" s="2" t="s">
        <v>14</v>
      </c>
      <c r="F108" s="2" t="s">
        <v>15</v>
      </c>
      <c r="G108" s="2" t="s">
        <v>395</v>
      </c>
      <c r="H108" s="2" t="s">
        <v>33</v>
      </c>
      <c r="I108" s="2" t="str">
        <f>IFERROR(__xludf.DUMMYFUNCTION("GOOGLETRANSLATE(C108,""fr"",""en"")"),"I am satisfied and in addition I benefited from 50th sponsorship cordially.
I hope to take a home insurance contract at Olivier Insurance")</f>
        <v>I am satisfied and in addition I benefited from 50th sponsorship cordially.
I hope to take a home insurance contract at Olivier Insurance</v>
      </c>
    </row>
    <row r="109" ht="15.75" customHeight="1">
      <c r="A109" s="2">
        <v>5.0</v>
      </c>
      <c r="B109" s="2" t="s">
        <v>396</v>
      </c>
      <c r="C109" s="2" t="s">
        <v>397</v>
      </c>
      <c r="D109" s="2" t="s">
        <v>31</v>
      </c>
      <c r="E109" s="2" t="s">
        <v>14</v>
      </c>
      <c r="F109" s="2" t="s">
        <v>15</v>
      </c>
      <c r="G109" s="2" t="s">
        <v>398</v>
      </c>
      <c r="H109" s="2" t="s">
        <v>39</v>
      </c>
      <c r="I109" s="2" t="str">
        <f>IFERROR(__xludf.DUMMYFUNCTION("GOOGLETRANSLATE(C109,""fr"",""en"")"),"Quality-price, sincerity-, excellent customer area, competent employees, speed, and everything is perfectly clear and well explained.
For the moment I am satisfied.")</f>
        <v>Quality-price, sincerity-, excellent customer area, competent employees, speed, and everything is perfectly clear and well explained.
For the moment I am satisfied.</v>
      </c>
    </row>
    <row r="110" ht="15.75" customHeight="1">
      <c r="A110" s="2">
        <v>5.0</v>
      </c>
      <c r="B110" s="2" t="s">
        <v>399</v>
      </c>
      <c r="C110" s="2" t="s">
        <v>400</v>
      </c>
      <c r="D110" s="2" t="s">
        <v>26</v>
      </c>
      <c r="E110" s="2" t="s">
        <v>21</v>
      </c>
      <c r="F110" s="2" t="s">
        <v>15</v>
      </c>
      <c r="G110" s="2" t="s">
        <v>401</v>
      </c>
      <c r="H110" s="2" t="s">
        <v>54</v>
      </c>
      <c r="I110" s="2" t="str">
        <f>IFERROR(__xludf.DUMMYFUNCTION("GOOGLETRANSLATE(C110,""fr"",""en"")"),"Following my request for 10/27/2021 concerning the visit of 27/09/
You asked me to communicate the Amelie counting to you;
I warmly thank Aminata for her listening, her kindness, her professionalism.
Mc Salvin")</f>
        <v>Following my request for 10/27/2021 concerning the visit of 27/09/
You asked me to communicate the Amelie counting to you;
I warmly thank Aminata for her listening, her kindness, her professionalism.
Mc Salvin</v>
      </c>
    </row>
    <row r="111" ht="15.75" customHeight="1">
      <c r="A111" s="2">
        <v>3.0</v>
      </c>
      <c r="B111" s="2" t="s">
        <v>402</v>
      </c>
      <c r="C111" s="2" t="s">
        <v>403</v>
      </c>
      <c r="D111" s="2" t="s">
        <v>404</v>
      </c>
      <c r="E111" s="2" t="s">
        <v>14</v>
      </c>
      <c r="F111" s="2" t="s">
        <v>15</v>
      </c>
      <c r="G111" s="2" t="s">
        <v>405</v>
      </c>
      <c r="H111" s="2" t="s">
        <v>23</v>
      </c>
      <c r="I111" s="2" t="str">
        <f>IFERROR(__xludf.DUMMYFUNCTION("GOOGLETRANSLATE(C111,""fr"",""en"")"),"Ensures at home for more than 30 years without responsible accident apart from a small degat without third parties in 2016 they solve me in the 1st responsible accident that I had last year we wonder why to be assured in this case.")</f>
        <v>Ensures at home for more than 30 years without responsible accident apart from a small degat without third parties in 2016 they solve me in the 1st responsible accident that I had last year we wonder why to be assured in this case.</v>
      </c>
    </row>
    <row r="112" ht="15.75" customHeight="1">
      <c r="A112" s="2">
        <v>5.0</v>
      </c>
      <c r="B112" s="2" t="s">
        <v>406</v>
      </c>
      <c r="C112" s="2" t="s">
        <v>407</v>
      </c>
      <c r="D112" s="2" t="s">
        <v>13</v>
      </c>
      <c r="E112" s="2" t="s">
        <v>14</v>
      </c>
      <c r="F112" s="2" t="s">
        <v>15</v>
      </c>
      <c r="G112" s="2" t="s">
        <v>408</v>
      </c>
      <c r="H112" s="2" t="s">
        <v>76</v>
      </c>
      <c r="I112" s="2" t="str">
        <f>IFERROR(__xludf.DUMMYFUNCTION("GOOGLETRANSLATE(C112,""fr"",""en"")"),"I am completely satisfied and the price is very good
I recommend friends to take their insurance from you because very advantageous and serious and competitive")</f>
        <v>I am completely satisfied and the price is very good
I recommend friends to take their insurance from you because very advantageous and serious and competitive</v>
      </c>
    </row>
    <row r="113" ht="15.75" customHeight="1">
      <c r="A113" s="2">
        <v>4.0</v>
      </c>
      <c r="B113" s="2" t="s">
        <v>409</v>
      </c>
      <c r="C113" s="2" t="s">
        <v>410</v>
      </c>
      <c r="D113" s="2" t="s">
        <v>240</v>
      </c>
      <c r="E113" s="2" t="s">
        <v>241</v>
      </c>
      <c r="F113" s="2" t="s">
        <v>15</v>
      </c>
      <c r="G113" s="2" t="s">
        <v>411</v>
      </c>
      <c r="H113" s="2" t="s">
        <v>76</v>
      </c>
      <c r="I113" s="2" t="str">
        <f>IFERROR(__xludf.DUMMYFUNCTION("GOOGLETRANSLATE(C113,""fr"",""en"")"),"The subscription service is intuitive. The interlocutors are reactive and available.
The response time for the medical service is rapid. On the other hand, I did not have time to use the guarantees subscribed.")</f>
        <v>The subscription service is intuitive. The interlocutors are reactive and available.
The response time for the medical service is rapid. On the other hand, I did not have time to use the guarantees subscribed.</v>
      </c>
    </row>
    <row r="114" ht="15.75" customHeight="1">
      <c r="A114" s="2">
        <v>1.0</v>
      </c>
      <c r="B114" s="2" t="s">
        <v>412</v>
      </c>
      <c r="C114" s="2" t="s">
        <v>413</v>
      </c>
      <c r="D114" s="2" t="s">
        <v>84</v>
      </c>
      <c r="E114" s="2" t="s">
        <v>103</v>
      </c>
      <c r="F114" s="2" t="s">
        <v>15</v>
      </c>
      <c r="G114" s="2" t="s">
        <v>414</v>
      </c>
      <c r="H114" s="2" t="s">
        <v>415</v>
      </c>
      <c r="I114" s="2" t="str">
        <f>IFERROR(__xludf.DUMMYFUNCTION("GOOGLETRANSLATE(C114,""fr"",""en"")"),"This insurance no longer listens to her members she prefers to listen to her experts and never compensate. Following declaration of natural disaster in common times under prefectural decree and cracks on the walls and well no, it is not the heat wave !!!!"&amp;" According to an expert who has not lifted the nose of his phone. No statement no photo")</f>
        <v>This insurance no longer listens to her members she prefers to listen to her experts and never compensate. Following declaration of natural disaster in common times under prefectural decree and cracks on the walls and well no, it is not the heat wave !!!! According to an expert who has not lifted the nose of his phone. No statement no photo</v>
      </c>
    </row>
    <row r="115" ht="15.75" customHeight="1">
      <c r="A115" s="2">
        <v>1.0</v>
      </c>
      <c r="B115" s="2" t="s">
        <v>416</v>
      </c>
      <c r="C115" s="2" t="s">
        <v>417</v>
      </c>
      <c r="D115" s="2" t="s">
        <v>31</v>
      </c>
      <c r="E115" s="2" t="s">
        <v>14</v>
      </c>
      <c r="F115" s="2" t="s">
        <v>15</v>
      </c>
      <c r="G115" s="2" t="s">
        <v>145</v>
      </c>
      <c r="H115" s="2" t="s">
        <v>46</v>
      </c>
      <c r="I115" s="2" t="str">
        <f>IFERROR(__xludf.DUMMYFUNCTION("GOOGLETRANSLATE(C115,""fr"",""en"")"),"Catastrophic customer service! Sinister broken ice declared in September, frozen for an administrative problem, I provided the supporting documents to unlock the situation, and find myself unable to have respect for the commitments made. So I asked on Sep"&amp;"tember 4 that my contract be brought back to the strict minimum, and there, refusal on their part, they continue to take me € 37 per month with a bonus of 50 of more than 8 years and for a contract third party comfort !!! This company plays on its strengt"&amp;"h position by forcing to continue paying under penalty of a termination for non -payment of premium. TO FLEE!!!")</f>
        <v>Catastrophic customer service! Sinister broken ice declared in September, frozen for an administrative problem, I provided the supporting documents to unlock the situation, and find myself unable to have respect for the commitments made. So I asked on September 4 that my contract be brought back to the strict minimum, and there, refusal on their part, they continue to take me € 37 per month with a bonus of 50 of more than 8 years and for a contract third party comfort !!! This company plays on its strength position by forcing to continue paying under penalty of a termination for non -payment of premium. TO FLEE!!!</v>
      </c>
    </row>
    <row r="116" ht="15.75" customHeight="1">
      <c r="A116" s="2">
        <v>2.0</v>
      </c>
      <c r="B116" s="2" t="s">
        <v>418</v>
      </c>
      <c r="C116" s="2" t="s">
        <v>419</v>
      </c>
      <c r="D116" s="2" t="s">
        <v>160</v>
      </c>
      <c r="E116" s="2" t="s">
        <v>21</v>
      </c>
      <c r="F116" s="2" t="s">
        <v>15</v>
      </c>
      <c r="G116" s="2" t="s">
        <v>420</v>
      </c>
      <c r="H116" s="2" t="s">
        <v>76</v>
      </c>
      <c r="I116" s="2" t="str">
        <f>IFERROR(__xludf.DUMMYFUNCTION("GOOGLETRANSLATE(C116,""fr"",""en"")"),"Mutual entrepreneurial with negotiated prices. Very limited reimbursements in dental care.
Response deadlines for quotes or very long reimbursements. Customer service is to be reviewed, the advisers are disillusioned and in some cases, unpleasant limit.")</f>
        <v>Mutual entrepreneurial with negotiated prices. Very limited reimbursements in dental care.
Response deadlines for quotes or very long reimbursements. Customer service is to be reviewed, the advisers are disillusioned and in some cases, unpleasant limit.</v>
      </c>
    </row>
    <row r="117" ht="15.75" customHeight="1">
      <c r="A117" s="2">
        <v>5.0</v>
      </c>
      <c r="B117" s="2" t="s">
        <v>421</v>
      </c>
      <c r="C117" s="2" t="s">
        <v>422</v>
      </c>
      <c r="D117" s="2" t="s">
        <v>13</v>
      </c>
      <c r="E117" s="2" t="s">
        <v>14</v>
      </c>
      <c r="F117" s="2" t="s">
        <v>15</v>
      </c>
      <c r="G117" s="2" t="s">
        <v>318</v>
      </c>
      <c r="H117" s="2" t="s">
        <v>60</v>
      </c>
      <c r="I117" s="2" t="str">
        <f>IFERROR(__xludf.DUMMYFUNCTION("GOOGLETRANSLATE(C117,""fr"",""en"")"),"Dear,
I am satisfied with the service., I am very happy, and good luck.
Please be approved, madam, sir, my distinguished greetings.")</f>
        <v>Dear,
I am satisfied with the service., I am very happy, and good luck.
Please be approved, madam, sir, my distinguished greetings.</v>
      </c>
    </row>
    <row r="118" ht="15.75" customHeight="1">
      <c r="A118" s="2">
        <v>1.0</v>
      </c>
      <c r="B118" s="2" t="s">
        <v>423</v>
      </c>
      <c r="C118" s="2" t="s">
        <v>424</v>
      </c>
      <c r="D118" s="2" t="s">
        <v>168</v>
      </c>
      <c r="E118" s="2" t="s">
        <v>14</v>
      </c>
      <c r="F118" s="2" t="s">
        <v>15</v>
      </c>
      <c r="G118" s="2" t="s">
        <v>425</v>
      </c>
      <c r="H118" s="2" t="s">
        <v>71</v>
      </c>
      <c r="I118" s="2" t="str">
        <f>IFERROR(__xludf.DUMMYFUNCTION("GOOGLETRANSLATE(C118,""fr"",""en"")"),"Customer since I had my first car at home (2010), house, two wheels .... I am terminated (car contract) overnight ... always there when it is necessary but fired at the slightest clash ...grotesque...")</f>
        <v>Customer since I had my first car at home (2010), house, two wheels .... I am terminated (car contract) overnight ... always there when it is necessary but fired at the slightest clash ...grotesque...</v>
      </c>
    </row>
    <row r="119" ht="15.75" customHeight="1">
      <c r="A119" s="2">
        <v>2.0</v>
      </c>
      <c r="B119" s="2" t="s">
        <v>426</v>
      </c>
      <c r="C119" s="2" t="s">
        <v>427</v>
      </c>
      <c r="D119" s="2" t="s">
        <v>256</v>
      </c>
      <c r="E119" s="2" t="s">
        <v>103</v>
      </c>
      <c r="F119" s="2" t="s">
        <v>15</v>
      </c>
      <c r="G119" s="2" t="s">
        <v>428</v>
      </c>
      <c r="H119" s="2" t="s">
        <v>17</v>
      </c>
      <c r="I119" s="2" t="str">
        <f>IFERROR(__xludf.DUMMYFUNCTION("GOOGLETRANSLATE(C119,""fr"",""en"")"),"&gt;&gt;&gt; At the attention of the nice moderator: TEGO contains Alianz, AGPM and GMPA ... I allow myself to put the same opinion on Allianz, which directly sunk. If you find that it is too much effort ... On the other hand, the three Pit Bull Terriers would hav"&amp;"e without any trouble really killed if it had been my wife that they would have taken ... there are very current and very very current news sad of these dogs. Okay, I put ""killed"", since for you Pit Bull do not kill.
Hello,
I am starting to fear t"&amp;"he worst given the attitude of Tego which procrastinates and which continues to ask me again and again documents, seeming to have the sole purpose of making me give up reparation.
As it already appears in opinions, I was also insured at the GMPA, but als"&amp;"o with Allianz in the residential framework.
The incredible ""fusion"" allianz tego and gmpa tego concomitant with that of AGPM Tego (no stir aroused by this attack on competition!) Will have had serious consequences for me, and the conflict of interest "&amp;"does not seem to move Tego at all .
Indeed my neighbors whose pitbulls torn my legs after entering us, are insured at AGPM. For our part, our Allianz insurer rejected our request for care arguing that we were not covered because they were first category "&amp;"dogs that had tried to get down to me. Faced with the inertia of the public authorities (the breeding of attack dogs continued under the indulgent gaze of the authorities), I was assisted by a lawyer, at my expense. After long towing and arguments, Allian"&amp;"z having tried to convince us of our violation of the contract for not having asked for his agreement for the choice of lawyer (sic), finally the bodily compensation service agreed to reconsider the case and paid the initial premiums provided for by the C"&amp;"G of the contract; We are no longer entitled to anything since, of course. My expenses have nothing to do with my lawyer's fees ...
After rejection of taking into account my disability (legal expertise), I sent the documents and supporting documents thre"&amp;"e times to Allianz/Tego/GMPA.
I have just received this March 11, 2021 a new request for documents, which I must send by mail to the doctor consulting Tego/Allianz: their letter does not have a referral address and, I was worried at the number indicated "&amp;"01 58 85 04 00: The answering machine speaks to me so quickly that I did not manage to note where I had to send my documents for the fourth time!
I believe that it will have to resign myself to undergo this Oukase of the GMPA/TEGO which does not seem to "&amp;"love the cops too much in its customers in the end (yes, Calimero). Because finally, how could we have the slightest chance of having the support of the Hydra Tego if, on the one hand we have to fight with our Allianz insurance and that on the other, the "&amp;"owners of the dogs were really covered (by what magic effect?) By the AGPM who managed to pass pit bulls for nice spaniels!
It is wrongly said that we cannot be a judge and left (sic), the proof farted us in the nose.
Ah, clarification: after two seriou"&amp;"s operations and a hospital month in January 2018, the case is not tried in March 2021…
Look for horror.
The facts are there, I participate here a little desperate, but we must communicate.
Good luck to all of you.
")</f>
        <v>&gt;&gt;&gt; At the attention of the nice moderator: TEGO contains Alianz, AGPM and GMPA ... I allow myself to put the same opinion on Allianz, which directly sunk. If you find that it is too much effort ... On the other hand, the three Pit Bull Terriers would have without any trouble really killed if it had been my wife that they would have taken ... there are very current and very very current news sad of these dogs. Okay, I put "killed", since for you Pit Bull do not kill.
Hello,
I am starting to fear the worst given the attitude of Tego which procrastinates and which continues to ask me again and again documents, seeming to have the sole purpose of making me give up reparation.
As it already appears in opinions, I was also insured at the GMPA, but also with Allianz in the residential framework.
The incredible "fusion" allianz tego and gmpa tego concomitant with that of AGPM Tego (no stir aroused by this attack on competition!) Will have had serious consequences for me, and the conflict of interest does not seem to move Tego at all .
Indeed my neighbors whose pitbulls torn my legs after entering us, are insured at AGPM. For our part, our Allianz insurer rejected our request for care arguing that we were not covered because they were first category dogs that had tried to get down to me. Faced with the inertia of the public authorities (the breeding of attack dogs continued under the indulgent gaze of the authorities), I was assisted by a lawyer, at my expense. After long towing and arguments, Allianz having tried to convince us of our violation of the contract for not having asked for his agreement for the choice of lawyer (sic), finally the bodily compensation service agreed to reconsider the case and paid the initial premiums provided for by the CG of the contract; We are no longer entitled to anything since, of course. My expenses have nothing to do with my lawyer's fees ...
After rejection of taking into account my disability (legal expertise), I sent the documents and supporting documents three times to Allianz/Tego/GMPA.
I have just received this March 11, 2021 a new request for documents, which I must send by mail to the doctor consulting Tego/Allianz: their letter does not have a referral address and, I was worried at the number indicated 01 58 85 04 00: The answering machine speaks to me so quickly that I did not manage to note where I had to send my documents for the fourth time!
I believe that it will have to resign myself to undergo this Oukase of the GMPA/TEGO which does not seem to love the cops too much in its customers in the end (yes, Calimero). Because finally, how could we have the slightest chance of having the support of the Hydra Tego if, on the one hand we have to fight with our Allianz insurance and that on the other, the owners of the dogs were really covered (by what magic effect?) By the AGPM who managed to pass pit bulls for nice spaniels!
It is wrongly said that we cannot be a judge and left (sic), the proof farted us in the nose.
Ah, clarification: after two serious operations and a hospital month in January 2018, the case is not tried in March 2021…
Look for horror.
The facts are there, I participate here a little desperate, but we must communicate.
Good luck to all of you.
</v>
      </c>
    </row>
    <row r="120" ht="15.75" customHeight="1">
      <c r="A120" s="2">
        <v>2.0</v>
      </c>
      <c r="B120" s="2" t="s">
        <v>429</v>
      </c>
      <c r="C120" s="2" t="s">
        <v>430</v>
      </c>
      <c r="D120" s="2" t="s">
        <v>157</v>
      </c>
      <c r="E120" s="2" t="s">
        <v>21</v>
      </c>
      <c r="F120" s="2" t="s">
        <v>15</v>
      </c>
      <c r="G120" s="2" t="s">
        <v>431</v>
      </c>
      <c r="H120" s="2" t="s">
        <v>431</v>
      </c>
      <c r="I120" s="2" t="str">
        <f>IFERROR(__xludf.DUMMYFUNCTION("GOOGLETRANSLATE(C120,""fr"",""en"")"),"Already adherent through my employer I chose Mercer Optimal 300 for my supervision because I had never had a problem with Mercer. Optimal guarantees are never applied, you have to constantly fight to get their case. I have never seen so much concentrated "&amp;"incompetence! To flee..")</f>
        <v>Already adherent through my employer I chose Mercer Optimal 300 for my supervision because I had never had a problem with Mercer. Optimal guarantees are never applied, you have to constantly fight to get their case. I have never seen so much concentrated incompetence! To flee..</v>
      </c>
    </row>
    <row r="121" ht="15.75" customHeight="1">
      <c r="A121" s="2">
        <v>1.0</v>
      </c>
      <c r="B121" s="2" t="s">
        <v>432</v>
      </c>
      <c r="C121" s="2" t="s">
        <v>433</v>
      </c>
      <c r="D121" s="2" t="s">
        <v>13</v>
      </c>
      <c r="E121" s="2" t="s">
        <v>14</v>
      </c>
      <c r="F121" s="2" t="s">
        <v>15</v>
      </c>
      <c r="G121" s="2" t="s">
        <v>434</v>
      </c>
      <c r="H121" s="2" t="s">
        <v>33</v>
      </c>
      <c r="I121" s="2" t="str">
        <f>IFERROR(__xludf.DUMMYFUNCTION("GOOGLETRANSLATE(C121,""fr"",""en"")"),"
You are not able to find solutions when you are also confronted with it there has no concordance between the standard and the management center")</f>
        <v>
You are not able to find solutions when you are also confronted with it there has no concordance between the standard and the management center</v>
      </c>
    </row>
    <row r="122" ht="15.75" customHeight="1">
      <c r="A122" s="2">
        <v>1.0</v>
      </c>
      <c r="B122" s="2" t="s">
        <v>435</v>
      </c>
      <c r="C122" s="2" t="s">
        <v>436</v>
      </c>
      <c r="D122" s="2" t="s">
        <v>437</v>
      </c>
      <c r="E122" s="2" t="s">
        <v>21</v>
      </c>
      <c r="F122" s="2" t="s">
        <v>15</v>
      </c>
      <c r="G122" s="2" t="s">
        <v>89</v>
      </c>
      <c r="H122" s="2" t="s">
        <v>17</v>
      </c>
      <c r="I122" s="2" t="str">
        <f>IFERROR(__xludf.DUMMYFUNCTION("GOOGLETRANSLATE(C122,""fr"",""en"")"),"Insured at Cegema for 4 years. Each year they send abusive increases in 2021
Despite the government's recommendations to reduce the level of contributions of contributions increase by 6.6% I ask to revise their increases in increase but no response from "&amp;"the broker ""my easy health"" despite multiple reminders. Always impossible to get them on the phone.
I strongly advise against and the broker ""my easy health"" as well as the insurer Cegema.")</f>
        <v>Insured at Cegema for 4 years. Each year they send abusive increases in 2021
Despite the government's recommendations to reduce the level of contributions of contributions increase by 6.6% I ask to revise their increases in increase but no response from the broker "my easy health" despite multiple reminders. Always impossible to get them on the phone.
I strongly advise against and the broker "my easy health" as well as the insurer Cegema.</v>
      </c>
    </row>
    <row r="123" ht="15.75" customHeight="1">
      <c r="A123" s="2">
        <v>4.0</v>
      </c>
      <c r="B123" s="2" t="s">
        <v>438</v>
      </c>
      <c r="C123" s="2" t="s">
        <v>439</v>
      </c>
      <c r="D123" s="2" t="s">
        <v>31</v>
      </c>
      <c r="E123" s="2" t="s">
        <v>14</v>
      </c>
      <c r="F123" s="2" t="s">
        <v>15</v>
      </c>
      <c r="G123" s="2" t="s">
        <v>365</v>
      </c>
      <c r="H123" s="2" t="s">
        <v>54</v>
      </c>
      <c r="I123" s="2" t="str">
        <f>IFERROR(__xludf.DUMMYFUNCTION("GOOGLETRANSLATE(C123,""fr"",""en"")"),"I am very satisfied, it is the cheapest insurance that I have been able to find
The advisers are listening
It's very effective
I recommend this insurance")</f>
        <v>I am very satisfied, it is the cheapest insurance that I have been able to find
The advisers are listening
It's very effective
I recommend this insurance</v>
      </c>
    </row>
    <row r="124" ht="15.75" customHeight="1">
      <c r="A124" s="2">
        <v>1.0</v>
      </c>
      <c r="B124" s="2" t="s">
        <v>440</v>
      </c>
      <c r="C124" s="2" t="s">
        <v>441</v>
      </c>
      <c r="D124" s="2" t="s">
        <v>229</v>
      </c>
      <c r="E124" s="2" t="s">
        <v>58</v>
      </c>
      <c r="F124" s="2" t="s">
        <v>15</v>
      </c>
      <c r="G124" s="2" t="s">
        <v>268</v>
      </c>
      <c r="H124" s="2" t="s">
        <v>17</v>
      </c>
      <c r="I124" s="2" t="str">
        <f>IFERROR(__xludf.DUMMYFUNCTION("GOOGLETRANSLATE(C124,""fr"",""en"")"),"For motorcycle contracts, know that C without obligation, so you can terminate at any time because you are not obliged to stay all year round and besides marked on their site and contract also")</f>
        <v>For motorcycle contracts, know that C without obligation, so you can terminate at any time because you are not obliged to stay all year round and besides marked on their site and contract also</v>
      </c>
    </row>
    <row r="125" ht="15.75" customHeight="1">
      <c r="A125" s="2">
        <v>5.0</v>
      </c>
      <c r="B125" s="2" t="s">
        <v>442</v>
      </c>
      <c r="C125" s="2" t="s">
        <v>443</v>
      </c>
      <c r="D125" s="2" t="s">
        <v>31</v>
      </c>
      <c r="E125" s="2" t="s">
        <v>14</v>
      </c>
      <c r="F125" s="2" t="s">
        <v>15</v>
      </c>
      <c r="G125" s="2" t="s">
        <v>444</v>
      </c>
      <c r="H125" s="2" t="s">
        <v>17</v>
      </c>
      <c r="I125" s="2" t="str">
        <f>IFERROR(__xludf.DUMMYFUNCTION("GOOGLETRANSLATE(C125,""fr"",""en"")"),"Transparency and clarity of information. Speed ​​of management of registration and availability files for customers. Simply to use web.")</f>
        <v>Transparency and clarity of information. Speed ​​of management of registration and availability files for customers. Simply to use web.</v>
      </c>
    </row>
    <row r="126" ht="15.75" customHeight="1">
      <c r="A126" s="2">
        <v>1.0</v>
      </c>
      <c r="B126" s="2" t="s">
        <v>445</v>
      </c>
      <c r="C126" s="2" t="s">
        <v>446</v>
      </c>
      <c r="D126" s="2" t="s">
        <v>293</v>
      </c>
      <c r="E126" s="2" t="s">
        <v>14</v>
      </c>
      <c r="F126" s="2" t="s">
        <v>15</v>
      </c>
      <c r="G126" s="2" t="s">
        <v>447</v>
      </c>
      <c r="H126" s="2" t="s">
        <v>313</v>
      </c>
      <c r="I126" s="2" t="str">
        <f>IFERROR(__xludf.DUMMYFUNCTION("GOOGLETRANSLATE(C126,""fr"",""en"")"),"Surpou flee. I subscribed by thinking it was a good idea. You have to pay 7 months in advance, when I asked to be taken per month. Then supposedly I lacked a situation of the situation when I had sent my last 4 years. They make the deaf ear, moreover thei"&amp;"r number is surcharging, they invite us each time to compose this number. Result 7 minute 7 euros without the slightest info. In the final, he resilses me by punctuating two thirds of my sums. FUYEZZZZ")</f>
        <v>Surpou flee. I subscribed by thinking it was a good idea. You have to pay 7 months in advance, when I asked to be taken per month. Then supposedly I lacked a situation of the situation when I had sent my last 4 years. They make the deaf ear, moreover their number is surcharging, they invite us each time to compose this number. Result 7 minute 7 euros without the slightest info. In the final, he resilses me by punctuating two thirds of my sums. FUYEZZZZ</v>
      </c>
    </row>
    <row r="127" ht="15.75" customHeight="1">
      <c r="A127" s="2">
        <v>1.0</v>
      </c>
      <c r="B127" s="2" t="s">
        <v>448</v>
      </c>
      <c r="C127" s="2" t="s">
        <v>449</v>
      </c>
      <c r="D127" s="2" t="s">
        <v>450</v>
      </c>
      <c r="E127" s="2" t="s">
        <v>317</v>
      </c>
      <c r="F127" s="2" t="s">
        <v>15</v>
      </c>
      <c r="G127" s="2" t="s">
        <v>451</v>
      </c>
      <c r="H127" s="2" t="s">
        <v>376</v>
      </c>
      <c r="I127" s="2" t="str">
        <f>IFERROR(__xludf.DUMMYFUNCTION("GOOGLETRANSLATE(C127,""fr"",""en"")"),"No customer service does not answer the phone or email.
It is very dangerous to place your money on their life insurance.
You may have a lot of trouble getting it back.
to flee")</f>
        <v>No customer service does not answer the phone or email.
It is very dangerous to place your money on their life insurance.
You may have a lot of trouble getting it back.
to flee</v>
      </c>
    </row>
    <row r="128" ht="15.75" customHeight="1">
      <c r="A128" s="2">
        <v>1.0</v>
      </c>
      <c r="B128" s="2" t="s">
        <v>452</v>
      </c>
      <c r="C128" s="2" t="s">
        <v>453</v>
      </c>
      <c r="D128" s="2" t="s">
        <v>128</v>
      </c>
      <c r="E128" s="2" t="s">
        <v>14</v>
      </c>
      <c r="F128" s="2" t="s">
        <v>15</v>
      </c>
      <c r="G128" s="2" t="s">
        <v>454</v>
      </c>
      <c r="H128" s="2" t="s">
        <v>194</v>
      </c>
      <c r="I128" s="2" t="str">
        <f>IFERROR(__xludf.DUMMYFUNCTION("GOOGLETRANSLATE(C128,""fr"",""en"")"),"One day I received an AR letter, the Matmut de Chambéry resilled my contract for poor commercial relationship. I have never had a single altercation, no responsible claim and no delay in payment. Curious to have the reason valid, after several phone calls"&amp;" I finally had a manager. The only thing he told me is that you have to know how to accept even if there is no valid reason concerning this termination. It’s pitiful.
In addition being a second driver on a second vehicle, the Matmut withdraws the authori"&amp;"zation to drive under penalty of being no longer assured. In the end nobody can tell me the reason for this termination. Pure and simple abuse. A poor insurer, with incompetent at all levels, as much advisers in agency, agency manager, telephone advisers "&amp;"as well as managers and even managers at headquarters.
Overnight you can be terminated without any reason. Flee from this insurance, believe me, it's worth looking elsewhere.")</f>
        <v>One day I received an AR letter, the Matmut de Chambéry resilled my contract for poor commercial relationship. I have never had a single altercation, no responsible claim and no delay in payment. Curious to have the reason valid, after several phone calls I finally had a manager. The only thing he told me is that you have to know how to accept even if there is no valid reason concerning this termination. It’s pitiful.
In addition being a second driver on a second vehicle, the Matmut withdraws the authorization to drive under penalty of being no longer assured. In the end nobody can tell me the reason for this termination. Pure and simple abuse. A poor insurer, with incompetent at all levels, as much advisers in agency, agency manager, telephone advisers as well as managers and even managers at headquarters.
Overnight you can be terminated without any reason. Flee from this insurance, believe me, it's worth looking elsewhere.</v>
      </c>
    </row>
    <row r="129" ht="15.75" customHeight="1">
      <c r="A129" s="2">
        <v>4.0</v>
      </c>
      <c r="B129" s="2" t="s">
        <v>455</v>
      </c>
      <c r="C129" s="2" t="s">
        <v>456</v>
      </c>
      <c r="D129" s="2" t="s">
        <v>13</v>
      </c>
      <c r="E129" s="2" t="s">
        <v>14</v>
      </c>
      <c r="F129" s="2" t="s">
        <v>15</v>
      </c>
      <c r="G129" s="2" t="s">
        <v>457</v>
      </c>
      <c r="H129" s="2" t="s">
        <v>54</v>
      </c>
      <c r="I129" s="2" t="str">
        <f>IFERROR(__xludf.DUMMYFUNCTION("GOOGLETRANSLATE(C129,""fr"",""en"")"),"I am 61 years old, I have been driving since the age of my 18 years and it is the first time that I have encountered an insurer who really cares about my concerns and who responds quickly. Today, my whole family is at Direct Insurance and is fully satisfi"&amp;"ed. If I have to qualify direct insurance, I will say that it is competent insurer, attentive, offering very attractive and very responsive prices. I strongly advise it.")</f>
        <v>I am 61 years old, I have been driving since the age of my 18 years and it is the first time that I have encountered an insurer who really cares about my concerns and who responds quickly. Today, my whole family is at Direct Insurance and is fully satisfied. If I have to qualify direct insurance, I will say that it is competent insurer, attentive, offering very attractive and very responsive prices. I strongly advise it.</v>
      </c>
    </row>
    <row r="130" ht="15.75" customHeight="1">
      <c r="A130" s="2">
        <v>1.0</v>
      </c>
      <c r="B130" s="2" t="s">
        <v>458</v>
      </c>
      <c r="C130" s="2" t="s">
        <v>459</v>
      </c>
      <c r="D130" s="2" t="s">
        <v>293</v>
      </c>
      <c r="E130" s="2" t="s">
        <v>14</v>
      </c>
      <c r="F130" s="2" t="s">
        <v>15</v>
      </c>
      <c r="G130" s="2" t="s">
        <v>179</v>
      </c>
      <c r="H130" s="2" t="s">
        <v>50</v>
      </c>
      <c r="I130" s="2" t="str">
        <f>IFERROR(__xludf.DUMMYFUNCTION("GOOGLETRANSLATE(C130,""fr"",""en"")"),"Hello
After a first year without accident and an interesting entry rate for a young driver, the second year is a disaster with a 40% increase
At such it is justified as a broker by a suffered increase and that's it !!!!!!")</f>
        <v>Hello
After a first year without accident and an interesting entry rate for a young driver, the second year is a disaster with a 40% increase
At such it is justified as a broker by a suffered increase and that's it !!!!!!</v>
      </c>
    </row>
    <row r="131" ht="15.75" customHeight="1">
      <c r="A131" s="2">
        <v>1.0</v>
      </c>
      <c r="B131" s="2" t="s">
        <v>460</v>
      </c>
      <c r="C131" s="2" t="s">
        <v>461</v>
      </c>
      <c r="D131" s="2" t="s">
        <v>160</v>
      </c>
      <c r="E131" s="2" t="s">
        <v>462</v>
      </c>
      <c r="F131" s="2" t="s">
        <v>15</v>
      </c>
      <c r="G131" s="2" t="s">
        <v>463</v>
      </c>
      <c r="H131" s="2" t="s">
        <v>23</v>
      </c>
      <c r="I131" s="2" t="str">
        <f>IFERROR(__xludf.DUMMYFUNCTION("GOOGLETRANSLATE(C131,""fr"",""en"")"),"I am on a work stoppage, and I have been waiting for the supplement of the AG2R provident since November 14, when I read all your opinions I start to think that I will not see the color! My employer called them in early November it is good the file is und"&amp;"erway. To date still nothing .......... I tried to connect to the impossible account, that too is wanted. I sent two unanswered emails of course. My employer recalled he was told they had not received the documents from the security. So I call yesterday a"&amp;"nd a charming gentleman completely to the west, who was expressed like a robot in other words who had nothing to do with it indeed replied your file is blocked I transmit it to the management center. How long do you go for me ??? I lose patience there and"&amp;" when I see all the complaints below we could create a collective and we would certainly win, so stir and quickly!")</f>
        <v>I am on a work stoppage, and I have been waiting for the supplement of the AG2R provident since November 14, when I read all your opinions I start to think that I will not see the color! My employer called them in early November it is good the file is underway. To date still nothing .......... I tried to connect to the impossible account, that too is wanted. I sent two unanswered emails of course. My employer recalled he was told they had not received the documents from the security. So I call yesterday and a charming gentleman completely to the west, who was expressed like a robot in other words who had nothing to do with it indeed replied your file is blocked I transmit it to the management center. How long do you go for me ??? I lose patience there and when I see all the complaints below we could create a collective and we would certainly win, so stir and quickly!</v>
      </c>
    </row>
    <row r="132" ht="15.75" customHeight="1">
      <c r="A132" s="2">
        <v>1.0</v>
      </c>
      <c r="B132" s="2" t="s">
        <v>464</v>
      </c>
      <c r="C132" s="2" t="s">
        <v>465</v>
      </c>
      <c r="D132" s="2" t="s">
        <v>102</v>
      </c>
      <c r="E132" s="2" t="s">
        <v>14</v>
      </c>
      <c r="F132" s="2" t="s">
        <v>15</v>
      </c>
      <c r="G132" s="2" t="s">
        <v>466</v>
      </c>
      <c r="H132" s="2" t="s">
        <v>107</v>
      </c>
      <c r="I132" s="2" t="str">
        <f>IFERROR(__xludf.DUMMYFUNCTION("GOOGLETRANSLATE(C132,""fr"",""en"")"),"Hello,
Ditto for me, I have been assured at Maif for 20 years, I was very satisfied, I even sponsored my wife and daughter who were at the GMF, and today, following a break in ice, I am extremely Disappointed the return of this insurance which does not t"&amp;"ake into account the rain sensor of my Mercedes vehicle, it cannot be dissociated from the windshield, but they tell me that they do not support it however, the garage answers me that it is not dissociable. I must then pay from my pocket, it is unacceptab"&amp;"le.
I also want to specify that yesterday I have a manager on the phone who was highly unpleasant, who replied that it is like that and not otherwise. I also want to say that rain detector is billed 77.18 euros excluding tax and that the MAIF M impacts 1"&amp;"50 euros on the reimbursement invoice for the Mercedes garage.
Really disappointed !!!!")</f>
        <v>Hello,
Ditto for me, I have been assured at Maif for 20 years, I was very satisfied, I even sponsored my wife and daughter who were at the GMF, and today, following a break in ice, I am extremely Disappointed the return of this insurance which does not take into account the rain sensor of my Mercedes vehicle, it cannot be dissociated from the windshield, but they tell me that they do not support it however, the garage answers me that it is not dissociable. I must then pay from my pocket, it is unacceptable.
I also want to specify that yesterday I have a manager on the phone who was highly unpleasant, who replied that it is like that and not otherwise. I also want to say that rain detector is billed 77.18 euros excluding tax and that the MAIF M impacts 150 euros on the reimbursement invoice for the Mercedes garage.
Really disappointed !!!!</v>
      </c>
    </row>
    <row r="133" ht="15.75" customHeight="1">
      <c r="A133" s="2">
        <v>1.0</v>
      </c>
      <c r="B133" s="2" t="s">
        <v>467</v>
      </c>
      <c r="C133" s="2" t="s">
        <v>468</v>
      </c>
      <c r="D133" s="2" t="s">
        <v>13</v>
      </c>
      <c r="E133" s="2" t="s">
        <v>14</v>
      </c>
      <c r="F133" s="2" t="s">
        <v>15</v>
      </c>
      <c r="G133" s="2" t="s">
        <v>469</v>
      </c>
      <c r="H133" s="2" t="s">
        <v>33</v>
      </c>
      <c r="I133" s="2" t="str">
        <f>IFERROR(__xludf.DUMMYFUNCTION("GOOGLETRANSLATE(C133,""fr"",""en"")"),"My residential claim file during treatment for 6 months and still no news !!!
and no longer bother to answer my emails !!
Scandalous !!!!")</f>
        <v>My residential claim file during treatment for 6 months and still no news !!!
and no longer bother to answer my emails !!
Scandalous !!!!</v>
      </c>
    </row>
    <row r="134" ht="15.75" customHeight="1">
      <c r="A134" s="2">
        <v>4.0</v>
      </c>
      <c r="B134" s="2" t="s">
        <v>470</v>
      </c>
      <c r="C134" s="2" t="s">
        <v>471</v>
      </c>
      <c r="D134" s="2" t="s">
        <v>31</v>
      </c>
      <c r="E134" s="2" t="s">
        <v>14</v>
      </c>
      <c r="F134" s="2" t="s">
        <v>15</v>
      </c>
      <c r="G134" s="2" t="s">
        <v>125</v>
      </c>
      <c r="H134" s="2" t="s">
        <v>107</v>
      </c>
      <c r="I134" s="2" t="str">
        <f>IFERROR(__xludf.DUMMYFUNCTION("GOOGLETRANSLATE(C134,""fr"",""en"")"),"For the moment no problem. To see if thereafter the customer service is maintained and if in the event of a glitch insurance follows ... Hoping that small price does not rhyme with very small service!")</f>
        <v>For the moment no problem. To see if thereafter the customer service is maintained and if in the event of a glitch insurance follows ... Hoping that small price does not rhyme with very small service!</v>
      </c>
    </row>
    <row r="135" ht="15.75" customHeight="1">
      <c r="A135" s="2">
        <v>5.0</v>
      </c>
      <c r="B135" s="2" t="s">
        <v>472</v>
      </c>
      <c r="C135" s="2" t="s">
        <v>473</v>
      </c>
      <c r="D135" s="2" t="s">
        <v>13</v>
      </c>
      <c r="E135" s="2" t="s">
        <v>14</v>
      </c>
      <c r="F135" s="2" t="s">
        <v>15</v>
      </c>
      <c r="G135" s="2" t="s">
        <v>474</v>
      </c>
      <c r="H135" s="2" t="s">
        <v>76</v>
      </c>
      <c r="I135" s="2" t="str">
        <f>IFERROR(__xludf.DUMMYFUNCTION("GOOGLETRANSLATE(C135,""fr"",""en"")"),"I am satisfied with the service offered in everything that includes prices and responsibility, speed, flexibility listens, always there when you want a question to a question")</f>
        <v>I am satisfied with the service offered in everything that includes prices and responsibility, speed, flexibility listens, always there when you want a question to a question</v>
      </c>
    </row>
    <row r="136" ht="15.75" customHeight="1">
      <c r="A136" s="2">
        <v>1.0</v>
      </c>
      <c r="B136" s="2" t="s">
        <v>475</v>
      </c>
      <c r="C136" s="2" t="s">
        <v>476</v>
      </c>
      <c r="D136" s="2" t="s">
        <v>477</v>
      </c>
      <c r="E136" s="2" t="s">
        <v>58</v>
      </c>
      <c r="F136" s="2" t="s">
        <v>15</v>
      </c>
      <c r="G136" s="2" t="s">
        <v>478</v>
      </c>
      <c r="H136" s="2" t="s">
        <v>479</v>
      </c>
      <c r="I136" s="2" t="str">
        <f>IFERROR(__xludf.DUMMYFUNCTION("GOOGLETRANSLATE(C136,""fr"",""en"")"),"A quote has 2166 euros/year for at all risk on a motorcycle worth 6000 euros, I want to be considered a young driver on a motorcycle but not having no driving experience.")</f>
        <v>A quote has 2166 euros/year for at all risk on a motorcycle worth 6000 euros, I want to be considered a young driver on a motorcycle but not having no driving experience.</v>
      </c>
    </row>
    <row r="137" ht="15.75" customHeight="1">
      <c r="A137" s="2">
        <v>5.0</v>
      </c>
      <c r="B137" s="2" t="s">
        <v>480</v>
      </c>
      <c r="C137" s="2" t="s">
        <v>481</v>
      </c>
      <c r="D137" s="2" t="s">
        <v>13</v>
      </c>
      <c r="E137" s="2" t="s">
        <v>14</v>
      </c>
      <c r="F137" s="2" t="s">
        <v>15</v>
      </c>
      <c r="G137" s="2" t="s">
        <v>482</v>
      </c>
      <c r="H137" s="2" t="s">
        <v>60</v>
      </c>
      <c r="I137" s="2" t="str">
        <f>IFERROR(__xludf.DUMMYFUNCTION("GOOGLETRANSLATE(C137,""fr"",""en"")"),"This is my second car insurance contract at Direct Insurance and I am really satisfied. Simple and practical service! Everything is clear and above all very fast.")</f>
        <v>This is my second car insurance contract at Direct Insurance and I am really satisfied. Simple and practical service! Everything is clear and above all very fast.</v>
      </c>
    </row>
    <row r="138" ht="15.75" customHeight="1">
      <c r="A138" s="2">
        <v>1.0</v>
      </c>
      <c r="B138" s="2" t="s">
        <v>483</v>
      </c>
      <c r="C138" s="2" t="s">
        <v>484</v>
      </c>
      <c r="D138" s="2" t="s">
        <v>136</v>
      </c>
      <c r="E138" s="2" t="s">
        <v>14</v>
      </c>
      <c r="F138" s="2" t="s">
        <v>15</v>
      </c>
      <c r="G138" s="2" t="s">
        <v>485</v>
      </c>
      <c r="H138" s="2" t="s">
        <v>415</v>
      </c>
      <c r="I138" s="2" t="str">
        <f>IFERROR(__xludf.DUMMYFUNCTION("GOOGLETRANSLATE(C138,""fr"",""en"")"),"A very very long wait for my son's file to be processed following a disaster. Information provided that contradicts according to the advisor we have on the phone. Lack of link and consistency between Crédit Agricole and Pacifica.")</f>
        <v>A very very long wait for my son's file to be processed following a disaster. Information provided that contradicts according to the advisor we have on the phone. Lack of link and consistency between Crédit Agricole and Pacifica.</v>
      </c>
    </row>
    <row r="139" ht="15.75" customHeight="1">
      <c r="A139" s="2">
        <v>1.0</v>
      </c>
      <c r="B139" s="2" t="s">
        <v>486</v>
      </c>
      <c r="C139" s="2" t="s">
        <v>487</v>
      </c>
      <c r="D139" s="2" t="s">
        <v>31</v>
      </c>
      <c r="E139" s="2" t="s">
        <v>14</v>
      </c>
      <c r="F139" s="2" t="s">
        <v>15</v>
      </c>
      <c r="G139" s="2" t="s">
        <v>488</v>
      </c>
      <c r="H139" s="2" t="s">
        <v>111</v>
      </c>
      <c r="I139" s="2" t="str">
        <f>IFERROR(__xludf.DUMMYFUNCTION("GOOGLETRANSLATE(C139,""fr"",""en"")"),"The starting offer was attractive, but in renewal while my bonus has progressed, my sample increases by a € 15 euro. Never seen that.")</f>
        <v>The starting offer was attractive, but in renewal while my bonus has progressed, my sample increases by a € 15 euro. Never seen that.</v>
      </c>
    </row>
    <row r="140" ht="15.75" customHeight="1">
      <c r="A140" s="2">
        <v>4.0</v>
      </c>
      <c r="B140" s="2" t="s">
        <v>489</v>
      </c>
      <c r="C140" s="2" t="s">
        <v>490</v>
      </c>
      <c r="D140" s="2" t="s">
        <v>222</v>
      </c>
      <c r="E140" s="2" t="s">
        <v>21</v>
      </c>
      <c r="F140" s="2" t="s">
        <v>15</v>
      </c>
      <c r="G140" s="2" t="s">
        <v>121</v>
      </c>
      <c r="H140" s="2" t="s">
        <v>122</v>
      </c>
      <c r="I140" s="2" t="str">
        <f>IFERROR(__xludf.DUMMYFUNCTION("GOOGLETRANSLATE(C140,""fr"",""en"")"),"The information asking is very well explained, my needs were understood and a solution was found very quickly. I am very satisfied, and Santine reward. Very attentive staff.")</f>
        <v>The information asking is very well explained, my needs were understood and a solution was found very quickly. I am very satisfied, and Santine reward. Very attentive staff.</v>
      </c>
    </row>
    <row r="141" ht="15.75" customHeight="1">
      <c r="A141" s="2">
        <v>4.0</v>
      </c>
      <c r="B141" s="2" t="s">
        <v>491</v>
      </c>
      <c r="C141" s="2" t="s">
        <v>492</v>
      </c>
      <c r="D141" s="2" t="s">
        <v>79</v>
      </c>
      <c r="E141" s="2" t="s">
        <v>21</v>
      </c>
      <c r="F141" s="2" t="s">
        <v>15</v>
      </c>
      <c r="G141" s="2" t="s">
        <v>493</v>
      </c>
      <c r="H141" s="2" t="s">
        <v>107</v>
      </c>
      <c r="I141" s="2" t="str">
        <f>IFERROR(__xludf.DUMMYFUNCTION("GOOGLETRANSLATE(C141,""fr"",""en"")"),"The advisers are very attentive. They are pleasant, patient and effective. They quickly find an answer to our request. It's a united team.")</f>
        <v>The advisers are very attentive. They are pleasant, patient and effective. They quickly find an answer to our request. It's a united team.</v>
      </c>
    </row>
    <row r="142" ht="15.75" customHeight="1">
      <c r="A142" s="2">
        <v>4.0</v>
      </c>
      <c r="B142" s="2" t="s">
        <v>494</v>
      </c>
      <c r="C142" s="2" t="s">
        <v>495</v>
      </c>
      <c r="D142" s="2" t="s">
        <v>496</v>
      </c>
      <c r="E142" s="2" t="s">
        <v>21</v>
      </c>
      <c r="F142" s="2" t="s">
        <v>15</v>
      </c>
      <c r="G142" s="2" t="s">
        <v>63</v>
      </c>
      <c r="H142" s="2" t="s">
        <v>50</v>
      </c>
      <c r="I142" s="2" t="str">
        <f>IFERROR(__xludf.DUMMYFUNCTION("GOOGLETRANSLATE(C142,""fr"",""en"")"),"Satisfied with the speed of the documents sent by email.
Satisfied with the prices in force because it is reasonable in relation to care.
Cordially")</f>
        <v>Satisfied with the speed of the documents sent by email.
Satisfied with the prices in force because it is reasonable in relation to care.
Cordially</v>
      </c>
    </row>
    <row r="143" ht="15.75" customHeight="1">
      <c r="A143" s="2">
        <v>1.0</v>
      </c>
      <c r="B143" s="2" t="s">
        <v>497</v>
      </c>
      <c r="C143" s="2" t="s">
        <v>498</v>
      </c>
      <c r="D143" s="2" t="s">
        <v>404</v>
      </c>
      <c r="E143" s="2" t="s">
        <v>14</v>
      </c>
      <c r="F143" s="2" t="s">
        <v>15</v>
      </c>
      <c r="G143" s="2" t="s">
        <v>499</v>
      </c>
      <c r="H143" s="2" t="s">
        <v>107</v>
      </c>
      <c r="I143" s="2" t="str">
        <f>IFERROR(__xludf.DUMMYFUNCTION("GOOGLETRANSLATE(C143,""fr"",""en"")"),"They canceled the insurance contract subscribed to my name for a vehicle whose registration card is in my name, because I had the honesty to tell them that my daughter would take the car to her name as soon as she gets her permit")</f>
        <v>They canceled the insurance contract subscribed to my name for a vehicle whose registration card is in my name, because I had the honesty to tell them that my daughter would take the car to her name as soon as she gets her permit</v>
      </c>
    </row>
    <row r="144" ht="15.75" customHeight="1">
      <c r="A144" s="2">
        <v>5.0</v>
      </c>
      <c r="B144" s="2" t="s">
        <v>500</v>
      </c>
      <c r="C144" s="2" t="s">
        <v>501</v>
      </c>
      <c r="D144" s="2" t="s">
        <v>240</v>
      </c>
      <c r="E144" s="2" t="s">
        <v>241</v>
      </c>
      <c r="F144" s="2" t="s">
        <v>15</v>
      </c>
      <c r="G144" s="2" t="s">
        <v>502</v>
      </c>
      <c r="H144" s="2" t="s">
        <v>107</v>
      </c>
      <c r="I144" s="2" t="str">
        <f>IFERROR(__xludf.DUMMYFUNCTION("GOOGLETRANSLATE(C144,""fr"",""en"")"),"Efficient and fast service, several proposals highlighted, reactive and listening staff. Interesting price, clear contract nothing to complain about.
Thanks again.")</f>
        <v>Efficient and fast service, several proposals highlighted, reactive and listening staff. Interesting price, clear contract nothing to complain about.
Thanks again.</v>
      </c>
    </row>
    <row r="145" ht="15.75" customHeight="1">
      <c r="A145" s="2">
        <v>4.0</v>
      </c>
      <c r="B145" s="2" t="s">
        <v>503</v>
      </c>
      <c r="C145" s="2" t="s">
        <v>504</v>
      </c>
      <c r="D145" s="2" t="s">
        <v>222</v>
      </c>
      <c r="E145" s="2" t="s">
        <v>21</v>
      </c>
      <c r="F145" s="2" t="s">
        <v>15</v>
      </c>
      <c r="G145" s="2" t="s">
        <v>505</v>
      </c>
      <c r="H145" s="2" t="s">
        <v>39</v>
      </c>
      <c r="I145" s="2" t="str">
        <f>IFERROR(__xludf.DUMMYFUNCTION("GOOGLETRANSLATE(C145,""fr"",""en"")"),"Very satisfied with the responsiveness of Lamia which answered the questions asked with efficiency and courtesy (question following the hospitalization of my wife and the exceeding of fees observation)")</f>
        <v>Very satisfied with the responsiveness of Lamia which answered the questions asked with efficiency and courtesy (question following the hospitalization of my wife and the exceeding of fees observation)</v>
      </c>
    </row>
    <row r="146" ht="15.75" customHeight="1">
      <c r="A146" s="2">
        <v>1.0</v>
      </c>
      <c r="B146" s="2" t="s">
        <v>506</v>
      </c>
      <c r="C146" s="2" t="s">
        <v>507</v>
      </c>
      <c r="D146" s="2" t="s">
        <v>252</v>
      </c>
      <c r="E146" s="2" t="s">
        <v>21</v>
      </c>
      <c r="F146" s="2" t="s">
        <v>15</v>
      </c>
      <c r="G146" s="2" t="s">
        <v>508</v>
      </c>
      <c r="H146" s="2" t="s">
        <v>509</v>
      </c>
      <c r="I146" s="2" t="str">
        <f>IFERROR(__xludf.DUMMYFUNCTION("GOOGLETRANSLATE(C146,""fr"",""en"")"),"I tried to terminate in early February. They did not answer me the emails (3 emails were necessary) until the end of March. They did not take steps until June !! In addition, I had a hospital protection contract that, logically, did not automatically term"&amp;"inate ... So I had to start again with the emails. They told me it was good and a few months later, they continued to take me 2.14 euros per month. In short, no quality service, very bad customer service and my money who disappears without worry.")</f>
        <v>I tried to terminate in early February. They did not answer me the emails (3 emails were necessary) until the end of March. They did not take steps until June !! In addition, I had a hospital protection contract that, logically, did not automatically terminate ... So I had to start again with the emails. They told me it was good and a few months later, they continued to take me 2.14 euros per month. In short, no quality service, very bad customer service and my money who disappears without worry.</v>
      </c>
    </row>
    <row r="147" ht="15.75" customHeight="1">
      <c r="A147" s="2">
        <v>1.0</v>
      </c>
      <c r="B147" s="2" t="s">
        <v>510</v>
      </c>
      <c r="C147" s="2" t="s">
        <v>511</v>
      </c>
      <c r="D147" s="2" t="s">
        <v>31</v>
      </c>
      <c r="E147" s="2" t="s">
        <v>14</v>
      </c>
      <c r="F147" s="2" t="s">
        <v>15</v>
      </c>
      <c r="G147" s="2" t="s">
        <v>512</v>
      </c>
      <c r="H147" s="2" t="s">
        <v>122</v>
      </c>
      <c r="I147" s="2" t="str">
        <f>IFERROR(__xludf.DUMMYFUNCTION("GOOGLETRANSLATE(C147,""fr"",""en"")"),"I firmly decide this insurance. No responsiveness or reliability. Sinister dated August 23, 2017, almost 7 months later, still not compensated or fixed responsibilities, no replacement vehicle, however, I am in all risks !! Nothing complicated on this dis"&amp;"aster, a basic hanging with an opposing part !! Incompetent staff, and more than limited guarantees for a contract for any risk. If you do not want to have a problem especially to avoid this company at all costs")</f>
        <v>I firmly decide this insurance. No responsiveness or reliability. Sinister dated August 23, 2017, almost 7 months later, still not compensated or fixed responsibilities, no replacement vehicle, however, I am in all risks !! Nothing complicated on this disaster, a basic hanging with an opposing part !! Incompetent staff, and more than limited guarantees for a contract for any risk. If you do not want to have a problem especially to avoid this company at all costs</v>
      </c>
    </row>
    <row r="148" ht="15.75" customHeight="1">
      <c r="A148" s="2">
        <v>2.0</v>
      </c>
      <c r="B148" s="2" t="s">
        <v>513</v>
      </c>
      <c r="C148" s="2" t="s">
        <v>514</v>
      </c>
      <c r="D148" s="2" t="s">
        <v>293</v>
      </c>
      <c r="E148" s="2" t="s">
        <v>14</v>
      </c>
      <c r="F148" s="2" t="s">
        <v>15</v>
      </c>
      <c r="G148" s="2" t="s">
        <v>515</v>
      </c>
      <c r="H148" s="2" t="s">
        <v>516</v>
      </c>
      <c r="I148" s="2" t="str">
        <f>IFERROR(__xludf.DUMMYFUNCTION("GOOGLETRANSLATE(C148,""fr"",""en"")"),"Please note, this insurance does not hesitate to deceive people so that you subscribe to them .... costs are billed to you and they take the freedom to increase the monthly payments despite that you refuse the new quote !!! They refuse to recognize an inf"&amp;"ormation statement when others accept it !!! No provisional green card ....")</f>
        <v>Please note, this insurance does not hesitate to deceive people so that you subscribe to them .... costs are billed to you and they take the freedom to increase the monthly payments despite that you refuse the new quote !!! They refuse to recognize an information statement when others accept it !!! No provisional green card ....</v>
      </c>
    </row>
    <row r="149" ht="15.75" customHeight="1">
      <c r="A149" s="2">
        <v>4.0</v>
      </c>
      <c r="B149" s="2" t="s">
        <v>517</v>
      </c>
      <c r="C149" s="2" t="s">
        <v>518</v>
      </c>
      <c r="D149" s="2" t="s">
        <v>13</v>
      </c>
      <c r="E149" s="2" t="s">
        <v>14</v>
      </c>
      <c r="F149" s="2" t="s">
        <v>15</v>
      </c>
      <c r="G149" s="2" t="s">
        <v>519</v>
      </c>
      <c r="H149" s="2" t="s">
        <v>50</v>
      </c>
      <c r="I149" s="2" t="str">
        <f>IFERROR(__xludf.DUMMYFUNCTION("GOOGLETRANSLATE(C149,""fr"",""en"")"),"The person I had online yesterday was able to advise me perfectly without forceing my hand to sell at all costs.
Correct price. Hoping not to see an increase without reason in 1 year, otherwise I will be forced to change again.")</f>
        <v>The person I had online yesterday was able to advise me perfectly without forceing my hand to sell at all costs.
Correct price. Hoping not to see an increase without reason in 1 year, otherwise I will be forced to change again.</v>
      </c>
    </row>
    <row r="150" ht="15.75" customHeight="1">
      <c r="A150" s="2">
        <v>1.0</v>
      </c>
      <c r="B150" s="2" t="s">
        <v>520</v>
      </c>
      <c r="C150" s="2" t="s">
        <v>521</v>
      </c>
      <c r="D150" s="2" t="s">
        <v>84</v>
      </c>
      <c r="E150" s="2" t="s">
        <v>14</v>
      </c>
      <c r="F150" s="2" t="s">
        <v>15</v>
      </c>
      <c r="G150" s="2" t="s">
        <v>522</v>
      </c>
      <c r="H150" s="2" t="s">
        <v>431</v>
      </c>
      <c r="I150" s="2" t="str">
        <f>IFERROR(__xludf.DUMMYFUNCTION("GOOGLETRANSLATE(C150,""fr"",""en"")"),"I have been waiting for a refund of my vandalized vehicle and still nothing despite my phone call for 9 months.
Even the steps it was I who had to do them as requested an expertise concerned.
Officials of vandalism despite being tried I am still not rei"&amp;"mbursed.
Second file my responsibility still not. Hired I have been waiting for a little more than 6 months to reimburse my franchise and a tire.
A shame.
Each time the same catchphrase contact the relationship service but it does nothing.
People deal"&amp;"ing with the file are never the same and never answer us to the questions asked.
Despite my seniority at the Macif I think of leaving because they have indeed lost their seriousness.
Their only concerns make money by reducing our guarantees without some"&amp;"times knowing it.")</f>
        <v>I have been waiting for a refund of my vandalized vehicle and still nothing despite my phone call for 9 months.
Even the steps it was I who had to do them as requested an expertise concerned.
Officials of vandalism despite being tried I am still not reimbursed.
Second file my responsibility still not. Hired I have been waiting for a little more than 6 months to reimburse my franchise and a tire.
A shame.
Each time the same catchphrase contact the relationship service but it does nothing.
People dealing with the file are never the same and never answer us to the questions asked.
Despite my seniority at the Macif I think of leaving because they have indeed lost their seriousness.
Their only concerns make money by reducing our guarantees without sometimes knowing it.</v>
      </c>
    </row>
    <row r="151" ht="15.75" customHeight="1">
      <c r="A151" s="2">
        <v>5.0</v>
      </c>
      <c r="B151" s="2" t="s">
        <v>523</v>
      </c>
      <c r="C151" s="2" t="s">
        <v>524</v>
      </c>
      <c r="D151" s="2" t="s">
        <v>13</v>
      </c>
      <c r="E151" s="2" t="s">
        <v>14</v>
      </c>
      <c r="F151" s="2" t="s">
        <v>15</v>
      </c>
      <c r="G151" s="2" t="s">
        <v>525</v>
      </c>
      <c r="H151" s="2" t="s">
        <v>60</v>
      </c>
      <c r="I151" s="2" t="str">
        <f>IFERROR(__xludf.DUMMYFUNCTION("GOOGLETRANSLATE(C151,""fr"",""en"")"),"I am very satisfied with the service!
Very fast and efficient!
The price is very competitive and online registration spares the many more or less exotic requests for certain insurances.")</f>
        <v>I am very satisfied with the service!
Very fast and efficient!
The price is very competitive and online registration spares the many more or less exotic requests for certain insurances.</v>
      </c>
    </row>
    <row r="152" ht="15.75" customHeight="1">
      <c r="A152" s="2">
        <v>2.0</v>
      </c>
      <c r="B152" s="2" t="s">
        <v>526</v>
      </c>
      <c r="C152" s="2" t="s">
        <v>527</v>
      </c>
      <c r="D152" s="2" t="s">
        <v>168</v>
      </c>
      <c r="E152" s="2" t="s">
        <v>103</v>
      </c>
      <c r="F152" s="2" t="s">
        <v>15</v>
      </c>
      <c r="G152" s="2" t="s">
        <v>528</v>
      </c>
      <c r="H152" s="2" t="s">
        <v>184</v>
      </c>
      <c r="I152" s="2" t="str">
        <f>IFERROR(__xludf.DUMMYFUNCTION("GOOGLETRANSLATE(C152,""fr"",""en"")"),"Attractive price / satisfactory warranty on paper
A small water degate in 2018 or I am playing the mmaf =&gt; independence 1200th
A second watershed in late 2020 or I had the maaf =&gt; compensation 900E
Everyone is very reactive present. However, I have t"&amp;"he desagreable surprise to receive a letter informing me that the MMAF resilies my insurance at 12/31 for loss frequencies .... 2 minor claims in 3 years for an amount of 2000th ....
After that becomes hell, no insurance wants you with the black resili"&amp;"ation brand ... I manage all the same to plead my case with an insurer who finds the reasons for termination really exaggerated. He is ready to make sure but requests a statement of claims coming from the maaf proving my statements.
=&gt; I call my maaf age"&amp;"ncy, which sends me to contemptuous roses telling me that this paper is impossible to do. ... I remind you of the seat, even position ... suddenly the other insurer does not want to make sure of having this relegated ...
In short, flee the maaf. They o"&amp;"nly want contracts without disaster and you will terminate if you have the misfortune to declare a problem. Even worse, they will not even have the elegance to make you a paper so that you can reassure yourself later.
")</f>
        <v>Attractive price / satisfactory warranty on paper
A small water degate in 2018 or I am playing the mmaf =&gt; independence 1200th
A second watershed in late 2020 or I had the maaf =&gt; compensation 900E
Everyone is very reactive present. However, I have the desagreable surprise to receive a letter informing me that the MMAF resilies my insurance at 12/31 for loss frequencies .... 2 minor claims in 3 years for an amount of 2000th ....
After that becomes hell, no insurance wants you with the black resiliation brand ... I manage all the same to plead my case with an insurer who finds the reasons for termination really exaggerated. He is ready to make sure but requests a statement of claims coming from the maaf proving my statements.
=&gt; I call my maaf agency, which sends me to contemptuous roses telling me that this paper is impossible to do. ... I remind you of the seat, even position ... suddenly the other insurer does not want to make sure of having this relegated ...
In short, flee the maaf. They only want contracts without disaster and you will terminate if you have the misfortune to declare a problem. Even worse, they will not even have the elegance to make you a paper so that you can reassure yourself later.
</v>
      </c>
    </row>
    <row r="153" ht="15.75" customHeight="1">
      <c r="A153" s="2">
        <v>2.0</v>
      </c>
      <c r="B153" s="2" t="s">
        <v>529</v>
      </c>
      <c r="C153" s="2" t="s">
        <v>530</v>
      </c>
      <c r="D153" s="2" t="s">
        <v>84</v>
      </c>
      <c r="E153" s="2" t="s">
        <v>103</v>
      </c>
      <c r="F153" s="2" t="s">
        <v>15</v>
      </c>
      <c r="G153" s="2" t="s">
        <v>531</v>
      </c>
      <c r="H153" s="2" t="s">
        <v>532</v>
      </c>
      <c r="I153" s="2" t="str">
        <f>IFERROR(__xludf.DUMMYFUNCTION("GOOGLETRANSLATE(C153,""fr"",""en"")"),"Insured for 45 years, 4 current contracts, car bonus of 50% plus 10%. I will terminate all my contracts. Very badly received during the last meeting, I did not expect that. They will not be taken over.")</f>
        <v>Insured for 45 years, 4 current contracts, car bonus of 50% plus 10%. I will terminate all my contracts. Very badly received during the last meeting, I did not expect that. They will not be taken over.</v>
      </c>
    </row>
    <row r="154" ht="15.75" customHeight="1">
      <c r="A154" s="2">
        <v>5.0</v>
      </c>
      <c r="B154" s="2" t="s">
        <v>533</v>
      </c>
      <c r="C154" s="2" t="s">
        <v>534</v>
      </c>
      <c r="D154" s="2" t="s">
        <v>13</v>
      </c>
      <c r="E154" s="2" t="s">
        <v>14</v>
      </c>
      <c r="F154" s="2" t="s">
        <v>15</v>
      </c>
      <c r="G154" s="2" t="s">
        <v>535</v>
      </c>
      <c r="H154" s="2" t="s">
        <v>107</v>
      </c>
      <c r="I154" s="2" t="str">
        <f>IFERROR(__xludf.DUMMYFUNCTION("GOOGLETRANSLATE(C154,""fr"",""en"")"),"I am satisfied with the service thank you very much for this direct insurance is a fairly generic form of the need for youth and the private drivers")</f>
        <v>I am satisfied with the service thank you very much for this direct insurance is a fairly generic form of the need for youth and the private drivers</v>
      </c>
    </row>
    <row r="155" ht="15.75" customHeight="1">
      <c r="A155" s="2">
        <v>5.0</v>
      </c>
      <c r="B155" s="2" t="s">
        <v>536</v>
      </c>
      <c r="C155" s="2" t="s">
        <v>537</v>
      </c>
      <c r="D155" s="2" t="s">
        <v>31</v>
      </c>
      <c r="E155" s="2" t="s">
        <v>14</v>
      </c>
      <c r="F155" s="2" t="s">
        <v>15</v>
      </c>
      <c r="G155" s="2" t="s">
        <v>525</v>
      </c>
      <c r="H155" s="2" t="s">
        <v>60</v>
      </c>
      <c r="I155" s="2" t="str">
        <f>IFERROR(__xludf.DUMMYFUNCTION("GOOGLETRANSLATE(C155,""fr"",""en"")"),"I am satisfied with the service… prices suit me perfectly…. Best price in car service! very happy !")</f>
        <v>I am satisfied with the service… prices suit me perfectly…. Best price in car service! very happy !</v>
      </c>
    </row>
    <row r="156" ht="15.75" customHeight="1">
      <c r="A156" s="2">
        <v>2.0</v>
      </c>
      <c r="B156" s="2" t="s">
        <v>538</v>
      </c>
      <c r="C156" s="2" t="s">
        <v>539</v>
      </c>
      <c r="D156" s="2" t="s">
        <v>57</v>
      </c>
      <c r="E156" s="2" t="s">
        <v>58</v>
      </c>
      <c r="F156" s="2" t="s">
        <v>15</v>
      </c>
      <c r="G156" s="2" t="s">
        <v>540</v>
      </c>
      <c r="H156" s="2" t="s">
        <v>50</v>
      </c>
      <c r="I156" s="2" t="str">
        <f>IFERROR(__xludf.DUMMYFUNCTION("GOOGLETRANSLATE(C156,""fr"",""en"")"),"Very surprised by the price difference between my old contract and the new. So I will compare with other insurances.
No commercial gesture to stay with AMV after 4 years without incident, I find it a shame.")</f>
        <v>Very surprised by the price difference between my old contract and the new. So I will compare with other insurances.
No commercial gesture to stay with AMV after 4 years without incident, I find it a shame.</v>
      </c>
    </row>
    <row r="157" ht="15.75" customHeight="1">
      <c r="A157" s="2">
        <v>3.0</v>
      </c>
      <c r="B157" s="2" t="s">
        <v>541</v>
      </c>
      <c r="C157" s="2" t="s">
        <v>542</v>
      </c>
      <c r="D157" s="2" t="s">
        <v>31</v>
      </c>
      <c r="E157" s="2" t="s">
        <v>14</v>
      </c>
      <c r="F157" s="2" t="s">
        <v>15</v>
      </c>
      <c r="G157" s="2" t="s">
        <v>543</v>
      </c>
      <c r="H157" s="2" t="s">
        <v>17</v>
      </c>
      <c r="I157" s="2" t="str">
        <f>IFERROR(__xludf.DUMMYFUNCTION("GOOGLETRANSLATE(C157,""fr"",""en"")"),"Really a shame not to be able to subscribe to an all risk formula for an import of vehicle, and impossible to obtain its price for a future tilting.")</f>
        <v>Really a shame not to be able to subscribe to an all risk formula for an import of vehicle, and impossible to obtain its price for a future tilting.</v>
      </c>
    </row>
    <row r="158" ht="15.75" customHeight="1">
      <c r="A158" s="2">
        <v>1.0</v>
      </c>
      <c r="B158" s="2" t="s">
        <v>544</v>
      </c>
      <c r="C158" s="2" t="s">
        <v>545</v>
      </c>
      <c r="D158" s="2" t="s">
        <v>252</v>
      </c>
      <c r="E158" s="2" t="s">
        <v>21</v>
      </c>
      <c r="F158" s="2" t="s">
        <v>15</v>
      </c>
      <c r="G158" s="2" t="s">
        <v>485</v>
      </c>
      <c r="H158" s="2" t="s">
        <v>415</v>
      </c>
      <c r="I158" s="2" t="str">
        <f>IFERROR(__xludf.DUMMYFUNCTION("GOOGLETRANSLATE(C158,""fr"",""en"")"),"The worst mutuals. They do everything not to reimburse certain visits to the hospital or at the doctor by asking for documents not found.
The latest: ENT appointment for my daughter. The doctor only makes me pay for the mutual share. The vital card does "&amp;"not work and gives me a leaf to send to the CPAM.
I send in Mutuelle Harmonie the copy of the monthly reimbursement statements and I am asked for the original of the invoice justifying the payment of the moderator ticket.
Explain to me or I will find th"&amp;"is document ???")</f>
        <v>The worst mutuals. They do everything not to reimburse certain visits to the hospital or at the doctor by asking for documents not found.
The latest: ENT appointment for my daughter. The doctor only makes me pay for the mutual share. The vital card does not work and gives me a leaf to send to the CPAM.
I send in Mutuelle Harmonie the copy of the monthly reimbursement statements and I am asked for the original of the invoice justifying the payment of the moderator ticket.
Explain to me or I will find this document ???</v>
      </c>
    </row>
    <row r="159" ht="15.75" customHeight="1">
      <c r="A159" s="2">
        <v>2.0</v>
      </c>
      <c r="B159" s="2" t="s">
        <v>546</v>
      </c>
      <c r="C159" s="2" t="s">
        <v>547</v>
      </c>
      <c r="D159" s="2" t="s">
        <v>31</v>
      </c>
      <c r="E159" s="2" t="s">
        <v>14</v>
      </c>
      <c r="F159" s="2" t="s">
        <v>15</v>
      </c>
      <c r="G159" s="2" t="s">
        <v>548</v>
      </c>
      <c r="H159" s="2" t="s">
        <v>549</v>
      </c>
      <c r="I159" s="2" t="str">
        <f>IFERROR(__xludf.DUMMYFUNCTION("GOOGLETRANSLATE(C159,""fr"",""en"")"),"Correct price, shabby customer service, endless waiting time on the phone, the website does not work well in order to make research of its own account inaccessible")</f>
        <v>Correct price, shabby customer service, endless waiting time on the phone, the website does not work well in order to make research of its own account inaccessible</v>
      </c>
    </row>
    <row r="160" ht="15.75" customHeight="1">
      <c r="A160" s="2">
        <v>1.0</v>
      </c>
      <c r="B160" s="2" t="s">
        <v>550</v>
      </c>
      <c r="C160" s="2" t="s">
        <v>551</v>
      </c>
      <c r="D160" s="2" t="s">
        <v>437</v>
      </c>
      <c r="E160" s="2" t="s">
        <v>21</v>
      </c>
      <c r="F160" s="2" t="s">
        <v>15</v>
      </c>
      <c r="G160" s="2" t="s">
        <v>552</v>
      </c>
      <c r="H160" s="2" t="s">
        <v>415</v>
      </c>
      <c r="I160" s="2" t="str">
        <f>IFERROR(__xludf.DUMMYFUNCTION("GOOGLETRANSLATE(C160,""fr"",""en"")"),"I made sure after the end of the portability of my former Eovi mutual. I needed dental care and I tried to see with carte blanche the healthcare professionals in my city. All those I contacted are referenced on carte blanche but in reality they do not kno"&amp;"w carte blanche or n ' never joined it. I fear the worst for my future reimbursements. If I do not have a way to terminate my contract I will go through justice because it will cost me less than paying unwanted years. There are only 15 days that my contra"&amp;"ct has already started Cegema's problems is to be flee")</f>
        <v>I made sure after the end of the portability of my former Eovi mutual. I needed dental care and I tried to see with carte blanche the healthcare professionals in my city. All those I contacted are referenced on carte blanche but in reality they do not know carte blanche or n ' never joined it. I fear the worst for my future reimbursements. If I do not have a way to terminate my contract I will go through justice because it will cost me less than paying unwanted years. There are only 15 days that my contract has already started Cegema's problems is to be flee</v>
      </c>
    </row>
    <row r="161" ht="15.75" customHeight="1">
      <c r="A161" s="2">
        <v>4.0</v>
      </c>
      <c r="B161" s="2" t="s">
        <v>553</v>
      </c>
      <c r="C161" s="2" t="s">
        <v>554</v>
      </c>
      <c r="D161" s="2" t="s">
        <v>13</v>
      </c>
      <c r="E161" s="2" t="s">
        <v>14</v>
      </c>
      <c r="F161" s="2" t="s">
        <v>15</v>
      </c>
      <c r="G161" s="2" t="s">
        <v>555</v>
      </c>
      <c r="H161" s="2" t="s">
        <v>50</v>
      </c>
      <c r="I161" s="2" t="str">
        <f>IFERROR(__xludf.DUMMYFUNCTION("GOOGLETRANSLATE(C161,""fr"",""en"")"),"The prices are attractive to see for duration for the service, it's simple and quick.
The site and clear and the registration and therefore facilitates.
The guarantees are correct the value for money and really interesting")</f>
        <v>The prices are attractive to see for duration for the service, it's simple and quick.
The site and clear and the registration and therefore facilitates.
The guarantees are correct the value for money and really interesting</v>
      </c>
    </row>
    <row r="162" ht="15.75" customHeight="1">
      <c r="A162" s="2">
        <v>3.0</v>
      </c>
      <c r="B162" s="2" t="s">
        <v>556</v>
      </c>
      <c r="C162" s="2" t="s">
        <v>557</v>
      </c>
      <c r="D162" s="2" t="s">
        <v>182</v>
      </c>
      <c r="E162" s="2" t="s">
        <v>14</v>
      </c>
      <c r="F162" s="2" t="s">
        <v>15</v>
      </c>
      <c r="G162" s="2" t="s">
        <v>558</v>
      </c>
      <c r="H162" s="2" t="s">
        <v>559</v>
      </c>
      <c r="I162" s="2" t="str">
        <f>IFERROR(__xludf.DUMMYFUNCTION("GOOGLETRANSLATE(C162,""fr"",""en"")"),"There is no perfect insurance, only your advisor can be. I chose, tested my advisor, clearly said what was assured or not, verifiable on the general conditions, which must be admitted are indigestible as possible. Like some I preferred good coverage at a "&amp;"good price.
I assure what, that they will be my disappointments in the event of an accident, breakdown, fire etc, and there, we do not all have the same priorities.
Until then AXA to respect its commitments, both in terms of cars, from the legal protect"&amp;"ion house, the GAV being more a small gift for my insurer for service rendered.
My agency is in Guer Coetquidan in Morbihan.")</f>
        <v>There is no perfect insurance, only your advisor can be. I chose, tested my advisor, clearly said what was assured or not, verifiable on the general conditions, which must be admitted are indigestible as possible. Like some I preferred good coverage at a good price.
I assure what, that they will be my disappointments in the event of an accident, breakdown, fire etc, and there, we do not all have the same priorities.
Until then AXA to respect its commitments, both in terms of cars, from the legal protection house, the GAV being more a small gift for my insurer for service rendered.
My agency is in Guer Coetquidan in Morbihan.</v>
      </c>
    </row>
    <row r="163" ht="15.75" customHeight="1">
      <c r="A163" s="2">
        <v>5.0</v>
      </c>
      <c r="B163" s="2" t="s">
        <v>560</v>
      </c>
      <c r="C163" s="2" t="s">
        <v>561</v>
      </c>
      <c r="D163" s="2" t="s">
        <v>31</v>
      </c>
      <c r="E163" s="2" t="s">
        <v>14</v>
      </c>
      <c r="F163" s="2" t="s">
        <v>15</v>
      </c>
      <c r="G163" s="2" t="s">
        <v>562</v>
      </c>
      <c r="H163" s="2" t="s">
        <v>76</v>
      </c>
      <c r="I163" s="2" t="str">
        <f>IFERROR(__xludf.DUMMYFUNCTION("GOOGLETRANSLATE(C163,""fr"",""en"")"),"I am satisfied with sympathetic and responsive customer service advantageous price compared to other insurances I was at Euro insurance I stayed there for a month the aggressive advisor wanting to make forced sale we make you blackmail for the slightest d"&amp;"esire to see elsewhere I strongly recommends the olive assurance I pay less than 1000 euros unlike Europe Insurance or I was 2000 for the same services")</f>
        <v>I am satisfied with sympathetic and responsive customer service advantageous price compared to other insurances I was at Euro insurance I stayed there for a month the aggressive advisor wanting to make forced sale we make you blackmail for the slightest desire to see elsewhere I strongly recommends the olive assurance I pay less than 1000 euros unlike Europe Insurance or I was 2000 for the same services</v>
      </c>
    </row>
    <row r="164" ht="15.75" customHeight="1">
      <c r="A164" s="2">
        <v>2.0</v>
      </c>
      <c r="B164" s="2" t="s">
        <v>563</v>
      </c>
      <c r="C164" s="2" t="s">
        <v>564</v>
      </c>
      <c r="D164" s="2" t="s">
        <v>31</v>
      </c>
      <c r="E164" s="2" t="s">
        <v>14</v>
      </c>
      <c r="F164" s="2" t="s">
        <v>15</v>
      </c>
      <c r="G164" s="2" t="s">
        <v>565</v>
      </c>
      <c r="H164" s="2" t="s">
        <v>566</v>
      </c>
      <c r="I164" s="2" t="str">
        <f>IFERROR(__xludf.DUMMYFUNCTION("GOOGLETRANSLATE(C164,""fr"",""en"")"),"After taking out a car insurance contract a month and a half ago I still do not have a green card.
Having reported an error on the contract, namely a bad bonus-malus (the cause: a document from my previous insurer which was not up to date) they still h"&amp;"ave not adjusted my contract. I contacted them for rectification a few days after paying my insurance I had no sign of life from them since and my temporary insurance matters !!
I contacted customer service three times to report the anomaly and adjust "&amp;"my contract. They assured me to come back to me what they have never done.
I sent them four email by indicating the problem for them to make a change of contract and make a dripping adjustment and I always wait for their ""return within 48 hours""
M"&amp;"y temporary insurance matches a few days and I still don't have a green card. The olive assurance puts me in a dangerous situation.")</f>
        <v>After taking out a car insurance contract a month and a half ago I still do not have a green card.
Having reported an error on the contract, namely a bad bonus-malus (the cause: a document from my previous insurer which was not up to date) they still have not adjusted my contract. I contacted them for rectification a few days after paying my insurance I had no sign of life from them since and my temporary insurance matters !!
I contacted customer service three times to report the anomaly and adjust my contract. They assured me to come back to me what they have never done.
I sent them four email by indicating the problem for them to make a change of contract and make a dripping adjustment and I always wait for their "return within 48 hours"
My temporary insurance matches a few days and I still don't have a green card. The olive assurance puts me in a dangerous situation.</v>
      </c>
    </row>
    <row r="165" ht="15.75" customHeight="1">
      <c r="A165" s="2">
        <v>4.0</v>
      </c>
      <c r="B165" s="2" t="s">
        <v>567</v>
      </c>
      <c r="C165" s="2" t="s">
        <v>568</v>
      </c>
      <c r="D165" s="2" t="s">
        <v>13</v>
      </c>
      <c r="E165" s="2" t="s">
        <v>14</v>
      </c>
      <c r="F165" s="2" t="s">
        <v>15</v>
      </c>
      <c r="G165" s="2" t="s">
        <v>519</v>
      </c>
      <c r="H165" s="2" t="s">
        <v>50</v>
      </c>
      <c r="I165" s="2" t="str">
        <f>IFERROR(__xludf.DUMMYFUNCTION("GOOGLETRANSLATE(C165,""fr"",""en"")"),"For the moment no negative return, but I only follow at the subscription. It remains to confirm this good impression in case of hazards or accident with my vehicle.")</f>
        <v>For the moment no negative return, but I only follow at the subscription. It remains to confirm this good impression in case of hazards or accident with my vehicle.</v>
      </c>
    </row>
    <row r="166" ht="15.75" customHeight="1">
      <c r="A166" s="2">
        <v>3.0</v>
      </c>
      <c r="B166" s="2" t="s">
        <v>569</v>
      </c>
      <c r="C166" s="2" t="s">
        <v>570</v>
      </c>
      <c r="D166" s="2" t="s">
        <v>117</v>
      </c>
      <c r="E166" s="2" t="s">
        <v>14</v>
      </c>
      <c r="F166" s="2" t="s">
        <v>15</v>
      </c>
      <c r="G166" s="2" t="s">
        <v>339</v>
      </c>
      <c r="H166" s="2" t="s">
        <v>50</v>
      </c>
      <c r="I166" s="2" t="str">
        <f>IFERROR(__xludf.DUMMYFUNCTION("GOOGLETRANSLATE(C166,""fr"",""en"")"),"I find that the subscription for monthly payment is a little high.
Otherwise we have always been very well received by your advisers whether on the phone or in agency.")</f>
        <v>I find that the subscription for monthly payment is a little high.
Otherwise we have always been very well received by your advisers whether on the phone or in agency.</v>
      </c>
    </row>
    <row r="167" ht="15.75" customHeight="1">
      <c r="A167" s="2">
        <v>5.0</v>
      </c>
      <c r="B167" s="2" t="s">
        <v>571</v>
      </c>
      <c r="C167" s="2" t="s">
        <v>572</v>
      </c>
      <c r="D167" s="2" t="s">
        <v>84</v>
      </c>
      <c r="E167" s="2" t="s">
        <v>14</v>
      </c>
      <c r="F167" s="2" t="s">
        <v>15</v>
      </c>
      <c r="G167" s="2" t="s">
        <v>573</v>
      </c>
      <c r="H167" s="2" t="s">
        <v>574</v>
      </c>
      <c r="I167" s="2" t="str">
        <f>IFERROR(__xludf.DUMMYFUNCTION("GOOGLETRANSLATE(C167,""fr"",""en"")"),"Client for over 20 years I have only compliments to do at the Macif. Competent reactive, low price, that more. I am ensured for cars, house etc. Even in the event of a claim I have never encountered a problem with their services everything is solved very "&amp;"quickly")</f>
        <v>Client for over 20 years I have only compliments to do at the Macif. Competent reactive, low price, that more. I am ensured for cars, house etc. Even in the event of a claim I have never encountered a problem with their services everything is solved very quickly</v>
      </c>
    </row>
    <row r="168" ht="15.75" customHeight="1">
      <c r="A168" s="2">
        <v>1.0</v>
      </c>
      <c r="B168" s="2" t="s">
        <v>575</v>
      </c>
      <c r="C168" s="2" t="s">
        <v>576</v>
      </c>
      <c r="D168" s="2" t="s">
        <v>84</v>
      </c>
      <c r="E168" s="2" t="s">
        <v>103</v>
      </c>
      <c r="F168" s="2" t="s">
        <v>15</v>
      </c>
      <c r="G168" s="2" t="s">
        <v>577</v>
      </c>
      <c r="H168" s="2" t="s">
        <v>295</v>
      </c>
      <c r="I168" s="2" t="str">
        <f>IFERROR(__xludf.DUMMYFUNCTION("GOOGLETRANSLATE(C168,""fr"",""en"")"),"Please note, not having to use the Macif indeed as soon as there is a problem this one is unable to explain how the processing of the file will take place. Indeed after having had damage (attempted to break down the home) 2 weeks ago
IMHA explains to us "&amp;"that our file cannot be processed as it is and that an expert must be passed. At first it was confirmed to us that it was not useful !! understands that he can.")</f>
        <v>Please note, not having to use the Macif indeed as soon as there is a problem this one is unable to explain how the processing of the file will take place. Indeed after having had damage (attempted to break down the home) 2 weeks ago
IMHA explains to us that our file cannot be processed as it is and that an expert must be passed. At first it was confirmed to us that it was not useful !! understands that he can.</v>
      </c>
    </row>
    <row r="169" ht="15.75" customHeight="1">
      <c r="A169" s="2">
        <v>4.0</v>
      </c>
      <c r="B169" s="2" t="s">
        <v>578</v>
      </c>
      <c r="C169" s="2" t="s">
        <v>579</v>
      </c>
      <c r="D169" s="2" t="s">
        <v>31</v>
      </c>
      <c r="E169" s="2" t="s">
        <v>14</v>
      </c>
      <c r="F169" s="2" t="s">
        <v>15</v>
      </c>
      <c r="G169" s="2" t="s">
        <v>580</v>
      </c>
      <c r="H169" s="2" t="s">
        <v>60</v>
      </c>
      <c r="I169" s="2" t="str">
        <f>IFERROR(__xludf.DUMMYFUNCTION("GOOGLETRANSLATE(C169,""fr"",""en"")"),"I am satisfied with the services, the advisers are great.
Prices suit me, they are great for young drivers with several accidents")</f>
        <v>I am satisfied with the services, the advisers are great.
Prices suit me, they are great for young drivers with several accidents</v>
      </c>
    </row>
    <row r="170" ht="15.75" customHeight="1">
      <c r="A170" s="2">
        <v>4.0</v>
      </c>
      <c r="B170" s="2" t="s">
        <v>581</v>
      </c>
      <c r="C170" s="2" t="s">
        <v>582</v>
      </c>
      <c r="D170" s="2" t="s">
        <v>31</v>
      </c>
      <c r="E170" s="2" t="s">
        <v>14</v>
      </c>
      <c r="F170" s="2" t="s">
        <v>15</v>
      </c>
      <c r="G170" s="2" t="s">
        <v>32</v>
      </c>
      <c r="H170" s="2" t="s">
        <v>33</v>
      </c>
      <c r="I170" s="2" t="str">
        <f>IFERROR(__xludf.DUMMYFUNCTION("GOOGLETRANSLATE(C170,""fr"",""en"")"),"I find that the monthly prices are reasonable on the other hand there is a lot of franchise has paid what comes back quickly very expensive in the event of an accident, but hey overall it suits me.")</f>
        <v>I find that the monthly prices are reasonable on the other hand there is a lot of franchise has paid what comes back quickly very expensive in the event of an accident, but hey overall it suits me.</v>
      </c>
    </row>
    <row r="171" ht="15.75" customHeight="1">
      <c r="A171" s="2">
        <v>5.0</v>
      </c>
      <c r="B171" s="2" t="s">
        <v>583</v>
      </c>
      <c r="C171" s="2" t="s">
        <v>584</v>
      </c>
      <c r="D171" s="2" t="s">
        <v>13</v>
      </c>
      <c r="E171" s="2" t="s">
        <v>14</v>
      </c>
      <c r="F171" s="2" t="s">
        <v>15</v>
      </c>
      <c r="G171" s="2" t="s">
        <v>585</v>
      </c>
      <c r="H171" s="2" t="s">
        <v>39</v>
      </c>
      <c r="I171" s="2" t="str">
        <f>IFERROR(__xludf.DUMMYFUNCTION("GOOGLETRANSLATE(C171,""fr"",""en"")"),"I am very happy with the quality of care of Direct Insurance.
Everything is clear fluid, team attentive to your problems
speed, quality of execution in a super word
Best regards
MR golden
")</f>
        <v>I am very happy with the quality of care of Direct Insurance.
Everything is clear fluid, team attentive to your problems
speed, quality of execution in a super word
Best regards
MR golden
</v>
      </c>
    </row>
    <row r="172" ht="15.75" customHeight="1">
      <c r="A172" s="2">
        <v>5.0</v>
      </c>
      <c r="B172" s="2" t="s">
        <v>586</v>
      </c>
      <c r="C172" s="2" t="s">
        <v>587</v>
      </c>
      <c r="D172" s="2" t="s">
        <v>13</v>
      </c>
      <c r="E172" s="2" t="s">
        <v>14</v>
      </c>
      <c r="F172" s="2" t="s">
        <v>15</v>
      </c>
      <c r="G172" s="2" t="s">
        <v>420</v>
      </c>
      <c r="H172" s="2" t="s">
        <v>76</v>
      </c>
      <c r="I172" s="2" t="str">
        <f>IFERROR(__xludf.DUMMYFUNCTION("GOOGLETRANSLATE(C172,""fr"",""en"")"),"Very satisfied with the services and the speed of intervention. I highly recommend this insurance. Serious and interest for the customer taken into account")</f>
        <v>Very satisfied with the services and the speed of intervention. I highly recommend this insurance. Serious and interest for the customer taken into account</v>
      </c>
    </row>
    <row r="173" ht="15.75" customHeight="1">
      <c r="A173" s="2">
        <v>4.0</v>
      </c>
      <c r="B173" s="2" t="s">
        <v>588</v>
      </c>
      <c r="C173" s="2" t="s">
        <v>589</v>
      </c>
      <c r="D173" s="2" t="s">
        <v>74</v>
      </c>
      <c r="E173" s="2" t="s">
        <v>58</v>
      </c>
      <c r="F173" s="2" t="s">
        <v>15</v>
      </c>
      <c r="G173" s="2" t="s">
        <v>590</v>
      </c>
      <c r="H173" s="2" t="s">
        <v>46</v>
      </c>
      <c r="I173" s="2" t="str">
        <f>IFERROR(__xludf.DUMMYFUNCTION("GOOGLETRANSLATE(C173,""fr"",""en"")"),"Quick online registration service, possibility of quickly ensuring its motorcycle with correct prices. But it is a shame to have to give an opinion of force at the end of the membership.")</f>
        <v>Quick online registration service, possibility of quickly ensuring its motorcycle with correct prices. But it is a shame to have to give an opinion of force at the end of the membership.</v>
      </c>
    </row>
    <row r="174" ht="15.75" customHeight="1">
      <c r="A174" s="2">
        <v>3.0</v>
      </c>
      <c r="B174" s="2" t="s">
        <v>591</v>
      </c>
      <c r="C174" s="2" t="s">
        <v>592</v>
      </c>
      <c r="D174" s="2" t="s">
        <v>74</v>
      </c>
      <c r="E174" s="2" t="s">
        <v>58</v>
      </c>
      <c r="F174" s="2" t="s">
        <v>15</v>
      </c>
      <c r="G174" s="2" t="s">
        <v>66</v>
      </c>
      <c r="H174" s="2" t="s">
        <v>50</v>
      </c>
      <c r="I174" s="2" t="str">
        <f>IFERROR(__xludf.DUMMYFUNCTION("GOOGLETRANSLATE(C174,""fr"",""en"")"),"Well but a little complicated to find the model and others if the scooter is relatively old. However, the price is generally rather correct")</f>
        <v>Well but a little complicated to find the model and others if the scooter is relatively old. However, the price is generally rather correct</v>
      </c>
    </row>
    <row r="175" ht="15.75" customHeight="1">
      <c r="A175" s="2">
        <v>5.0</v>
      </c>
      <c r="B175" s="2" t="s">
        <v>593</v>
      </c>
      <c r="C175" s="2" t="s">
        <v>594</v>
      </c>
      <c r="D175" s="2" t="s">
        <v>74</v>
      </c>
      <c r="E175" s="2" t="s">
        <v>58</v>
      </c>
      <c r="F175" s="2" t="s">
        <v>15</v>
      </c>
      <c r="G175" s="2" t="s">
        <v>200</v>
      </c>
      <c r="H175" s="2" t="s">
        <v>107</v>
      </c>
      <c r="I175" s="2" t="str">
        <f>IFERROR(__xludf.DUMMYFUNCTION("GOOGLETRANSLATE(C175,""fr"",""en"")"),"Perfect apparently a vir in time price more than it is to follow. Customer service for Demacking is impeccable I hope for a dispute or Dommange it will be the same.")</f>
        <v>Perfect apparently a vir in time price more than it is to follow. Customer service for Demacking is impeccable I hope for a dispute or Dommange it will be the same.</v>
      </c>
    </row>
    <row r="176" ht="15.75" customHeight="1">
      <c r="A176" s="2">
        <v>4.0</v>
      </c>
      <c r="B176" s="2" t="s">
        <v>595</v>
      </c>
      <c r="C176" s="2" t="s">
        <v>596</v>
      </c>
      <c r="D176" s="2" t="s">
        <v>13</v>
      </c>
      <c r="E176" s="2" t="s">
        <v>14</v>
      </c>
      <c r="F176" s="2" t="s">
        <v>15</v>
      </c>
      <c r="G176" s="2" t="s">
        <v>420</v>
      </c>
      <c r="H176" s="2" t="s">
        <v>76</v>
      </c>
      <c r="I176" s="2" t="str">
        <f>IFERROR(__xludf.DUMMYFUNCTION("GOOGLETRANSLATE(C176,""fr"",""en"")"),"Fast and effective to ensure my new vehicle, within a minute as you purchase. The only platform opened at the time when I went to make my acquisition, which allowed me to go directly behind the wheel by being covered.")</f>
        <v>Fast and effective to ensure my new vehicle, within a minute as you purchase. The only platform opened at the time when I went to make my acquisition, which allowed me to go directly behind the wheel by being covered.</v>
      </c>
    </row>
    <row r="177" ht="15.75" customHeight="1">
      <c r="A177" s="2">
        <v>5.0</v>
      </c>
      <c r="B177" s="2" t="s">
        <v>597</v>
      </c>
      <c r="C177" s="2" t="s">
        <v>598</v>
      </c>
      <c r="D177" s="2" t="s">
        <v>13</v>
      </c>
      <c r="E177" s="2" t="s">
        <v>14</v>
      </c>
      <c r="F177" s="2" t="s">
        <v>15</v>
      </c>
      <c r="G177" s="2" t="s">
        <v>599</v>
      </c>
      <c r="H177" s="2" t="s">
        <v>76</v>
      </c>
      <c r="I177" s="2" t="str">
        <f>IFERROR(__xludf.DUMMYFUNCTION("GOOGLETRANSLATE(C177,""fr"",""en"")"),"The price suits me for the moment. I am waiting to see in time to have an opinion on the services.
Everything is ok for now, no particular remark.")</f>
        <v>The price suits me for the moment. I am waiting to see in time to have an opinion on the services.
Everything is ok for now, no particular remark.</v>
      </c>
    </row>
    <row r="178" ht="15.75" customHeight="1">
      <c r="A178" s="2">
        <v>5.0</v>
      </c>
      <c r="B178" s="2" t="s">
        <v>600</v>
      </c>
      <c r="C178" s="2" t="s">
        <v>601</v>
      </c>
      <c r="D178" s="2" t="s">
        <v>26</v>
      </c>
      <c r="E178" s="2" t="s">
        <v>21</v>
      </c>
      <c r="F178" s="2" t="s">
        <v>15</v>
      </c>
      <c r="G178" s="2" t="s">
        <v>602</v>
      </c>
      <c r="H178" s="2" t="s">
        <v>111</v>
      </c>
      <c r="I178" s="2" t="str">
        <f>IFERROR(__xludf.DUMMYFUNCTION("GOOGLETRANSLATE(C178,""fr"",""en"")"),"The quality of optical reimbursements was up to what customer service had told me. No unpleasant surprises and I even had the third party paying without problem")</f>
        <v>The quality of optical reimbursements was up to what customer service had told me. No unpleasant surprises and I even had the third party paying without problem</v>
      </c>
    </row>
    <row r="179" ht="15.75" customHeight="1">
      <c r="A179" s="2">
        <v>4.0</v>
      </c>
      <c r="B179" s="2" t="s">
        <v>603</v>
      </c>
      <c r="C179" s="2" t="s">
        <v>604</v>
      </c>
      <c r="D179" s="2" t="s">
        <v>31</v>
      </c>
      <c r="E179" s="2" t="s">
        <v>14</v>
      </c>
      <c r="F179" s="2" t="s">
        <v>15</v>
      </c>
      <c r="G179" s="2" t="s">
        <v>605</v>
      </c>
      <c r="H179" s="2" t="s">
        <v>60</v>
      </c>
      <c r="I179" s="2" t="str">
        <f>IFERROR(__xludf.DUMMYFUNCTION("GOOGLETRANSLATE(C179,""fr"",""en"")"),"Good contact on the phone.
Reactive, takes its time so that the silk folder understood well.
See later, hoping not to have used your services.
Good to have been able to carry out the procedures on a Saturday afternoon
Thank you, and have a good day")</f>
        <v>Good contact on the phone.
Reactive, takes its time so that the silk folder understood well.
See later, hoping not to have used your services.
Good to have been able to carry out the procedures on a Saturday afternoon
Thank you, and have a good day</v>
      </c>
    </row>
    <row r="180" ht="15.75" customHeight="1">
      <c r="A180" s="2">
        <v>2.0</v>
      </c>
      <c r="B180" s="2" t="s">
        <v>606</v>
      </c>
      <c r="C180" s="2" t="s">
        <v>607</v>
      </c>
      <c r="D180" s="2" t="s">
        <v>102</v>
      </c>
      <c r="E180" s="2" t="s">
        <v>103</v>
      </c>
      <c r="F180" s="2" t="s">
        <v>15</v>
      </c>
      <c r="G180" s="2" t="s">
        <v>608</v>
      </c>
      <c r="H180" s="2" t="s">
        <v>609</v>
      </c>
      <c r="I180" s="2" t="str">
        <f>IFERROR(__xludf.DUMMYFUNCTION("GOOGLETRANSLATE(C180,""fr"",""en"")"),"For the accidental breakage of a 6 -month -old mobile phone, I provide the Orange bill and the MAIF in addition to the contractual deductible of 135 euros, does not refer to the sale prices but the advisor takes me out of a site from a site resale ""Le Bo"&amp;"n Coin"" which sells objects of unknown origin. All this not to reimburse it is only 60 euros for a phone worth 195 euros and when I manifest my astonishment I am asked if I want a commercial gesture when I have been a member for 20 years and more.")</f>
        <v>For the accidental breakage of a 6 -month -old mobile phone, I provide the Orange bill and the MAIF in addition to the contractual deductible of 135 euros, does not refer to the sale prices but the advisor takes me out of a site from a site resale "Le Bon Coin" which sells objects of unknown origin. All this not to reimburse it is only 60 euros for a phone worth 195 euros and when I manifest my astonishment I am asked if I want a commercial gesture when I have been a member for 20 years and more.</v>
      </c>
    </row>
    <row r="181" ht="15.75" customHeight="1">
      <c r="A181" s="2">
        <v>5.0</v>
      </c>
      <c r="B181" s="2" t="s">
        <v>610</v>
      </c>
      <c r="C181" s="2" t="s">
        <v>611</v>
      </c>
      <c r="D181" s="2" t="s">
        <v>31</v>
      </c>
      <c r="E181" s="2" t="s">
        <v>14</v>
      </c>
      <c r="F181" s="2" t="s">
        <v>15</v>
      </c>
      <c r="G181" s="2" t="s">
        <v>612</v>
      </c>
      <c r="H181" s="2" t="s">
        <v>76</v>
      </c>
      <c r="I181" s="2" t="str">
        <f>IFERROR(__xludf.DUMMYFUNCTION("GOOGLETRANSLATE(C181,""fr"",""en"")"),"Very happy with the service and value for money, delay of the parts provided for my part, but very good support from start to finish, both by email and phone, recommended with my loved ones.")</f>
        <v>Very happy with the service and value for money, delay of the parts provided for my part, but very good support from start to finish, both by email and phone, recommended with my loved ones.</v>
      </c>
    </row>
    <row r="182" ht="15.75" customHeight="1">
      <c r="A182" s="2">
        <v>1.0</v>
      </c>
      <c r="B182" s="2" t="s">
        <v>613</v>
      </c>
      <c r="C182" s="2" t="s">
        <v>614</v>
      </c>
      <c r="D182" s="2" t="s">
        <v>13</v>
      </c>
      <c r="E182" s="2" t="s">
        <v>14</v>
      </c>
      <c r="F182" s="2" t="s">
        <v>15</v>
      </c>
      <c r="G182" s="2" t="s">
        <v>615</v>
      </c>
      <c r="H182" s="2" t="s">
        <v>295</v>
      </c>
      <c r="I182" s="2" t="str">
        <f>IFERROR(__xludf.DUMMYFUNCTION("GOOGLETRANSLATE(C182,""fr"",""en"")"),"I signed a second car contract at Direct Insurance on 30/11 (price paid € 436). A few days later, following a bonus problem, they asked me to sign a new contract, price € 512. I quickly sent the information statement with the correct bonus and they theref"&amp;"ore sent me a new proposal at € 487. When I asked for the why of the price difference compared to the initial contract, they told me that it concerned my history (imprecise) and asked if I had been insured before November 2015. I replied that I was insure"&amp;"d at home for 4 years before spending another insurance for a year. Since then I have no news. Until then I had had fairly rapid answers by WhatsApp. It is of course ever easier when they have to increase the prices. I have the impression, in addition, th"&amp;"at they are waiting for the reimbursement offer of € 40 for a second auto contract expires (on 14/12), to answer me and tell me that I am no longer entitled .")</f>
        <v>I signed a second car contract at Direct Insurance on 30/11 (price paid € 436). A few days later, following a bonus problem, they asked me to sign a new contract, price € 512. I quickly sent the information statement with the correct bonus and they therefore sent me a new proposal at € 487. When I asked for the why of the price difference compared to the initial contract, they told me that it concerned my history (imprecise) and asked if I had been insured before November 2015. I replied that I was insured at home for 4 years before spending another insurance for a year. Since then I have no news. Until then I had had fairly rapid answers by WhatsApp. It is of course ever easier when they have to increase the prices. I have the impression, in addition, that they are waiting for the reimbursement offer of € 40 for a second auto contract expires (on 14/12), to answer me and tell me that I am no longer entitled .</v>
      </c>
    </row>
    <row r="183" ht="15.75" customHeight="1">
      <c r="A183" s="2">
        <v>4.0</v>
      </c>
      <c r="B183" s="2" t="s">
        <v>616</v>
      </c>
      <c r="C183" s="2" t="s">
        <v>617</v>
      </c>
      <c r="D183" s="2" t="s">
        <v>57</v>
      </c>
      <c r="E183" s="2" t="s">
        <v>58</v>
      </c>
      <c r="F183" s="2" t="s">
        <v>15</v>
      </c>
      <c r="G183" s="2" t="s">
        <v>618</v>
      </c>
      <c r="H183" s="2" t="s">
        <v>60</v>
      </c>
      <c r="I183" s="2" t="str">
        <f>IFERROR(__xludf.DUMMYFUNCTION("GOOGLETRANSLATE(C183,""fr"",""en"")"),"I am satisfied with the Easy and quick Correct and Correct Customer Relations Super Price
Let's wait to see more in case of problems to completely judge the services")</f>
        <v>I am satisfied with the Easy and quick Correct and Correct Customer Relations Super Price
Let's wait to see more in case of problems to completely judge the services</v>
      </c>
    </row>
    <row r="184" ht="15.75" customHeight="1">
      <c r="A184" s="2">
        <v>5.0</v>
      </c>
      <c r="B184" s="2" t="s">
        <v>619</v>
      </c>
      <c r="C184" s="2" t="s">
        <v>620</v>
      </c>
      <c r="D184" s="2" t="s">
        <v>168</v>
      </c>
      <c r="E184" s="2" t="s">
        <v>14</v>
      </c>
      <c r="F184" s="2" t="s">
        <v>15</v>
      </c>
      <c r="G184" s="2" t="s">
        <v>621</v>
      </c>
      <c r="H184" s="2" t="s">
        <v>23</v>
      </c>
      <c r="I184" s="2" t="str">
        <f>IFERROR(__xludf.DUMMYFUNCTION("GOOGLETRANSLATE(C184,""fr"",""en"")"),"My opinion on Maaf repatriation,
Auto breakdown, telephone at the service in 15 minutes a taxi A reservation for a rental vehicle for 290 kms, return taxi, train ticket reservation, very fast and efficient service, I am very satisfied with the MAAF
Cl"&amp;"aude Vert")</f>
        <v>My opinion on Maaf repatriation,
Auto breakdown, telephone at the service in 15 minutes a taxi A reservation for a rental vehicle for 290 kms, return taxi, train ticket reservation, very fast and efficient service, I am very satisfied with the MAAF
Claude Vert</v>
      </c>
    </row>
    <row r="185" ht="15.75" customHeight="1">
      <c r="A185" s="2">
        <v>2.0</v>
      </c>
      <c r="B185" s="2" t="s">
        <v>622</v>
      </c>
      <c r="C185" s="2" t="s">
        <v>623</v>
      </c>
      <c r="D185" s="2" t="s">
        <v>160</v>
      </c>
      <c r="E185" s="2" t="s">
        <v>462</v>
      </c>
      <c r="F185" s="2" t="s">
        <v>15</v>
      </c>
      <c r="G185" s="2" t="s">
        <v>624</v>
      </c>
      <c r="H185" s="2" t="s">
        <v>559</v>
      </c>
      <c r="I185" s="2" t="str">
        <f>IFERROR(__xludf.DUMMYFUNCTION("GOOGLETRANSLATE(C185,""fr"",""en"")"),"My former mutual ""Mutualis"" merged this year with AG2R. I therefore had no choice.
AG2R guarantees the same services, except that in passing and despite an increase in the premium of 6.5%, the care of the particular chamber that I had subscribed for 20"&amp;" years was deleted.
No AG2R response despite several reminders")</f>
        <v>My former mutual "Mutualis" merged this year with AG2R. I therefore had no choice.
AG2R guarantees the same services, except that in passing and despite an increase in the premium of 6.5%, the care of the particular chamber that I had subscribed for 20 years was deleted.
No AG2R response despite several reminders</v>
      </c>
    </row>
    <row r="186" ht="15.75" customHeight="1">
      <c r="A186" s="2">
        <v>5.0</v>
      </c>
      <c r="B186" s="2" t="s">
        <v>625</v>
      </c>
      <c r="C186" s="2" t="s">
        <v>626</v>
      </c>
      <c r="D186" s="2" t="s">
        <v>304</v>
      </c>
      <c r="E186" s="2" t="s">
        <v>58</v>
      </c>
      <c r="F186" s="2" t="s">
        <v>15</v>
      </c>
      <c r="G186" s="2" t="s">
        <v>411</v>
      </c>
      <c r="H186" s="2" t="s">
        <v>76</v>
      </c>
      <c r="I186" s="2" t="str">
        <f>IFERROR(__xludf.DUMMYFUNCTION("GOOGLETRANSLATE(C186,""fr"",""en"")"),"True insurer specialist in motorcycle risk ... Good value for money ... Guarantees present at none of the competitors ... Very satisfied for my part!")</f>
        <v>True insurer specialist in motorcycle risk ... Good value for money ... Guarantees present at none of the competitors ... Very satisfied for my part!</v>
      </c>
    </row>
    <row r="187" ht="15.75" customHeight="1">
      <c r="A187" s="2">
        <v>2.0</v>
      </c>
      <c r="B187" s="2" t="s">
        <v>627</v>
      </c>
      <c r="C187" s="2" t="s">
        <v>628</v>
      </c>
      <c r="D187" s="2" t="s">
        <v>404</v>
      </c>
      <c r="E187" s="2" t="s">
        <v>14</v>
      </c>
      <c r="F187" s="2" t="s">
        <v>15</v>
      </c>
      <c r="G187" s="2" t="s">
        <v>45</v>
      </c>
      <c r="H187" s="2" t="s">
        <v>23</v>
      </c>
      <c r="I187" s="2" t="str">
        <f>IFERROR(__xludf.DUMMYFUNCTION("GOOGLETRANSLATE(C187,""fr"",""en"")"),"Non reimbursement of my security fees and very long deadlines in order to be compensated.
Shame on this insurance, I especially do not recommend it ....
Nothing is followed, he does not deal with the file. Finally, I slam the door.")</f>
        <v>Non reimbursement of my security fees and very long deadlines in order to be compensated.
Shame on this insurance, I especially do not recommend it ....
Nothing is followed, he does not deal with the file. Finally, I slam the door.</v>
      </c>
    </row>
    <row r="188" ht="15.75" customHeight="1">
      <c r="A188" s="2">
        <v>3.0</v>
      </c>
      <c r="B188" s="2" t="s">
        <v>629</v>
      </c>
      <c r="C188" s="2" t="s">
        <v>630</v>
      </c>
      <c r="D188" s="2" t="s">
        <v>84</v>
      </c>
      <c r="E188" s="2" t="s">
        <v>462</v>
      </c>
      <c r="F188" s="2" t="s">
        <v>15</v>
      </c>
      <c r="G188" s="2" t="s">
        <v>631</v>
      </c>
      <c r="H188" s="2" t="s">
        <v>632</v>
      </c>
      <c r="I188" s="2" t="str">
        <f>IFERROR(__xludf.DUMMYFUNCTION("GOOGLETRANSLATE(C188,""fr"",""en"")"),"Holder of an autonomy, provident, Macif contract, I have requested ad hoc help of home aid (before undergoing surgery) this one was refused to me that this intervention has been scheduled for a month and no
accidental !!!! The Macif refers to special con"&amp;"ditions which have never been given to me when the contract is signed and which are not on this one.
Pensions, reread your contract well and do not hesitate to react, we are therefore covered in this case, only if it is an imprevable or accidental immobi"&amp;"lization ?????????
WHAT DO YOU THINK ?????????")</f>
        <v>Holder of an autonomy, provident, Macif contract, I have requested ad hoc help of home aid (before undergoing surgery) this one was refused to me that this intervention has been scheduled for a month and no
accidental !!!! The Macif refers to special conditions which have never been given to me when the contract is signed and which are not on this one.
Pensions, reread your contract well and do not hesitate to react, we are therefore covered in this case, only if it is an imprevable or accidental immobilization ?????????
WHAT DO YOU THINK ?????????</v>
      </c>
    </row>
    <row r="189" ht="15.75" customHeight="1">
      <c r="A189" s="2">
        <v>2.0</v>
      </c>
      <c r="B189" s="2" t="s">
        <v>633</v>
      </c>
      <c r="C189" s="2" t="s">
        <v>634</v>
      </c>
      <c r="D189" s="2" t="s">
        <v>229</v>
      </c>
      <c r="E189" s="2" t="s">
        <v>58</v>
      </c>
      <c r="F189" s="2" t="s">
        <v>15</v>
      </c>
      <c r="G189" s="2" t="s">
        <v>635</v>
      </c>
      <c r="H189" s="2" t="s">
        <v>356</v>
      </c>
      <c r="I189" s="2" t="str">
        <f>IFERROR(__xludf.DUMMYFUNCTION("GOOGLETRANSLATE(C189,""fr"",""en"")"),"Singlest customer service. Send parts of the file one by one and in photo format. lost and inaudible excuses. incessant reminders. to avoid")</f>
        <v>Singlest customer service. Send parts of the file one by one and in photo format. lost and inaudible excuses. incessant reminders. to avoid</v>
      </c>
    </row>
    <row r="190" ht="15.75" customHeight="1">
      <c r="A190" s="2">
        <v>5.0</v>
      </c>
      <c r="B190" s="2" t="s">
        <v>636</v>
      </c>
      <c r="C190" s="2" t="s">
        <v>637</v>
      </c>
      <c r="D190" s="2" t="s">
        <v>477</v>
      </c>
      <c r="E190" s="2" t="s">
        <v>58</v>
      </c>
      <c r="F190" s="2" t="s">
        <v>15</v>
      </c>
      <c r="G190" s="2" t="s">
        <v>631</v>
      </c>
      <c r="H190" s="2" t="s">
        <v>632</v>
      </c>
      <c r="I190" s="2" t="str">
        <f>IFERROR(__xludf.DUMMYFUNCTION("GOOGLETRANSLATE(C190,""fr"",""en"")"),"I was at Peyrac insurance last year and no worries, everything was at the top. I had to sell my motorcycle, the next day my insurance was terminated, it was fast and simple. I am buying a new motorcycle and it is without hesitation that I return to Peyrac"&amp;".")</f>
        <v>I was at Peyrac insurance last year and no worries, everything was at the top. I had to sell my motorcycle, the next day my insurance was terminated, it was fast and simple. I am buying a new motorcycle and it is without hesitation that I return to Peyrac.</v>
      </c>
    </row>
    <row r="191" ht="15.75" customHeight="1">
      <c r="A191" s="2">
        <v>3.0</v>
      </c>
      <c r="B191" s="2" t="s">
        <v>638</v>
      </c>
      <c r="C191" s="2" t="s">
        <v>639</v>
      </c>
      <c r="D191" s="2" t="s">
        <v>84</v>
      </c>
      <c r="E191" s="2" t="s">
        <v>103</v>
      </c>
      <c r="F191" s="2" t="s">
        <v>15</v>
      </c>
      <c r="G191" s="2" t="s">
        <v>640</v>
      </c>
      <c r="H191" s="2" t="s">
        <v>71</v>
      </c>
      <c r="I191" s="2" t="str">
        <f>IFERROR(__xludf.DUMMYFUNCTION("GOOGLETRANSLATE(C191,""fr"",""en"")"),"50 years of loyalty and as many years as a maximum bonus I decide to, insure my home at the Macif and there I am answered, he cannot insure my house Parcque j, had a disaster disaster in 2006 knowing that everything was repaired in 2008. These kinds of pr"&amp;"actices M, being unbearable J, decided to, go see elsewhere and it, posed no pbs to the maaf")</f>
        <v>50 years of loyalty and as many years as a maximum bonus I decide to, insure my home at the Macif and there I am answered, he cannot insure my house Parcque j, had a disaster disaster in 2006 knowing that everything was repaired in 2008. These kinds of practices M, being unbearable J, decided to, go see elsewhere and it, posed no pbs to the maaf</v>
      </c>
    </row>
    <row r="192" ht="15.75" customHeight="1">
      <c r="A192" s="2">
        <v>3.0</v>
      </c>
      <c r="B192" s="2" t="s">
        <v>641</v>
      </c>
      <c r="C192" s="2" t="s">
        <v>642</v>
      </c>
      <c r="D192" s="2" t="s">
        <v>102</v>
      </c>
      <c r="E192" s="2" t="s">
        <v>14</v>
      </c>
      <c r="F192" s="2" t="s">
        <v>15</v>
      </c>
      <c r="G192" s="2" t="s">
        <v>643</v>
      </c>
      <c r="H192" s="2" t="s">
        <v>290</v>
      </c>
      <c r="I192" s="2" t="str">
        <f>IFERROR(__xludf.DUMMYFUNCTION("GOOGLETRANSLATE(C192,""fr"",""en"")"),"Hello, By browsing this forum, I noticed that several historic maif societaires did not understand or no longer the classification of vehicles at the MAIF. So I decided to contribute since I have been for a few years in the same case and thanks to a next "&amp;"change of vehicle, I could see how the situation is degraded on this subject. Indeed, whatever the complexity of the calculation of the contribution, the MAIF overwrites the power of the vehicle, without taking into account the ecological performance else"&amp;"where. Result: For the model I chose, the maif encourages the purchase of the diesel block in the first line (the diesel vehicles will soon be prohibited in certain large agglomerations!). Furthermore, among the petrol blocks, it encourages the purchase o"&amp;"f the least powerful but more prone to the brand of pollutants than the brand new block developed by the manufacturer and displaying either, more high power but real performance only increasing 'Affairs of driving, that is to say without transforming the "&amp;"vehicle into Formula 1. Furthermore, these two petrol blocks have the same hybridization technology but the maif does not take it into it for the most powerful, so only for the least powerful! Nor does it take into account the difference between 4x2 model"&amp;"s and integral transmission. Result: a 50% higher contribution for the most powerful but cleaner engine. A difference that I find excessive. I was able to make quotes from other insurers with a very different classification. For me, the choice of this eng"&amp;"ine is a choice that goes in the direction of the Ecological Preets of the moment. Some insurers seem to agree with this, not the maif. Reflection in progress!")</f>
        <v>Hello, By browsing this forum, I noticed that several historic maif societaires did not understand or no longer the classification of vehicles at the MAIF. So I decided to contribute since I have been for a few years in the same case and thanks to a next change of vehicle, I could see how the situation is degraded on this subject. Indeed, whatever the complexity of the calculation of the contribution, the MAIF overwrites the power of the vehicle, without taking into account the ecological performance elsewhere. Result: For the model I chose, the maif encourages the purchase of the diesel block in the first line (the diesel vehicles will soon be prohibited in certain large agglomerations!). Furthermore, among the petrol blocks, it encourages the purchase of the least powerful but more prone to the brand of pollutants than the brand new block developed by the manufacturer and displaying either, more high power but real performance only increasing 'Affairs of driving, that is to say without transforming the vehicle into Formula 1. Furthermore, these two petrol blocks have the same hybridization technology but the maif does not take it into it for the most powerful, so only for the least powerful! Nor does it take into account the difference between 4x2 models and integral transmission. Result: a 50% higher contribution for the most powerful but cleaner engine. A difference that I find excessive. I was able to make quotes from other insurers with a very different classification. For me, the choice of this engine is a choice that goes in the direction of the Ecological Preets of the moment. Some insurers seem to agree with this, not the maif. Reflection in progress!</v>
      </c>
    </row>
    <row r="193" ht="15.75" customHeight="1">
      <c r="A193" s="2">
        <v>4.0</v>
      </c>
      <c r="B193" s="2" t="s">
        <v>644</v>
      </c>
      <c r="C193" s="2" t="s">
        <v>645</v>
      </c>
      <c r="D193" s="2" t="s">
        <v>13</v>
      </c>
      <c r="E193" s="2" t="s">
        <v>14</v>
      </c>
      <c r="F193" s="2" t="s">
        <v>15</v>
      </c>
      <c r="G193" s="2" t="s">
        <v>646</v>
      </c>
      <c r="H193" s="2" t="s">
        <v>33</v>
      </c>
      <c r="I193" s="2" t="str">
        <f>IFERROR(__xludf.DUMMYFUNCTION("GOOGLETRANSLATE(C193,""fr"",""en"")"),"I am satisfied with the service despite it is a bit long to have an advisor. Top insurance, I have been faithful for almost 8 years as well as my wife.")</f>
        <v>I am satisfied with the service despite it is a bit long to have an advisor. Top insurance, I have been faithful for almost 8 years as well as my wife.</v>
      </c>
    </row>
    <row r="194" ht="15.75" customHeight="1">
      <c r="A194" s="2">
        <v>4.0</v>
      </c>
      <c r="B194" s="2" t="s">
        <v>647</v>
      </c>
      <c r="C194" s="2" t="s">
        <v>648</v>
      </c>
      <c r="D194" s="2" t="s">
        <v>31</v>
      </c>
      <c r="E194" s="2" t="s">
        <v>14</v>
      </c>
      <c r="F194" s="2" t="s">
        <v>15</v>
      </c>
      <c r="G194" s="2" t="s">
        <v>259</v>
      </c>
      <c r="H194" s="2" t="s">
        <v>54</v>
      </c>
      <c r="I194" s="2" t="str">
        <f>IFERROR(__xludf.DUMMYFUNCTION("GOOGLETRANSLATE(C194,""fr"",""en"")"),"I am satisfied with the insurance olive tree for their speed and efficiency thank you very much to allow me to insure my car
Cordially")</f>
        <v>I am satisfied with the insurance olive tree for their speed and efficiency thank you very much to allow me to insure my car
Cordially</v>
      </c>
    </row>
    <row r="195" ht="15.75" customHeight="1">
      <c r="A195" s="2">
        <v>5.0</v>
      </c>
      <c r="B195" s="2" t="s">
        <v>649</v>
      </c>
      <c r="C195" s="2" t="s">
        <v>650</v>
      </c>
      <c r="D195" s="2" t="s">
        <v>31</v>
      </c>
      <c r="E195" s="2" t="s">
        <v>14</v>
      </c>
      <c r="F195" s="2" t="s">
        <v>15</v>
      </c>
      <c r="G195" s="2" t="s">
        <v>651</v>
      </c>
      <c r="H195" s="2" t="s">
        <v>39</v>
      </c>
      <c r="I195" s="2" t="str">
        <f>IFERROR(__xludf.DUMMYFUNCTION("GOOGLETRANSLATE(C195,""fr"",""en"")"),"Very available and competent person on the phone (Nora). She was able to show advice and listening on my issues. Hoping that it will be the same after signature")</f>
        <v>Very available and competent person on the phone (Nora). She was able to show advice and listening on my issues. Hoping that it will be the same after signature</v>
      </c>
    </row>
    <row r="196" ht="15.75" customHeight="1">
      <c r="A196" s="2">
        <v>3.0</v>
      </c>
      <c r="B196" s="2" t="s">
        <v>652</v>
      </c>
      <c r="C196" s="2" t="s">
        <v>653</v>
      </c>
      <c r="D196" s="2" t="s">
        <v>36</v>
      </c>
      <c r="E196" s="2" t="s">
        <v>37</v>
      </c>
      <c r="F196" s="2" t="s">
        <v>15</v>
      </c>
      <c r="G196" s="2" t="s">
        <v>654</v>
      </c>
      <c r="H196" s="2" t="s">
        <v>122</v>
      </c>
      <c r="I196" s="2" t="str">
        <f>IFERROR(__xludf.DUMMYFUNCTION("GOOGLETRANSLATE(C196,""fr"",""en"")"),"Insurance which quickly increases its prices, which reimburses little, always finds something not to reimburse, and we never have an explanation on the reimbursement!")</f>
        <v>Insurance which quickly increases its prices, which reimburses little, always finds something not to reimburse, and we never have an explanation on the reimbursement!</v>
      </c>
    </row>
    <row r="197" ht="15.75" customHeight="1">
      <c r="A197" s="2">
        <v>1.0</v>
      </c>
      <c r="B197" s="2" t="s">
        <v>655</v>
      </c>
      <c r="C197" s="2" t="s">
        <v>656</v>
      </c>
      <c r="D197" s="2" t="s">
        <v>84</v>
      </c>
      <c r="E197" s="2" t="s">
        <v>14</v>
      </c>
      <c r="F197" s="2" t="s">
        <v>15</v>
      </c>
      <c r="G197" s="2" t="s">
        <v>657</v>
      </c>
      <c r="H197" s="2" t="s">
        <v>516</v>
      </c>
      <c r="I197" s="2" t="str">
        <f>IFERROR(__xludf.DUMMYFUNCTION("GOOGLETRANSLATE(C197,""fr"",""en"")"),"We have been insured at the Macif for more than 25 years, this year our son had his car stolen 3 months ago and for 3 months the Macif has been walking for us so as not to repay it and the person we have on the phone is odious.")</f>
        <v>We have been insured at the Macif for more than 25 years, this year our son had his car stolen 3 months ago and for 3 months the Macif has been walking for us so as not to repay it and the person we have on the phone is odious.</v>
      </c>
    </row>
    <row r="198" ht="15.75" customHeight="1">
      <c r="A198" s="2">
        <v>2.0</v>
      </c>
      <c r="B198" s="2" t="s">
        <v>658</v>
      </c>
      <c r="C198" s="2" t="s">
        <v>659</v>
      </c>
      <c r="D198" s="2" t="s">
        <v>13</v>
      </c>
      <c r="E198" s="2" t="s">
        <v>14</v>
      </c>
      <c r="F198" s="2" t="s">
        <v>15</v>
      </c>
      <c r="G198" s="2" t="s">
        <v>660</v>
      </c>
      <c r="H198" s="2" t="s">
        <v>76</v>
      </c>
      <c r="I198" s="2" t="str">
        <f>IFERROR(__xludf.DUMMYFUNCTION("GOOGLETRANSLATE(C198,""fr"",""en"")"),"The monthly payment has too much impact on the basic price.
And that (as far as I am concerned) was not clearly told during the subscription; implying a non -going back so as not to have this monthly payment; Therefore I pay more than the price that I wa"&amp;"s given at the start")</f>
        <v>The monthly payment has too much impact on the basic price.
And that (as far as I am concerned) was not clearly told during the subscription; implying a non -going back so as not to have this monthly payment; Therefore I pay more than the price that I was given at the start</v>
      </c>
    </row>
    <row r="199" ht="15.75" customHeight="1">
      <c r="A199" s="2">
        <v>3.0</v>
      </c>
      <c r="B199" s="2" t="s">
        <v>661</v>
      </c>
      <c r="C199" s="2" t="s">
        <v>662</v>
      </c>
      <c r="D199" s="2" t="s">
        <v>13</v>
      </c>
      <c r="E199" s="2" t="s">
        <v>14</v>
      </c>
      <c r="F199" s="2" t="s">
        <v>15</v>
      </c>
      <c r="G199" s="2" t="s">
        <v>262</v>
      </c>
      <c r="H199" s="2" t="s">
        <v>17</v>
      </c>
      <c r="I199" s="2" t="str">
        <f>IFERROR(__xludf.DUMMYFUNCTION("GOOGLETRANSLATE(C199,""fr"",""en"")"),"I am satisfied to this day to be part of your customers. I was made to feel very welcome by phone, hoping that everything goes well.
Regards Dufossé Florian")</f>
        <v>I am satisfied to this day to be part of your customers. I was made to feel very welcome by phone, hoping that everything goes well.
Regards Dufossé Florian</v>
      </c>
    </row>
    <row r="200" ht="15.75" customHeight="1">
      <c r="A200" s="2">
        <v>1.0</v>
      </c>
      <c r="B200" s="2" t="s">
        <v>663</v>
      </c>
      <c r="C200" s="2" t="s">
        <v>664</v>
      </c>
      <c r="D200" s="2" t="s">
        <v>293</v>
      </c>
      <c r="E200" s="2" t="s">
        <v>14</v>
      </c>
      <c r="F200" s="2" t="s">
        <v>15</v>
      </c>
      <c r="G200" s="2" t="s">
        <v>665</v>
      </c>
      <c r="H200" s="2" t="s">
        <v>666</v>
      </c>
      <c r="I200" s="2" t="str">
        <f>IFERROR(__xludf.DUMMYFUNCTION("GOOGLETRANSLATE(C200,""fr"",""en"")"),"Null and zero !!
They spend a month asking us for papers and papers and more papers to the end of the contract without telling us and especially not to reimburse the totalite amounts of the sums perceived. TO FLEE. Let people roll without being assured. "&amp;"The advisers do not understand anything to our requests mix the brushes in their answers. It's a shame and again I weigh my words")</f>
        <v>Null and zero !!
They spend a month asking us for papers and papers and more papers to the end of the contract without telling us and especially not to reimburse the totalite amounts of the sums perceived. TO FLEE. Let people roll without being assured. The advisers do not understand anything to our requests mix the brushes in their answers. It's a shame and again I weigh my words</v>
      </c>
    </row>
    <row r="201" ht="15.75" customHeight="1">
      <c r="A201" s="2">
        <v>4.0</v>
      </c>
      <c r="B201" s="2" t="s">
        <v>667</v>
      </c>
      <c r="C201" s="2" t="s">
        <v>668</v>
      </c>
      <c r="D201" s="2" t="s">
        <v>31</v>
      </c>
      <c r="E201" s="2" t="s">
        <v>14</v>
      </c>
      <c r="F201" s="2" t="s">
        <v>15</v>
      </c>
      <c r="G201" s="2" t="s">
        <v>646</v>
      </c>
      <c r="H201" s="2" t="s">
        <v>33</v>
      </c>
      <c r="I201" s="2" t="str">
        <f>IFERROR(__xludf.DUMMYFUNCTION("GOOGLETRANSLATE(C201,""fr"",""en"")"),"My bonus coefficient is normally at 0.54 you applied 0.57 I will consulted my former contracts subscribed to Direct Insurance and provide you")</f>
        <v>My bonus coefficient is normally at 0.54 you applied 0.57 I will consulted my former contracts subscribed to Direct Insurance and provide you</v>
      </c>
    </row>
    <row r="202" ht="15.75" customHeight="1">
      <c r="A202" s="2">
        <v>4.0</v>
      </c>
      <c r="B202" s="2" t="s">
        <v>669</v>
      </c>
      <c r="C202" s="2" t="s">
        <v>670</v>
      </c>
      <c r="D202" s="2" t="s">
        <v>496</v>
      </c>
      <c r="E202" s="2" t="s">
        <v>241</v>
      </c>
      <c r="F202" s="2" t="s">
        <v>15</v>
      </c>
      <c r="G202" s="2" t="s">
        <v>671</v>
      </c>
      <c r="H202" s="2" t="s">
        <v>23</v>
      </c>
      <c r="I202" s="2" t="str">
        <f>IFERROR(__xludf.DUMMYFUNCTION("GOOGLETRANSLATE(C202,""fr"",""en"")"),"After 15 years of payment of loan insurance subscription, we realize that APRIL has wrongly levy contributions. Following an administrative error, April continued to take contributions from a first mortgage which had been renegotiated and sold. We reporte"&amp;"d this error in the claim service in April in November 2020. In December 2020, April regularized the situation by reimbursing us for 5 years to which the law obliges it. In addition to that, April showed professionalism since in January 2021, he reimburse"&amp;"d us the overpayment of contributions over the period 2005 to 2015 when he could have taken refuge behind the insurance code and justice.
This is why, I thank April for his quality listening and service. On this occasion, I thank in particular Elsa J. fo"&amp;"r her responsiveness and professionalism.
In the future, if I had to contract a mortgage again, I will not hesitate to call on their service and also to recommend them.
")</f>
        <v>After 15 years of payment of loan insurance subscription, we realize that APRIL has wrongly levy contributions. Following an administrative error, April continued to take contributions from a first mortgage which had been renegotiated and sold. We reported this error in the claim service in April in November 2020. In December 2020, April regularized the situation by reimbursing us for 5 years to which the law obliges it. In addition to that, April showed professionalism since in January 2021, he reimbursed us the overpayment of contributions over the period 2005 to 2015 when he could have taken refuge behind the insurance code and justice.
This is why, I thank April for his quality listening and service. On this occasion, I thank in particular Elsa J. for her responsiveness and professionalism.
In the future, if I had to contract a mortgage again, I will not hesitate to call on their service and also to recommend them.
</v>
      </c>
    </row>
    <row r="203" ht="15.75" customHeight="1">
      <c r="A203" s="2">
        <v>5.0</v>
      </c>
      <c r="B203" s="2" t="s">
        <v>672</v>
      </c>
      <c r="C203" s="2" t="s">
        <v>673</v>
      </c>
      <c r="D203" s="2" t="s">
        <v>31</v>
      </c>
      <c r="E203" s="2" t="s">
        <v>14</v>
      </c>
      <c r="F203" s="2" t="s">
        <v>15</v>
      </c>
      <c r="G203" s="2" t="s">
        <v>75</v>
      </c>
      <c r="H203" s="2" t="s">
        <v>76</v>
      </c>
      <c r="I203" s="2" t="str">
        <f>IFERROR(__xludf.DUMMYFUNCTION("GOOGLETRANSLATE(C203,""fr"",""en"")"),"I am satisfied with the service
I validate the price and the customer approach by your telephone service as well as the support for the signing of the contract")</f>
        <v>I am satisfied with the service
I validate the price and the customer approach by your telephone service as well as the support for the signing of the contract</v>
      </c>
    </row>
    <row r="204" ht="15.75" customHeight="1">
      <c r="A204" s="2">
        <v>4.0</v>
      </c>
      <c r="B204" s="2" t="s">
        <v>674</v>
      </c>
      <c r="C204" s="2" t="s">
        <v>675</v>
      </c>
      <c r="D204" s="2" t="s">
        <v>26</v>
      </c>
      <c r="E204" s="2" t="s">
        <v>21</v>
      </c>
      <c r="F204" s="2" t="s">
        <v>15</v>
      </c>
      <c r="G204" s="2" t="s">
        <v>676</v>
      </c>
      <c r="H204" s="2" t="s">
        <v>677</v>
      </c>
      <c r="I204" s="2" t="str">
        <f>IFERROR(__xludf.DUMMYFUNCTION("GOOGLETRANSLATE(C204,""fr"",""en"")"),"Ms Diego Gomez very friendly insurer who very well explained to me and resolved my problem I am very satisfied with the interview I had with Mr Gomez, very kind and very good advice. I hope that all teams at Neoliane have the same professionalism. I give "&amp;"10/10")</f>
        <v>Ms Diego Gomez very friendly insurer who very well explained to me and resolved my problem I am very satisfied with the interview I had with Mr Gomez, very kind and very good advice. I hope that all teams at Neoliane have the same professionalism. I give 10/10</v>
      </c>
    </row>
    <row r="205" ht="15.75" customHeight="1">
      <c r="A205" s="2">
        <v>2.0</v>
      </c>
      <c r="B205" s="2" t="s">
        <v>678</v>
      </c>
      <c r="C205" s="2" t="s">
        <v>679</v>
      </c>
      <c r="D205" s="2" t="s">
        <v>240</v>
      </c>
      <c r="E205" s="2" t="s">
        <v>241</v>
      </c>
      <c r="F205" s="2" t="s">
        <v>15</v>
      </c>
      <c r="G205" s="2" t="s">
        <v>680</v>
      </c>
      <c r="H205" s="2" t="s">
        <v>76</v>
      </c>
      <c r="I205" s="2" t="str">
        <f>IFERROR(__xludf.DUMMYFUNCTION("GOOGLETRANSLATE(C205,""fr"",""en"")"),"Hello,
Insurer who does not hold his promises ... Do not transmit the two requests in time that my former insurer wishes to know ... so leave for 1 year with my current insurance ....
No professionalism.
")</f>
        <v>Hello,
Insurer who does not hold his promises ... Do not transmit the two requests in time that my former insurer wishes to know ... so leave for 1 year with my current insurance ....
No professionalism.
</v>
      </c>
    </row>
    <row r="206" ht="15.75" customHeight="1">
      <c r="A206" s="2">
        <v>4.0</v>
      </c>
      <c r="B206" s="2" t="s">
        <v>681</v>
      </c>
      <c r="C206" s="2" t="s">
        <v>682</v>
      </c>
      <c r="D206" s="2" t="s">
        <v>13</v>
      </c>
      <c r="E206" s="2" t="s">
        <v>14</v>
      </c>
      <c r="F206" s="2" t="s">
        <v>15</v>
      </c>
      <c r="G206" s="2" t="s">
        <v>75</v>
      </c>
      <c r="H206" s="2" t="s">
        <v>76</v>
      </c>
      <c r="I206" s="2" t="str">
        <f>IFERROR(__xludf.DUMMYFUNCTION("GOOGLETRANSLATE(C206,""fr"",""en"")"),"Satisfied with the service, an increase of 30 euros that we do not understand given the containment for a year, on the other hand, the drop in the price of the contract will be justified.")</f>
        <v>Satisfied with the service, an increase of 30 euros that we do not understand given the containment for a year, on the other hand, the drop in the price of the contract will be justified.</v>
      </c>
    </row>
    <row r="207" ht="15.75" customHeight="1">
      <c r="A207" s="2">
        <v>5.0</v>
      </c>
      <c r="B207" s="2" t="s">
        <v>683</v>
      </c>
      <c r="C207" s="2" t="s">
        <v>684</v>
      </c>
      <c r="D207" s="2" t="s">
        <v>102</v>
      </c>
      <c r="E207" s="2" t="s">
        <v>103</v>
      </c>
      <c r="F207" s="2" t="s">
        <v>15</v>
      </c>
      <c r="G207" s="2" t="s">
        <v>685</v>
      </c>
      <c r="H207" s="2" t="s">
        <v>549</v>
      </c>
      <c r="I207" s="2" t="str">
        <f>IFERROR(__xludf.DUMMYFUNCTION("GOOGLETRANSLATE(C207,""fr"",""en"")"),"This summer I had a slightly complicated water damage since it was a buried pipe which was pierced. MAIF intervened and has supported repairs.")</f>
        <v>This summer I had a slightly complicated water damage since it was a buried pipe which was pierced. MAIF intervened and has supported repairs.</v>
      </c>
    </row>
    <row r="208" ht="15.75" customHeight="1">
      <c r="A208" s="2">
        <v>1.0</v>
      </c>
      <c r="B208" s="2" t="s">
        <v>686</v>
      </c>
      <c r="C208" s="2" t="s">
        <v>687</v>
      </c>
      <c r="D208" s="2" t="s">
        <v>361</v>
      </c>
      <c r="E208" s="2" t="s">
        <v>21</v>
      </c>
      <c r="F208" s="2" t="s">
        <v>15</v>
      </c>
      <c r="G208" s="2" t="s">
        <v>405</v>
      </c>
      <c r="H208" s="2" t="s">
        <v>23</v>
      </c>
      <c r="I208" s="2" t="str">
        <f>IFERROR(__xludf.DUMMYFUNCTION("GOOGLETRANSLATE(C208,""fr"",""en"")"),"Mutual to flee
Very expensive and shabby refund especially for the teeth
Inegalitis of treatment DS The posting the more you pay the less you are reimbursed inadmissible
No answer with multiple reclamations made
Amount of variable reimbursement withou"&amp;"t justification no
On.S.S ask where the money of contributions go
Scandalous")</f>
        <v>Mutual to flee
Very expensive and shabby refund especially for the teeth
Inegalitis of treatment DS The posting the more you pay the less you are reimbursed inadmissible
No answer with multiple reclamations made
Amount of variable reimbursement without justification no
On.S.S ask where the money of contributions go
Scandalous</v>
      </c>
    </row>
    <row r="209" ht="15.75" customHeight="1">
      <c r="A209" s="2">
        <v>5.0</v>
      </c>
      <c r="B209" s="2" t="s">
        <v>688</v>
      </c>
      <c r="C209" s="2" t="s">
        <v>689</v>
      </c>
      <c r="D209" s="2" t="s">
        <v>31</v>
      </c>
      <c r="E209" s="2" t="s">
        <v>14</v>
      </c>
      <c r="F209" s="2" t="s">
        <v>15</v>
      </c>
      <c r="G209" s="2" t="s">
        <v>690</v>
      </c>
      <c r="H209" s="2" t="s">
        <v>81</v>
      </c>
      <c r="I209" s="2" t="str">
        <f>IFERROR(__xludf.DUMMYFUNCTION("GOOGLETRANSLATE(C209,""fr"",""en"")"),"Super insurance, I had two claims (1 managers and 1 non -responsible) and each time everything was settled very quickly and very professionally. I recommend more more")</f>
        <v>Super insurance, I had two claims (1 managers and 1 non -responsible) and each time everything was settled very quickly and very professionally. I recommend more more</v>
      </c>
    </row>
    <row r="210" ht="15.75" customHeight="1">
      <c r="A210" s="2">
        <v>1.0</v>
      </c>
      <c r="B210" s="2" t="s">
        <v>691</v>
      </c>
      <c r="C210" s="2" t="s">
        <v>692</v>
      </c>
      <c r="D210" s="2" t="s">
        <v>168</v>
      </c>
      <c r="E210" s="2" t="s">
        <v>14</v>
      </c>
      <c r="F210" s="2" t="s">
        <v>15</v>
      </c>
      <c r="G210" s="2" t="s">
        <v>577</v>
      </c>
      <c r="H210" s="2" t="s">
        <v>295</v>
      </c>
      <c r="I210" s="2" t="str">
        <f>IFERROR(__xludf.DUMMYFUNCTION("GOOGLETRANSLATE(C210,""fr"",""en"")"),"I was assured 23 years old at the MAAF and fired as a malpropre 3 months ago following a responsible accident in 2013 and one without responsibility in 2015. I think that during the second accident I could have warned me of the fact that was likely to arr"&amp;"ive since in their contract it is written (probably very small) that 2 accidents in 5 years lead to radiation but the pompom was that my home insurance was also raft for no reason.
here is the maaf made of beautiful tele but it's blanla")</f>
        <v>I was assured 23 years old at the MAAF and fired as a malpropre 3 months ago following a responsible accident in 2013 and one without responsibility in 2015. I think that during the second accident I could have warned me of the fact that was likely to arrive since in their contract it is written (probably very small) that 2 accidents in 5 years lead to radiation but the pompom was that my home insurance was also raft for no reason.
here is the maaf made of beautiful tele but it's blanla</v>
      </c>
    </row>
    <row r="211" ht="15.75" customHeight="1">
      <c r="A211" s="2">
        <v>1.0</v>
      </c>
      <c r="B211" s="2" t="s">
        <v>693</v>
      </c>
      <c r="C211" s="2" t="s">
        <v>694</v>
      </c>
      <c r="D211" s="2" t="s">
        <v>84</v>
      </c>
      <c r="E211" s="2" t="s">
        <v>14</v>
      </c>
      <c r="F211" s="2" t="s">
        <v>15</v>
      </c>
      <c r="G211" s="2" t="s">
        <v>695</v>
      </c>
      <c r="H211" s="2" t="s">
        <v>81</v>
      </c>
      <c r="I211" s="2" t="str">
        <f>IFERROR(__xludf.DUMMYFUNCTION("GOOGLETRANSLATE(C211,""fr"",""en"")"),"horror flee
They do not respect customers have is just payers
no guarantee and never pay the damage they owe you
DEPLUS During my separations they continue to pay you from the insurance costs
when they received the flede termination letters tell you"&amp;" I")</f>
        <v>horror flee
They do not respect customers have is just payers
no guarantee and never pay the damage they owe you
DEPLUS During my separations they continue to pay you from the insurance costs
when they received the flede termination letters tell you I</v>
      </c>
    </row>
    <row r="212" ht="15.75" customHeight="1">
      <c r="A212" s="2">
        <v>4.0</v>
      </c>
      <c r="B212" s="2" t="s">
        <v>696</v>
      </c>
      <c r="C212" s="2" t="s">
        <v>697</v>
      </c>
      <c r="D212" s="2" t="s">
        <v>20</v>
      </c>
      <c r="E212" s="2" t="s">
        <v>21</v>
      </c>
      <c r="F212" s="2" t="s">
        <v>15</v>
      </c>
      <c r="G212" s="2" t="s">
        <v>698</v>
      </c>
      <c r="H212" s="2" t="s">
        <v>184</v>
      </c>
      <c r="I212" s="2" t="str">
        <f>IFERROR(__xludf.DUMMYFUNCTION("GOOGLETRANSLATE(C212,""fr"",""en"")"),"Hello,
At least one mutual that answers the phone and with personalized contact.
Speed ​​and concern to explain are the engine of telephone exchanges.
I recommend.")</f>
        <v>Hello,
At least one mutual that answers the phone and with personalized contact.
Speed ​​and concern to explain are the engine of telephone exchanges.
I recommend.</v>
      </c>
    </row>
    <row r="213" ht="15.75" customHeight="1">
      <c r="A213" s="2">
        <v>2.0</v>
      </c>
      <c r="B213" s="2" t="s">
        <v>699</v>
      </c>
      <c r="C213" s="2" t="s">
        <v>700</v>
      </c>
      <c r="D213" s="2" t="s">
        <v>84</v>
      </c>
      <c r="E213" s="2" t="s">
        <v>14</v>
      </c>
      <c r="F213" s="2" t="s">
        <v>15</v>
      </c>
      <c r="G213" s="2" t="s">
        <v>701</v>
      </c>
      <c r="H213" s="2" t="s">
        <v>122</v>
      </c>
      <c r="I213" s="2" t="str">
        <f>IFERROR(__xludf.DUMMYFUNCTION("GOOGLETRANSLATE(C213,""fr"",""en"")"),"Hello,
I was the victim of painting projections of a site close to the parking lot on which I had parked my vehicle.
The painting company immediately recognized its wrongs and signed the observation without any difficulty.
I then transmitted the ob"&amp;"servation to my insurer, the Macif and here is the written answer received from him:
- We first intervene under the damage guarantee which is accompanied by a contractual deductible.
- We subsequently make the complaint with the opposing insurer for you"&amp;"r defense guarantee
- The deduced franchise will be donated to you after the appeal.
- The findings of the expert will allow us to determine your compensation, knowing that your contract has a deductible of € 500
Stunned to learn that the franchise w"&amp;"ill be retained to me - if it is only temporarily - I contact the Macif by asking them if being insured (for 40 years with this insurance company) the latter really defends my interests. This replied that these are the conventions between insurance compan"&amp;"ies, and that there are no other solutions.
So I ask the following questions:
- How long will the complaint are required from the opposing insurer? no answer !
- What happens if there is a problem between the painting company in question and its insura"&amp;"nce? no answer !
In conclusion, with the Macif:
- When I'm wrong: the Macif holds me the franchise
- When I have no responsibility: the Macif ... retains (temporarily) the franchise! And answers me: are the conventions between insurance! knowing that"&amp;" these famous conventions do not specify any delay for the culmination of the procedure
Why does an insured (member is the term in the case in the case of the Macif) suffer any financial damage (certainly temporary, but still) for a disaster for which "&amp;"he has no responsibility?")</f>
        <v>Hello,
I was the victim of painting projections of a site close to the parking lot on which I had parked my vehicle.
The painting company immediately recognized its wrongs and signed the observation without any difficulty.
I then transmitted the observation to my insurer, the Macif and here is the written answer received from him:
- We first intervene under the damage guarantee which is accompanied by a contractual deductible.
- We subsequently make the complaint with the opposing insurer for your defense guarantee
- The deduced franchise will be donated to you after the appeal.
- The findings of the expert will allow us to determine your compensation, knowing that your contract has a deductible of € 500
Stunned to learn that the franchise will be retained to me - if it is only temporarily - I contact the Macif by asking them if being insured (for 40 years with this insurance company) the latter really defends my interests. This replied that these are the conventions between insurance companies, and that there are no other solutions.
So I ask the following questions:
- How long will the complaint are required from the opposing insurer? no answer !
- What happens if there is a problem between the painting company in question and its insurance? no answer !
In conclusion, with the Macif:
- When I'm wrong: the Macif holds me the franchise
- When I have no responsibility: the Macif ... retains (temporarily) the franchise! And answers me: are the conventions between insurance! knowing that these famous conventions do not specify any delay for the culmination of the procedure
Why does an insured (member is the term in the case in the case of the Macif) suffer any financial damage (certainly temporary, but still) for a disaster for which he has no responsibility?</v>
      </c>
    </row>
    <row r="214" ht="15.75" customHeight="1">
      <c r="A214" s="2">
        <v>1.0</v>
      </c>
      <c r="B214" s="2" t="s">
        <v>702</v>
      </c>
      <c r="C214" s="2" t="s">
        <v>703</v>
      </c>
      <c r="D214" s="2" t="s">
        <v>293</v>
      </c>
      <c r="E214" s="2" t="s">
        <v>14</v>
      </c>
      <c r="F214" s="2" t="s">
        <v>15</v>
      </c>
      <c r="G214" s="2" t="s">
        <v>704</v>
      </c>
      <c r="H214" s="2" t="s">
        <v>705</v>
      </c>
      <c r="I214" s="2" t="str">
        <f>IFERROR(__xludf.DUMMYFUNCTION("GOOGLETRANSLATE(C214,""fr"",""en"")"),"Too bad we cannot put 0 stars for this kind of insurance.
To summarize, they did everything to prick the fees of files and two months of insurance in advance and terminate the contract without logical justification
First, they terminated the contract be"&amp;"cause I provided a provisional permit and gray card (while they are official documents provided by the French administration).
Then, they refuse to resume the contract following the supply of final documents on the pretext that the car is currently provi"&amp;"ded by another company.
Knowing that anyone can subscribe to a contract with them by being assured elsewhere (I have already made an anonymous simulation on their site).
Finally, customer service is a surcharged phone number, you can imagine the additio"&amp;"nal costs I have to pay because of these exchanges for nothing in the end")</f>
        <v>Too bad we cannot put 0 stars for this kind of insurance.
To summarize, they did everything to prick the fees of files and two months of insurance in advance and terminate the contract without logical justification
First, they terminated the contract because I provided a provisional permit and gray card (while they are official documents provided by the French administration).
Then, they refuse to resume the contract following the supply of final documents on the pretext that the car is currently provided by another company.
Knowing that anyone can subscribe to a contract with them by being assured elsewhere (I have already made an anonymous simulation on their site).
Finally, customer service is a surcharged phone number, you can imagine the additional costs I have to pay because of these exchanges for nothing in the end</v>
      </c>
    </row>
    <row r="215" ht="15.75" customHeight="1">
      <c r="A215" s="2">
        <v>5.0</v>
      </c>
      <c r="B215" s="2" t="s">
        <v>706</v>
      </c>
      <c r="C215" s="2" t="s">
        <v>707</v>
      </c>
      <c r="D215" s="2" t="s">
        <v>57</v>
      </c>
      <c r="E215" s="2" t="s">
        <v>58</v>
      </c>
      <c r="F215" s="2" t="s">
        <v>15</v>
      </c>
      <c r="G215" s="2" t="s">
        <v>555</v>
      </c>
      <c r="H215" s="2" t="s">
        <v>50</v>
      </c>
      <c r="I215" s="2" t="str">
        <f>IFERROR(__xludf.DUMMYFUNCTION("GOOGLETRANSLATE(C215,""fr"",""en"")"),"Correct price, facilitates for the registration, good site, easy to use, I could recommend it to friends without problem. For the moment, I am very satisfied with your servces")</f>
        <v>Correct price, facilitates for the registration, good site, easy to use, I could recommend it to friends without problem. For the moment, I am very satisfied with your servces</v>
      </c>
    </row>
    <row r="216" ht="15.75" customHeight="1">
      <c r="A216" s="2">
        <v>4.0</v>
      </c>
      <c r="B216" s="2" t="s">
        <v>708</v>
      </c>
      <c r="C216" s="2" t="s">
        <v>709</v>
      </c>
      <c r="D216" s="2" t="s">
        <v>13</v>
      </c>
      <c r="E216" s="2" t="s">
        <v>14</v>
      </c>
      <c r="F216" s="2" t="s">
        <v>15</v>
      </c>
      <c r="G216" s="2" t="s">
        <v>710</v>
      </c>
      <c r="H216" s="2" t="s">
        <v>50</v>
      </c>
      <c r="I216" s="2" t="str">
        <f>IFERROR(__xludf.DUMMYFUNCTION("GOOGLETRANSLATE(C216,""fr"",""en"")"),"I appreciated the speed of the transaction, although I had trouble at the start because I had poorly informed my information. Quite good price level also")</f>
        <v>I appreciated the speed of the transaction, although I had trouble at the start because I had poorly informed my information. Quite good price level also</v>
      </c>
    </row>
    <row r="217" ht="15.75" customHeight="1">
      <c r="A217" s="2">
        <v>1.0</v>
      </c>
      <c r="B217" s="2" t="s">
        <v>711</v>
      </c>
      <c r="C217" s="2" t="s">
        <v>712</v>
      </c>
      <c r="D217" s="2" t="s">
        <v>102</v>
      </c>
      <c r="E217" s="2" t="s">
        <v>14</v>
      </c>
      <c r="F217" s="2" t="s">
        <v>15</v>
      </c>
      <c r="G217" s="2" t="s">
        <v>713</v>
      </c>
      <c r="H217" s="2" t="s">
        <v>369</v>
      </c>
      <c r="I217" s="2" t="str">
        <f>IFERROR(__xludf.DUMMYFUNCTION("GOOGLETRANSLATE(C217,""fr"",""en"")"),"MAIF provides you temporarily on the day of your call when you have not asked for anything, ask you after the documents necessary for your registration, and then after verification informs you that this is not possible because you do not meet the conditio"&amp;"ns necessary to be insured, but on the other hand calls you provisional insurance ... Morality: whether you are eligible or not to be insured at the MAIF ... You will pay !!")</f>
        <v>MAIF provides you temporarily on the day of your call when you have not asked for anything, ask you after the documents necessary for your registration, and then after verification informs you that this is not possible because you do not meet the conditions necessary to be insured, but on the other hand calls you provisional insurance ... Morality: whether you are eligible or not to be insured at the MAIF ... You will pay !!</v>
      </c>
    </row>
    <row r="218" ht="15.75" customHeight="1">
      <c r="A218" s="2">
        <v>5.0</v>
      </c>
      <c r="B218" s="2" t="s">
        <v>714</v>
      </c>
      <c r="C218" s="2" t="s">
        <v>715</v>
      </c>
      <c r="D218" s="2" t="s">
        <v>31</v>
      </c>
      <c r="E218" s="2" t="s">
        <v>14</v>
      </c>
      <c r="F218" s="2" t="s">
        <v>15</v>
      </c>
      <c r="G218" s="2" t="s">
        <v>716</v>
      </c>
      <c r="H218" s="2" t="s">
        <v>50</v>
      </c>
      <c r="I218" s="2" t="str">
        <f>IFERROR(__xludf.DUMMYFUNCTION("GOOGLETRANSLATE(C218,""fr"",""en"")"),"Very satisfied advisor very professional is very pleasant, very attentive to their customers, explains very well all the procedure to follow and the guarantee")</f>
        <v>Very satisfied advisor very professional is very pleasant, very attentive to their customers, explains very well all the procedure to follow and the guarantee</v>
      </c>
    </row>
    <row r="219" ht="15.75" customHeight="1">
      <c r="A219" s="2">
        <v>4.0</v>
      </c>
      <c r="B219" s="2" t="s">
        <v>717</v>
      </c>
      <c r="C219" s="2" t="s">
        <v>718</v>
      </c>
      <c r="D219" s="2" t="s">
        <v>20</v>
      </c>
      <c r="E219" s="2" t="s">
        <v>21</v>
      </c>
      <c r="F219" s="2" t="s">
        <v>15</v>
      </c>
      <c r="G219" s="2" t="s">
        <v>719</v>
      </c>
      <c r="H219" s="2" t="s">
        <v>17</v>
      </c>
      <c r="I219" s="2" t="str">
        <f>IFERROR(__xludf.DUMMYFUNCTION("GOOGLETRANSLATE(C219,""fr"",""en"")"),"Since the time I have been with them I have not left it. The prices are suitable for the proposed coverage. We can easily have an interlocutor without expecting too much and this despite this period.")</f>
        <v>Since the time I have been with them I have not left it. The prices are suitable for the proposed coverage. We can easily have an interlocutor without expecting too much and this despite this period.</v>
      </c>
    </row>
    <row r="220" ht="15.75" customHeight="1">
      <c r="A220" s="2">
        <v>2.0</v>
      </c>
      <c r="B220" s="2" t="s">
        <v>720</v>
      </c>
      <c r="C220" s="2" t="s">
        <v>721</v>
      </c>
      <c r="D220" s="2" t="s">
        <v>13</v>
      </c>
      <c r="E220" s="2" t="s">
        <v>14</v>
      </c>
      <c r="F220" s="2" t="s">
        <v>15</v>
      </c>
      <c r="G220" s="2" t="s">
        <v>203</v>
      </c>
      <c r="H220" s="2" t="s">
        <v>39</v>
      </c>
      <c r="I220" s="2" t="str">
        <f>IFERROR(__xludf.DUMMYFUNCTION("GOOGLETRANSLATE(C220,""fr"",""en"")"),"The prices are attractive. On the other hand, the service during a claim is much less! Impossible to make an online claims, long processing time, appointment not honored, a waste of time for me, reminders, annoyance")</f>
        <v>The prices are attractive. On the other hand, the service during a claim is much less! Impossible to make an online claims, long processing time, appointment not honored, a waste of time for me, reminders, annoyance</v>
      </c>
    </row>
    <row r="221" ht="15.75" customHeight="1">
      <c r="A221" s="2">
        <v>4.0</v>
      </c>
      <c r="B221" s="2" t="s">
        <v>722</v>
      </c>
      <c r="C221" s="2" t="s">
        <v>723</v>
      </c>
      <c r="D221" s="2" t="s">
        <v>13</v>
      </c>
      <c r="E221" s="2" t="s">
        <v>14</v>
      </c>
      <c r="F221" s="2" t="s">
        <v>15</v>
      </c>
      <c r="G221" s="2" t="s">
        <v>724</v>
      </c>
      <c r="H221" s="2" t="s">
        <v>107</v>
      </c>
      <c r="I221" s="2" t="str">
        <f>IFERROR(__xludf.DUMMYFUNCTION("GOOGLETRANSLATE(C221,""fr"",""en"")"),"Quick and simple quote to do online., No need for an online advisor.
How can we benefit from the 2 months offered offers?
Thank you")</f>
        <v>Quick and simple quote to do online., No need for an online advisor.
How can we benefit from the 2 months offered offers?
Thank you</v>
      </c>
    </row>
    <row r="222" ht="15.75" customHeight="1">
      <c r="A222" s="2">
        <v>5.0</v>
      </c>
      <c r="B222" s="2" t="s">
        <v>725</v>
      </c>
      <c r="C222" s="2" t="s">
        <v>726</v>
      </c>
      <c r="D222" s="2" t="s">
        <v>31</v>
      </c>
      <c r="E222" s="2" t="s">
        <v>14</v>
      </c>
      <c r="F222" s="2" t="s">
        <v>15</v>
      </c>
      <c r="G222" s="2" t="s">
        <v>173</v>
      </c>
      <c r="H222" s="2" t="s">
        <v>107</v>
      </c>
      <c r="I222" s="2" t="str">
        <f>IFERROR(__xludf.DUMMYFUNCTION("GOOGLETRANSLATE(C222,""fr"",""en"")"),"Perfect as usual. Second car insured and I am still as well accompanied and listened to.
I highly recommend the olive assurance.
Adil.")</f>
        <v>Perfect as usual. Second car insured and I am still as well accompanied and listened to.
I highly recommend the olive assurance.
Adil.</v>
      </c>
    </row>
    <row r="223" ht="15.75" customHeight="1">
      <c r="A223" s="2">
        <v>5.0</v>
      </c>
      <c r="B223" s="2" t="s">
        <v>727</v>
      </c>
      <c r="C223" s="2" t="s">
        <v>728</v>
      </c>
      <c r="D223" s="2" t="s">
        <v>74</v>
      </c>
      <c r="E223" s="2" t="s">
        <v>58</v>
      </c>
      <c r="F223" s="2" t="s">
        <v>15</v>
      </c>
      <c r="G223" s="2" t="s">
        <v>729</v>
      </c>
      <c r="H223" s="2" t="s">
        <v>107</v>
      </c>
      <c r="I223" s="2" t="str">
        <f>IFERROR(__xludf.DUMMYFUNCTION("GOOGLETRANSLATE(C223,""fr"",""en"")"),"It is not expensive and super interestingly explain its good very practical insurance. We just have to fill out the form and very secure its property")</f>
        <v>It is not expensive and super interestingly explain its good very practical insurance. We just have to fill out the form and very secure its property</v>
      </c>
    </row>
    <row r="224" ht="15.75" customHeight="1">
      <c r="A224" s="2">
        <v>3.0</v>
      </c>
      <c r="B224" s="2" t="s">
        <v>730</v>
      </c>
      <c r="C224" s="2" t="s">
        <v>731</v>
      </c>
      <c r="D224" s="2" t="s">
        <v>293</v>
      </c>
      <c r="E224" s="2" t="s">
        <v>14</v>
      </c>
      <c r="F224" s="2" t="s">
        <v>15</v>
      </c>
      <c r="G224" s="2" t="s">
        <v>732</v>
      </c>
      <c r="H224" s="2" t="s">
        <v>566</v>
      </c>
      <c r="I224" s="2" t="str">
        <f>IFERROR(__xludf.DUMMYFUNCTION("GOOGLETRANSLATE(C224,""fr"",""en"")"),"I wanted to improve my car insurance contract during the year but I am told that this is only possible on the anniversary date an insurer who does not want to earn money is rather weird")</f>
        <v>I wanted to improve my car insurance contract during the year but I am told that this is only possible on the anniversary date an insurer who does not want to earn money is rather weird</v>
      </c>
    </row>
    <row r="225" ht="15.75" customHeight="1">
      <c r="A225" s="2">
        <v>1.0</v>
      </c>
      <c r="B225" s="2" t="s">
        <v>733</v>
      </c>
      <c r="C225" s="2" t="s">
        <v>734</v>
      </c>
      <c r="D225" s="2" t="s">
        <v>182</v>
      </c>
      <c r="E225" s="2" t="s">
        <v>14</v>
      </c>
      <c r="F225" s="2" t="s">
        <v>15</v>
      </c>
      <c r="G225" s="2" t="s">
        <v>735</v>
      </c>
      <c r="H225" s="2" t="s">
        <v>559</v>
      </c>
      <c r="I225" s="2" t="str">
        <f>IFERROR(__xludf.DUMMYFUNCTION("GOOGLETRANSLATE(C225,""fr"",""en"")"),"My experience: my mother decides to designate me as 2nd driver on her vehicle (306) 6 years ago, she contacts insurance by phone and expresses her desire to pay so that when I buy my own vehicle , I start with bonus
- ""Of course Madam, with this option "&amp;"your son will ancient bonus"". replied the agency
Surprised when buying a new personal vehicle, the agency tells us that the bonus is only effective if I assure myself at AXA, and that it is advantageous since it is 0.76.
I find it weird and ask for quo"&amp;"tes a little from all over.
AXA offers the same rates as its main competitors (MMA, MAAF) with the bonus at 0.76 and the bonus competition of 1 because it cannot be perceived elsewhere.
After reporting the competition prices for them, they tell me tha"&amp;"t they can review my quote downwards and that in no case will they send me a situation on my bonus because it only exists at home.
If it's not called the abuse of power ...
On my quote they simply indicated bonus of 0.76 to please me and applied the m"&amp;"aximum price.
For your info if you want your 2nd driver to acquire the bonus you have to pay the young driver's supplement (at no time the agency clarified it)
Count on me for bad ad.
Boulogne sur mer agency")</f>
        <v>My experience: my mother decides to designate me as 2nd driver on her vehicle (306) 6 years ago, she contacts insurance by phone and expresses her desire to pay so that when I buy my own vehicle , I start with bonus
- "Of course Madam, with this option your son will ancient bonus". replied the agency
Surprised when buying a new personal vehicle, the agency tells us that the bonus is only effective if I assure myself at AXA, and that it is advantageous since it is 0.76.
I find it weird and ask for quotes a little from all over.
AXA offers the same rates as its main competitors (MMA, MAAF) with the bonus at 0.76 and the bonus competition of 1 because it cannot be perceived elsewhere.
After reporting the competition prices for them, they tell me that they can review my quote downwards and that in no case will they send me a situation on my bonus because it only exists at home.
If it's not called the abuse of power ...
On my quote they simply indicated bonus of 0.76 to please me and applied the maximum price.
For your info if you want your 2nd driver to acquire the bonus you have to pay the young driver's supplement (at no time the agency clarified it)
Count on me for bad ad.
Boulogne sur mer agency</v>
      </c>
    </row>
    <row r="226" ht="15.75" customHeight="1">
      <c r="A226" s="2">
        <v>1.0</v>
      </c>
      <c r="B226" s="2" t="s">
        <v>736</v>
      </c>
      <c r="C226" s="2" t="s">
        <v>737</v>
      </c>
      <c r="D226" s="2" t="s">
        <v>316</v>
      </c>
      <c r="E226" s="2" t="s">
        <v>241</v>
      </c>
      <c r="F226" s="2" t="s">
        <v>15</v>
      </c>
      <c r="G226" s="2" t="s">
        <v>738</v>
      </c>
      <c r="H226" s="2" t="s">
        <v>566</v>
      </c>
      <c r="I226" s="2" t="str">
        <f>IFERROR(__xludf.DUMMYFUNCTION("GOOGLETRANSLATE(C226,""fr"",""en"")"),"Unable to reach them by phone Me Ballade since January 2017 between Rueil Malmaison Orléans Paris La Defense always send the same parts without ever having an answer even my banking agency director does not understand")</f>
        <v>Unable to reach them by phone Me Ballade since January 2017 between Rueil Malmaison Orléans Paris La Defense always send the same parts without ever having an answer even my banking agency director does not understand</v>
      </c>
    </row>
    <row r="227" ht="15.75" customHeight="1">
      <c r="A227" s="2">
        <v>1.0</v>
      </c>
      <c r="B227" s="2" t="s">
        <v>739</v>
      </c>
      <c r="C227" s="2" t="s">
        <v>740</v>
      </c>
      <c r="D227" s="2" t="s">
        <v>128</v>
      </c>
      <c r="E227" s="2" t="s">
        <v>103</v>
      </c>
      <c r="F227" s="2" t="s">
        <v>15</v>
      </c>
      <c r="G227" s="2" t="s">
        <v>741</v>
      </c>
      <c r="H227" s="2" t="s">
        <v>532</v>
      </c>
      <c r="I227" s="2" t="str">
        <f>IFERROR(__xludf.DUMMYFUNCTION("GOOGLETRANSLATE(C227,""fr"",""en"")"),"Liars ... We abandon you completely in the event of a disaster: they do not want to let go and make you loor")</f>
        <v>Liars ... We abandon you completely in the event of a disaster: they do not want to let go and make you loor</v>
      </c>
    </row>
    <row r="228" ht="15.75" customHeight="1">
      <c r="A228" s="2">
        <v>5.0</v>
      </c>
      <c r="B228" s="2" t="s">
        <v>742</v>
      </c>
      <c r="C228" s="2" t="s">
        <v>743</v>
      </c>
      <c r="D228" s="2" t="s">
        <v>117</v>
      </c>
      <c r="E228" s="2" t="s">
        <v>14</v>
      </c>
      <c r="F228" s="2" t="s">
        <v>15</v>
      </c>
      <c r="G228" s="2" t="s">
        <v>744</v>
      </c>
      <c r="H228" s="2" t="s">
        <v>33</v>
      </c>
      <c r="I228" s="2" t="str">
        <f>IFERROR(__xludf.DUMMYFUNCTION("GOOGLETRANSLATE(C228,""fr"",""en"")"),"A insurance always listening that does not hesitate to return to you to offer you products that are most advantageous!
Each claim, always well -supported")</f>
        <v>A insurance always listening that does not hesitate to return to you to offer you products that are most advantageous!
Each claim, always well -supported</v>
      </c>
    </row>
    <row r="229" ht="15.75" customHeight="1">
      <c r="A229" s="2">
        <v>5.0</v>
      </c>
      <c r="B229" s="2" t="s">
        <v>745</v>
      </c>
      <c r="C229" s="2" t="s">
        <v>746</v>
      </c>
      <c r="D229" s="2" t="s">
        <v>13</v>
      </c>
      <c r="E229" s="2" t="s">
        <v>14</v>
      </c>
      <c r="F229" s="2" t="s">
        <v>15</v>
      </c>
      <c r="G229" s="2" t="s">
        <v>245</v>
      </c>
      <c r="H229" s="2" t="s">
        <v>50</v>
      </c>
      <c r="I229" s="2" t="str">
        <f>IFERROR(__xludf.DUMMYFUNCTION("GOOGLETRANSLATE(C229,""fr"",""en"")"),"I am very satisfied… .. and very fascinated for the speed and ease of prices and the least implemented for ease the implementation of insurance !!!")</f>
        <v>I am very satisfied… .. and very fascinated for the speed and ease of prices and the least implemented for ease the implementation of insurance !!!</v>
      </c>
    </row>
    <row r="230" ht="15.75" customHeight="1">
      <c r="A230" s="2">
        <v>4.0</v>
      </c>
      <c r="B230" s="2" t="s">
        <v>747</v>
      </c>
      <c r="C230" s="2" t="s">
        <v>748</v>
      </c>
      <c r="D230" s="2" t="s">
        <v>31</v>
      </c>
      <c r="E230" s="2" t="s">
        <v>14</v>
      </c>
      <c r="F230" s="2" t="s">
        <v>15</v>
      </c>
      <c r="G230" s="2" t="s">
        <v>749</v>
      </c>
      <c r="H230" s="2" t="s">
        <v>234</v>
      </c>
      <c r="I230" s="2" t="str">
        <f>IFERROR(__xludf.DUMMYFUNCTION("GOOGLETRANSLATE(C230,""fr"",""en"")"),"Professional team, attentive, and of good advice. Attractive price, satisfactory level of coverage.")</f>
        <v>Professional team, attentive, and of good advice. Attractive price, satisfactory level of coverage.</v>
      </c>
    </row>
    <row r="231" ht="15.75" customHeight="1">
      <c r="A231" s="2">
        <v>3.0</v>
      </c>
      <c r="B231" s="2" t="s">
        <v>750</v>
      </c>
      <c r="C231" s="2" t="s">
        <v>751</v>
      </c>
      <c r="D231" s="2" t="s">
        <v>293</v>
      </c>
      <c r="E231" s="2" t="s">
        <v>14</v>
      </c>
      <c r="F231" s="2" t="s">
        <v>15</v>
      </c>
      <c r="G231" s="2" t="s">
        <v>414</v>
      </c>
      <c r="H231" s="2" t="s">
        <v>415</v>
      </c>
      <c r="I231" s="2" t="str">
        <f>IFERROR(__xludf.DUMMYFUNCTION("GOOGLETRANSLATE(C231,""fr"",""en"")"),"
Hello
I am Mrs. Mathide Mabilat a lending. I am of French nationality. I offer loans to serious people likely to reimburse me well for loan conditions are very clear and simple. Please contact me for more information in order to achieve reliable, secur"&amp;"e funding. If you are interested do not hesitate to contact me directly on: mathildemabilat2@gmail.com")</f>
        <v>
Hello
I am Mrs. Mathide Mabilat a lending. I am of French nationality. I offer loans to serious people likely to reimburse me well for loan conditions are very clear and simple. Please contact me for more information in order to achieve reliable, secure funding. If you are interested do not hesitate to contact me directly on: mathildemabilat2@gmail.com</v>
      </c>
    </row>
    <row r="232" ht="15.75" customHeight="1">
      <c r="A232" s="2">
        <v>2.0</v>
      </c>
      <c r="B232" s="2" t="s">
        <v>752</v>
      </c>
      <c r="C232" s="2" t="s">
        <v>753</v>
      </c>
      <c r="D232" s="2" t="s">
        <v>102</v>
      </c>
      <c r="E232" s="2" t="s">
        <v>14</v>
      </c>
      <c r="F232" s="2" t="s">
        <v>15</v>
      </c>
      <c r="G232" s="2" t="s">
        <v>754</v>
      </c>
      <c r="H232" s="2" t="s">
        <v>677</v>
      </c>
      <c r="I232" s="2" t="str">
        <f>IFERROR(__xludf.DUMMYFUNCTION("GOOGLETRANSLATE(C232,""fr"",""en"")"),"Hello, I write this post in the hope that someone can help me by comparing either to the same insurance or with another insurance. MAIF informs me that I cannot do a counter expertise which would be opposed to it (following a first expertise in convenienc"&amp;"e intended to prove a responsibility that I do not have). No specific text reference has been communicated to me, I do not trust. How to defend myself because I am offered to go directly to the third expertise without having had a 2nd expertise? I do not "&amp;"trust because there have been too many problems in this file. Is this procedure legal?")</f>
        <v>Hello, I write this post in the hope that someone can help me by comparing either to the same insurance or with another insurance. MAIF informs me that I cannot do a counter expertise which would be opposed to it (following a first expertise in convenience intended to prove a responsibility that I do not have). No specific text reference has been communicated to me, I do not trust. How to defend myself because I am offered to go directly to the third expertise without having had a 2nd expertise? I do not trust because there have been too many problems in this file. Is this procedure legal?</v>
      </c>
    </row>
    <row r="233" ht="15.75" customHeight="1">
      <c r="A233" s="2">
        <v>3.0</v>
      </c>
      <c r="B233" s="2" t="s">
        <v>755</v>
      </c>
      <c r="C233" s="2" t="s">
        <v>756</v>
      </c>
      <c r="D233" s="2" t="s">
        <v>13</v>
      </c>
      <c r="E233" s="2" t="s">
        <v>14</v>
      </c>
      <c r="F233" s="2" t="s">
        <v>15</v>
      </c>
      <c r="G233" s="2" t="s">
        <v>757</v>
      </c>
      <c r="H233" s="2" t="s">
        <v>130</v>
      </c>
      <c r="I233" s="2" t="str">
        <f>IFERROR(__xludf.DUMMYFUNCTION("GOOGLETRANSLATE(C233,""fr"",""en"")"),"I had problems with the garage advises. I had to involve the dealer of my vehicle.")</f>
        <v>I had problems with the garage advises. I had to involve the dealer of my vehicle.</v>
      </c>
    </row>
    <row r="234" ht="15.75" customHeight="1">
      <c r="A234" s="2">
        <v>1.0</v>
      </c>
      <c r="B234" s="2" t="s">
        <v>758</v>
      </c>
      <c r="C234" s="2" t="s">
        <v>759</v>
      </c>
      <c r="D234" s="2" t="s">
        <v>31</v>
      </c>
      <c r="E234" s="2" t="s">
        <v>14</v>
      </c>
      <c r="F234" s="2" t="s">
        <v>15</v>
      </c>
      <c r="G234" s="2" t="s">
        <v>760</v>
      </c>
      <c r="H234" s="2" t="s">
        <v>76</v>
      </c>
      <c r="I234" s="2" t="str">
        <f>IFERROR(__xludf.DUMMYFUNCTION("GOOGLETRANSLATE(C234,""fr"",""en"")"),"Hello, Accidents level I do not know how it is their care since fortunately never happened. On the other hand the permiere year of attractive price insurance to win the client and after instead of going down as in all insurance they increase the price wit"&amp;"hout explanations (because no incident and then they always increase the subscription) - to flee.")</f>
        <v>Hello, Accidents level I do not know how it is their care since fortunately never happened. On the other hand the permiere year of attractive price insurance to win the client and after instead of going down as in all insurance they increase the price without explanations (because no incident and then they always increase the subscription) - to flee.</v>
      </c>
    </row>
    <row r="235" ht="15.75" customHeight="1">
      <c r="A235" s="2">
        <v>5.0</v>
      </c>
      <c r="B235" s="2" t="s">
        <v>761</v>
      </c>
      <c r="C235" s="2" t="s">
        <v>762</v>
      </c>
      <c r="D235" s="2" t="s">
        <v>13</v>
      </c>
      <c r="E235" s="2" t="s">
        <v>14</v>
      </c>
      <c r="F235" s="2" t="s">
        <v>15</v>
      </c>
      <c r="G235" s="2" t="s">
        <v>763</v>
      </c>
      <c r="H235" s="2" t="s">
        <v>107</v>
      </c>
      <c r="I235" s="2" t="str">
        <f>IFERROR(__xludf.DUMMYFUNCTION("GOOGLETRANSLATE(C235,""fr"",""en"")"),"Being a young driver (allowed less than 1 year), I just bought a car.
I made several quotes with several insurance and Direct Insurance offered me the most advantageous knowing that I wanted full coverage (all risks reinforced, serenity pack and low fran"&amp;"chise). I am satisfied with my subscription for the moment! To see afterwards ...!")</f>
        <v>Being a young driver (allowed less than 1 year), I just bought a car.
I made several quotes with several insurance and Direct Insurance offered me the most advantageous knowing that I wanted full coverage (all risks reinforced, serenity pack and low franchise). I am satisfied with my subscription for the moment! To see afterwards ...!</v>
      </c>
    </row>
    <row r="236" ht="15.75" customHeight="1">
      <c r="A236" s="2">
        <v>1.0</v>
      </c>
      <c r="B236" s="2" t="s">
        <v>764</v>
      </c>
      <c r="C236" s="2" t="s">
        <v>765</v>
      </c>
      <c r="D236" s="2" t="s">
        <v>102</v>
      </c>
      <c r="E236" s="2" t="s">
        <v>103</v>
      </c>
      <c r="F236" s="2" t="s">
        <v>15</v>
      </c>
      <c r="G236" s="2" t="s">
        <v>766</v>
      </c>
      <c r="H236" s="2" t="s">
        <v>767</v>
      </c>
      <c r="I236" s="2" t="str">
        <f>IFERROR(__xludf.DUMMYFUNCTION("GOOGLETRANSLATE(C236,""fr"",""en"")"),"hello
My husband who is the nominative member does not want me to write to you I believe that it will do me good how the maif, the raqvam is militant insurance we arrived with us on December 27 we discover lots of water everywhere The boiler broken down "&amp;"my husband says that the non -management must be in our contract o k but not a word of compassion my husband is in disability, my disabled adult son why not a word of compassion: the boiler will be repaired on 5 01
The water on Thursday 4 I hope they are"&amp;" used to lowering the head how it does for him .....")</f>
        <v>hello
My husband who is the nominative member does not want me to write to you I believe that it will do me good how the maif, the raqvam is militant insurance we arrived with us on December 27 we discover lots of water everywhere The boiler broken down my husband says that the non -management must be in our contract o k but not a word of compassion my husband is in disability, my disabled adult son why not a word of compassion: the boiler will be repaired on 5 01
The water on Thursday 4 I hope they are used to lowering the head how it does for him .....</v>
      </c>
    </row>
    <row r="237" ht="15.75" customHeight="1">
      <c r="A237" s="2">
        <v>1.0</v>
      </c>
      <c r="B237" s="2" t="s">
        <v>768</v>
      </c>
      <c r="C237" s="2" t="s">
        <v>769</v>
      </c>
      <c r="D237" s="2" t="s">
        <v>256</v>
      </c>
      <c r="E237" s="2" t="s">
        <v>103</v>
      </c>
      <c r="F237" s="2" t="s">
        <v>15</v>
      </c>
      <c r="G237" s="2" t="s">
        <v>770</v>
      </c>
      <c r="H237" s="2" t="s">
        <v>549</v>
      </c>
      <c r="I237" s="2" t="str">
        <f>IFERROR(__xludf.DUMMYFUNCTION("GOOGLETRANSLATE(C237,""fr"",""en"")"),"Housing insurance has been rejected by the bank and instead of returning it or sending an Allianz letter canceled the contract by registered letter after calling the agency, says that there are costs of 40 euros I send the check and the agency refused the"&amp;" recommended with the check. The recommended returns and I move to the agency and the person tells me that he cannot take the money and relaunched the contract even if I pay the costs of an additional 20 euros. And suddenly I found another insurer. We wer"&amp;"e for 45 years at Allianz and before that was called AGF so no consideration for old customers.")</f>
        <v>Housing insurance has been rejected by the bank and instead of returning it or sending an Allianz letter canceled the contract by registered letter after calling the agency, says that there are costs of 40 euros I send the check and the agency refused the recommended with the check. The recommended returns and I move to the agency and the person tells me that he cannot take the money and relaunched the contract even if I pay the costs of an additional 20 euros. And suddenly I found another insurer. We were for 45 years at Allianz and before that was called AGF so no consideration for old customers.</v>
      </c>
    </row>
    <row r="238" ht="15.75" customHeight="1">
      <c r="A238" s="2">
        <v>1.0</v>
      </c>
      <c r="B238" s="2" t="s">
        <v>771</v>
      </c>
      <c r="C238" s="2" t="s">
        <v>772</v>
      </c>
      <c r="D238" s="2" t="s">
        <v>136</v>
      </c>
      <c r="E238" s="2" t="s">
        <v>103</v>
      </c>
      <c r="F238" s="2" t="s">
        <v>15</v>
      </c>
      <c r="G238" s="2" t="s">
        <v>773</v>
      </c>
      <c r="H238" s="2" t="s">
        <v>774</v>
      </c>
      <c r="I238" s="2" t="str">
        <f>IFERROR(__xludf.DUMMYFUNCTION("GOOGLETRANSLATE(C238,""fr"",""en"")"),"I live a ordeal with Pacifica.
It is a scandal. And in addition it is expensive!
Do not take care of anything, do not respond to my emails and send me the ball systematically. Their barely hidden message: ""Drive yourself, at your expense.""
I really h"&amp;"ave the feeling that he is trying to make sure that I abandon the idea of ​​making my assurance work. Excluding I paid for an insurance service. I want him to be returned.
-Alphone: remains fixed at their idea to not spend anything. Hang up after putting"&amp;" on hold.
-Mails: has not responded to emails for a month despite at least weekly reminders. Meanwhile, leaks continue.")</f>
        <v>I live a ordeal with Pacifica.
It is a scandal. And in addition it is expensive!
Do not take care of anything, do not respond to my emails and send me the ball systematically. Their barely hidden message: "Drive yourself, at your expense."
I really have the feeling that he is trying to make sure that I abandon the idea of ​​making my assurance work. Excluding I paid for an insurance service. I want him to be returned.
-Alphone: remains fixed at their idea to not spend anything. Hang up after putting on hold.
-Mails: has not responded to emails for a month despite at least weekly reminders. Meanwhile, leaks continue.</v>
      </c>
    </row>
    <row r="239" ht="15.75" customHeight="1">
      <c r="A239" s="2">
        <v>1.0</v>
      </c>
      <c r="B239" s="2" t="s">
        <v>775</v>
      </c>
      <c r="C239" s="2" t="s">
        <v>776</v>
      </c>
      <c r="D239" s="2" t="s">
        <v>84</v>
      </c>
      <c r="E239" s="2" t="s">
        <v>103</v>
      </c>
      <c r="F239" s="2" t="s">
        <v>15</v>
      </c>
      <c r="G239" s="2" t="s">
        <v>777</v>
      </c>
      <c r="H239" s="2" t="s">
        <v>17</v>
      </c>
      <c r="I239" s="2" t="str">
        <f>IFERROR(__xludf.DUMMYFUNCTION("GOOGLETRANSLATE(C239,""fr"",""en"")"),"A real disaster. They took 3 years to restore water damage. I had to be in contact with 37 advisers in three years. Each time you have to resume everything from the start. I have never been faced with so much incompetence. Deplorable customer service. To "&amp;"flee.")</f>
        <v>A real disaster. They took 3 years to restore water damage. I had to be in contact with 37 advisers in three years. Each time you have to resume everything from the start. I have never been faced with so much incompetence. Deplorable customer service. To flee.</v>
      </c>
    </row>
    <row r="240" ht="15.75" customHeight="1">
      <c r="A240" s="2">
        <v>3.0</v>
      </c>
      <c r="B240" s="2" t="s">
        <v>778</v>
      </c>
      <c r="C240" s="2" t="s">
        <v>779</v>
      </c>
      <c r="D240" s="2" t="s">
        <v>256</v>
      </c>
      <c r="E240" s="2" t="s">
        <v>14</v>
      </c>
      <c r="F240" s="2" t="s">
        <v>15</v>
      </c>
      <c r="G240" s="2" t="s">
        <v>780</v>
      </c>
      <c r="H240" s="2" t="s">
        <v>781</v>
      </c>
      <c r="I240" s="2" t="str">
        <f>IFERROR(__xludf.DUMMYFUNCTION("GOOGLETRANSLATE(C240,""fr"",""en"")"),"I have been insured since 1998, in 2015 a non -responsible accident, October 2019 my spouse had an accident, I recognize very serious, it was not me, Allianz resilled me I have all my points 50 percent of bonus I am a good driver , I do not recomme allian"&amp;"z not correct")</f>
        <v>I have been insured since 1998, in 2015 a non -responsible accident, October 2019 my spouse had an accident, I recognize very serious, it was not me, Allianz resilled me I have all my points 50 percent of bonus I am a good driver , I do not recomme allianz not correct</v>
      </c>
    </row>
    <row r="241" ht="15.75" customHeight="1">
      <c r="A241" s="2">
        <v>1.0</v>
      </c>
      <c r="B241" s="2" t="s">
        <v>782</v>
      </c>
      <c r="C241" s="2" t="s">
        <v>783</v>
      </c>
      <c r="D241" s="2" t="s">
        <v>136</v>
      </c>
      <c r="E241" s="2" t="s">
        <v>14</v>
      </c>
      <c r="F241" s="2" t="s">
        <v>15</v>
      </c>
      <c r="G241" s="2" t="s">
        <v>784</v>
      </c>
      <c r="H241" s="2" t="s">
        <v>666</v>
      </c>
      <c r="I241" s="2" t="str">
        <f>IFERROR(__xludf.DUMMYFUNCTION("GOOGLETRANSLATE(C241,""fr"",""en"")"),"After 3 calls from 3 different interlocutors, asking me each time different papers for my car insurance, we end up telling me you are canceled Madame because you did not do me with this! Hey ho agree with colleagues !!!")</f>
        <v>After 3 calls from 3 different interlocutors, asking me each time different papers for my car insurance, we end up telling me you are canceled Madame because you did not do me with this! Hey ho agree with colleagues !!!</v>
      </c>
    </row>
    <row r="242" ht="15.75" customHeight="1">
      <c r="A242" s="2">
        <v>5.0</v>
      </c>
      <c r="B242" s="2" t="s">
        <v>785</v>
      </c>
      <c r="C242" s="2" t="s">
        <v>786</v>
      </c>
      <c r="D242" s="2" t="s">
        <v>20</v>
      </c>
      <c r="E242" s="2" t="s">
        <v>21</v>
      </c>
      <c r="F242" s="2" t="s">
        <v>15</v>
      </c>
      <c r="G242" s="2" t="s">
        <v>787</v>
      </c>
      <c r="H242" s="2" t="s">
        <v>46</v>
      </c>
      <c r="I242" s="2" t="str">
        <f>IFERROR(__xludf.DUMMYFUNCTION("GOOGLETRANSLATE(C242,""fr"",""en"")"),"Today, November 16, 2021, I had to contact my mutual insurance company, I had the pleasure of being able to come across a very pleasant, sympathetic, very professional, very polished person, speaking very simply but while knowing on my side that I had to "&amp;"do a lady who knew her work very well, without any hesitation during her answers to my questions, a lady so who makes you even more satisfied to have the MGP as mutual and who certainly contributes to Its proper functioning and the pleasure of knowing tha"&amp;"t when you call you have competent professionals on the phone.")</f>
        <v>Today, November 16, 2021, I had to contact my mutual insurance company, I had the pleasure of being able to come across a very pleasant, sympathetic, very professional, very polished person, speaking very simply but while knowing on my side that I had to do a lady who knew her work very well, without any hesitation during her answers to my questions, a lady so who makes you even more satisfied to have the MGP as mutual and who certainly contributes to Its proper functioning and the pleasure of knowing that when you call you have competent professionals on the phone.</v>
      </c>
    </row>
    <row r="243" ht="15.75" customHeight="1">
      <c r="A243" s="2">
        <v>1.0</v>
      </c>
      <c r="B243" s="2" t="s">
        <v>788</v>
      </c>
      <c r="C243" s="2" t="s">
        <v>789</v>
      </c>
      <c r="D243" s="2" t="s">
        <v>128</v>
      </c>
      <c r="E243" s="2" t="s">
        <v>103</v>
      </c>
      <c r="F243" s="2" t="s">
        <v>15</v>
      </c>
      <c r="G243" s="2" t="s">
        <v>790</v>
      </c>
      <c r="H243" s="2" t="s">
        <v>71</v>
      </c>
      <c r="I243" s="2" t="str">
        <f>IFERROR(__xludf.DUMMYFUNCTION("GOOGLETRANSLATE(C243,""fr"",""en"")"),"As soon as you have a problem they do not want to know anything you have to manage on their own and especially when his assistant in Morocco with Wafa assurance they did not want my father of 86 years with the disease of Parkinson and I called to the head"&amp;"quarters he assistant n 'Has nothing to know she told me to manage with Morocco and my father we took the ticket and we brought her back is the normal that the clinic decided to the Hotel when the person is trying to stand up
")</f>
        <v>As soon as you have a problem they do not want to know anything you have to manage on their own and especially when his assistant in Morocco with Wafa assurance they did not want my father of 86 years with the disease of Parkinson and I called to the headquarters he assistant n 'Has nothing to know she told me to manage with Morocco and my father we took the ticket and we brought her back is the normal that the clinic decided to the Hotel when the person is trying to stand up
</v>
      </c>
    </row>
    <row r="244" ht="15.75" customHeight="1">
      <c r="A244" s="2">
        <v>1.0</v>
      </c>
      <c r="B244" s="2" t="s">
        <v>791</v>
      </c>
      <c r="C244" s="2" t="s">
        <v>792</v>
      </c>
      <c r="D244" s="2" t="s">
        <v>182</v>
      </c>
      <c r="E244" s="2" t="s">
        <v>14</v>
      </c>
      <c r="F244" s="2" t="s">
        <v>15</v>
      </c>
      <c r="G244" s="2" t="s">
        <v>793</v>
      </c>
      <c r="H244" s="2" t="s">
        <v>71</v>
      </c>
      <c r="I244" s="2" t="str">
        <f>IFERROR(__xludf.DUMMYFUNCTION("GOOGLETRANSLATE(C244,""fr"",""en"")"),"Pipo insurance. Their slogan talks about itself ""Axa let's reinvent our job"" ..... I would say learn the profession of insurer. I had a claim in early October 2019, my front rim is cracked. I am in all risks. After a calamitous management of their reloc"&amp;"ated and totally incompetent services, they are slow to repay me the costs I have incurred, despite my many calls. I'm not going to stop there. The DGCCRF will put them back in their place, because for me they are charlatants. They take the money, my cont"&amp;"ributions are up to date, but for the rest .... that Dalle ... Zero, experts who make reports which is acquired in advance in favor of Axa ... a almost 100 Euros monthly contribution, we make fun of me deliberately. It is at the foot of the wall that we s"&amp;"ee the mason .... Conclusion: do not go to Axa, they are charlatants, no more, no less. In an agency in Paris 5th, an unfounded one who tells you that you are a liar and who announces that a refund takes 2 days ............ I am already at 15 days, and al"&amp;"ways nothing .....................")</f>
        <v>Pipo insurance. Their slogan talks about itself "Axa let's reinvent our job" ..... I would say learn the profession of insurer. I had a claim in early October 2019, my front rim is cracked. I am in all risks. After a calamitous management of their relocated and totally incompetent services, they are slow to repay me the costs I have incurred, despite my many calls. I'm not going to stop there. The DGCCRF will put them back in their place, because for me they are charlatants. They take the money, my contributions are up to date, but for the rest .... that Dalle ... Zero, experts who make reports which is acquired in advance in favor of Axa ... a almost 100 Euros monthly contribution, we make fun of me deliberately. It is at the foot of the wall that we see the mason .... Conclusion: do not go to Axa, they are charlatants, no more, no less. In an agency in Paris 5th, an unfounded one who tells you that you are a liar and who announces that a refund takes 2 days ............ I am already at 15 days, and always nothing .....................</v>
      </c>
    </row>
    <row r="245" ht="15.75" customHeight="1">
      <c r="A245" s="2">
        <v>2.0</v>
      </c>
      <c r="B245" s="2" t="s">
        <v>794</v>
      </c>
      <c r="C245" s="2" t="s">
        <v>795</v>
      </c>
      <c r="D245" s="2" t="s">
        <v>117</v>
      </c>
      <c r="E245" s="2" t="s">
        <v>14</v>
      </c>
      <c r="F245" s="2" t="s">
        <v>15</v>
      </c>
      <c r="G245" s="2" t="s">
        <v>796</v>
      </c>
      <c r="H245" s="2" t="s">
        <v>677</v>
      </c>
      <c r="I245" s="2" t="str">
        <f>IFERROR(__xludf.DUMMYFUNCTION("GOOGLETRANSLATE(C245,""fr"",""en"")"),"The GMF insurer leaves me without news for a non -responsible disaster: following an accident on February 6, 2020 where a motorist does not respect his stop; My vehicle has its doors which no longer close to keys and which let the rain pass. I can no long"&amp;"er go to work or do my shopping. Unfortunately, the GMF does not rent a car for 3 days. She is mistaken on the date of the expert's passage. I make the rental vehicle, without indication of the GMF on the procedure to follow. I go back to my house (11km, "&amp;"being a disabled person thank you for the unforeseen sports session). Since February 7, I spend hours on the phone to resolve this disaster and unfortunately the GMF is unable to help me! I'm still waiting for a solution to have a car to be able to work ."&amp;"..")</f>
        <v>The GMF insurer leaves me without news for a non -responsible disaster: following an accident on February 6, 2020 where a motorist does not respect his stop; My vehicle has its doors which no longer close to keys and which let the rain pass. I can no longer go to work or do my shopping. Unfortunately, the GMF does not rent a car for 3 days. She is mistaken on the date of the expert's passage. I make the rental vehicle, without indication of the GMF on the procedure to follow. I go back to my house (11km, being a disabled person thank you for the unforeseen sports session). Since February 7, I spend hours on the phone to resolve this disaster and unfortunately the GMF is unable to help me! I'm still waiting for a solution to have a car to be able to work ...</v>
      </c>
    </row>
    <row r="246" ht="15.75" customHeight="1">
      <c r="A246" s="2">
        <v>2.0</v>
      </c>
      <c r="B246" s="2" t="s">
        <v>797</v>
      </c>
      <c r="C246" s="2" t="s">
        <v>798</v>
      </c>
      <c r="D246" s="2" t="s">
        <v>13</v>
      </c>
      <c r="E246" s="2" t="s">
        <v>103</v>
      </c>
      <c r="F246" s="2" t="s">
        <v>15</v>
      </c>
      <c r="G246" s="2" t="s">
        <v>799</v>
      </c>
      <c r="H246" s="2" t="s">
        <v>800</v>
      </c>
      <c r="I246" s="2" t="str">
        <f>IFERROR(__xludf.DUMMYFUNCTION("GOOGLETRANSLATE(C246,""fr"",""en"")"),"Null customer service.
No respect for customers on the phone when you can reach them because it is impossible or very very difficult.
I regret having been home.
Only our money seems to interest them.")</f>
        <v>Null customer service.
No respect for customers on the phone when you can reach them because it is impossible or very very difficult.
I regret having been home.
Only our money seems to interest them.</v>
      </c>
    </row>
    <row r="247" ht="15.75" customHeight="1">
      <c r="A247" s="2">
        <v>2.0</v>
      </c>
      <c r="B247" s="2" t="s">
        <v>801</v>
      </c>
      <c r="C247" s="2" t="s">
        <v>802</v>
      </c>
      <c r="D247" s="2" t="s">
        <v>84</v>
      </c>
      <c r="E247" s="2" t="s">
        <v>103</v>
      </c>
      <c r="F247" s="2" t="s">
        <v>15</v>
      </c>
      <c r="G247" s="2" t="s">
        <v>803</v>
      </c>
      <c r="H247" s="2" t="s">
        <v>249</v>
      </c>
      <c r="I247" s="2" t="str">
        <f>IFERROR(__xludf.DUMMYFUNCTION("GOOGLETRANSLATE(C247,""fr"",""en"")"),"Damage following a storm in 2014, repair ""made"" by 1 roofer (who would do well to change jobs) ... Refuits, expertise ... observations of proven poor workmanship ..., opacities on the invoicing of the craftsman who Invoice of the scaffolding that he did"&amp;" not install ... Even with supporting photos, the insurer makes me guilty of the thing ...! ! ! not banal this one! ! ! Obviously, there are some who fill their pockets with part of the invoicing ... who of the provider who of the insurer ...? The investi"&amp;"gation will tell us soon! !")</f>
        <v>Damage following a storm in 2014, repair "made" by 1 roofer (who would do well to change jobs) ... Refuits, expertise ... observations of proven poor workmanship ..., opacities on the invoicing of the craftsman who Invoice of the scaffolding that he did not install ... Even with supporting photos, the insurer makes me guilty of the thing ...! ! ! not banal this one! ! ! Obviously, there are some who fill their pockets with part of the invoicing ... who of the provider who of the insurer ...? The investigation will tell us soon! !</v>
      </c>
    </row>
    <row r="248" ht="15.75" customHeight="1">
      <c r="A248" s="2">
        <v>1.0</v>
      </c>
      <c r="B248" s="2" t="s">
        <v>804</v>
      </c>
      <c r="C248" s="2" t="s">
        <v>805</v>
      </c>
      <c r="D248" s="2" t="s">
        <v>806</v>
      </c>
      <c r="E248" s="2" t="s">
        <v>241</v>
      </c>
      <c r="F248" s="2" t="s">
        <v>15</v>
      </c>
      <c r="G248" s="2" t="s">
        <v>336</v>
      </c>
      <c r="H248" s="2" t="s">
        <v>23</v>
      </c>
      <c r="I248" s="2" t="str">
        <f>IFERROR(__xludf.DUMMYFUNCTION("GOOGLETRANSLATE(C248,""fr"",""en"")"),"Bank's subsidiary to talk to, unreachable on the phone and an ad to wait who tells us that we will be recorded, but when you want !!!")</f>
        <v>Bank's subsidiary to talk to, unreachable on the phone and an ad to wait who tells us that we will be recorded, but when you want !!!</v>
      </c>
    </row>
    <row r="249" ht="15.75" customHeight="1">
      <c r="A249" s="2">
        <v>1.0</v>
      </c>
      <c r="B249" s="2" t="s">
        <v>807</v>
      </c>
      <c r="C249" s="2" t="s">
        <v>808</v>
      </c>
      <c r="D249" s="2" t="s">
        <v>128</v>
      </c>
      <c r="E249" s="2" t="s">
        <v>14</v>
      </c>
      <c r="F249" s="2" t="s">
        <v>15</v>
      </c>
      <c r="G249" s="2" t="s">
        <v>809</v>
      </c>
      <c r="H249" s="2" t="s">
        <v>295</v>
      </c>
      <c r="I249" s="2" t="str">
        <f>IFERROR(__xludf.DUMMYFUNCTION("GOOGLETRANSLATE(C249,""fr"",""en"")"),"A mutual to flee. You are received there as a dog in a keel game. We reject you as a malpropre and the service is zero. No listening from the agent who receives you. Not the slightest politeness. Do not want to accept the slightest dialogue and hide behin"&amp;"d their computer.")</f>
        <v>A mutual to flee. You are received there as a dog in a keel game. We reject you as a malpropre and the service is zero. No listening from the agent who receives you. Not the slightest politeness. Do not want to accept the slightest dialogue and hide behind their computer.</v>
      </c>
    </row>
    <row r="250" ht="15.75" customHeight="1">
      <c r="A250" s="2">
        <v>4.0</v>
      </c>
      <c r="B250" s="2" t="s">
        <v>810</v>
      </c>
      <c r="C250" s="2" t="s">
        <v>811</v>
      </c>
      <c r="D250" s="2" t="s">
        <v>31</v>
      </c>
      <c r="E250" s="2" t="s">
        <v>14</v>
      </c>
      <c r="F250" s="2" t="s">
        <v>15</v>
      </c>
      <c r="G250" s="2" t="s">
        <v>45</v>
      </c>
      <c r="H250" s="2" t="s">
        <v>46</v>
      </c>
      <c r="I250" s="2" t="str">
        <f>IFERROR(__xludf.DUMMYFUNCTION("GOOGLETRANSLATE(C250,""fr"",""en"")"),"I am satisfied.
The value for money is good and the reaction time following my contract subscription was very fast.
The advantages of contracts are interesting.
")</f>
        <v>I am satisfied.
The value for money is good and the reaction time following my contract subscription was very fast.
The advantages of contracts are interesting.
</v>
      </c>
    </row>
    <row r="251" ht="15.75" customHeight="1">
      <c r="A251" s="2">
        <v>1.0</v>
      </c>
      <c r="B251" s="2" t="s">
        <v>812</v>
      </c>
      <c r="C251" s="2" t="s">
        <v>813</v>
      </c>
      <c r="D251" s="2" t="s">
        <v>13</v>
      </c>
      <c r="E251" s="2" t="s">
        <v>103</v>
      </c>
      <c r="F251" s="2" t="s">
        <v>15</v>
      </c>
      <c r="G251" s="2" t="s">
        <v>814</v>
      </c>
      <c r="H251" s="2" t="s">
        <v>93</v>
      </c>
      <c r="I251" s="2" t="str">
        <f>IFERROR(__xludf.DUMMYFUNCTION("GOOGLETRANSLATE(C251,""fr"",""en"")"),"It was good ... Unfortunately, it changed! I did a test with a simulator on the internet to find out the price of my insurance with them ... 125 instead of 200 euros ... I call them by phone, in fact, it is a preferential rate for new clients !! For those"&amp;" who are already customers, it is better to terminate ....")</f>
        <v>It was good ... Unfortunately, it changed! I did a test with a simulator on the internet to find out the price of my insurance with them ... 125 instead of 200 euros ... I call them by phone, in fact, it is a preferential rate for new clients !! For those who are already customers, it is better to terminate ....</v>
      </c>
    </row>
    <row r="252" ht="15.75" customHeight="1">
      <c r="A252" s="2">
        <v>4.0</v>
      </c>
      <c r="B252" s="2" t="s">
        <v>815</v>
      </c>
      <c r="C252" s="2" t="s">
        <v>816</v>
      </c>
      <c r="D252" s="2" t="s">
        <v>31</v>
      </c>
      <c r="E252" s="2" t="s">
        <v>14</v>
      </c>
      <c r="F252" s="2" t="s">
        <v>15</v>
      </c>
      <c r="G252" s="2" t="s">
        <v>59</v>
      </c>
      <c r="H252" s="2" t="s">
        <v>60</v>
      </c>
      <c r="I252" s="2" t="str">
        <f>IFERROR(__xludf.DUMMYFUNCTION("GOOGLETRANSLATE(C252,""fr"",""en"")"),"Satisfied with effective and serious effective communication happy to have you as an assurance for my home and my cars thank you cordially Mr. and Mrs. Mellal")</f>
        <v>Satisfied with effective and serious effective communication happy to have you as an assurance for my home and my cars thank you cordially Mr. and Mrs. Mellal</v>
      </c>
    </row>
    <row r="253" ht="15.75" customHeight="1">
      <c r="A253" s="2">
        <v>5.0</v>
      </c>
      <c r="B253" s="2" t="s">
        <v>817</v>
      </c>
      <c r="C253" s="2" t="s">
        <v>818</v>
      </c>
      <c r="D253" s="2" t="s">
        <v>13</v>
      </c>
      <c r="E253" s="2" t="s">
        <v>14</v>
      </c>
      <c r="F253" s="2" t="s">
        <v>15</v>
      </c>
      <c r="G253" s="2" t="s">
        <v>580</v>
      </c>
      <c r="H253" s="2" t="s">
        <v>60</v>
      </c>
      <c r="I253" s="2" t="str">
        <f>IFERROR(__xludf.DUMMYFUNCTION("GOOGLETRANSLATE(C253,""fr"",""en"")"),"I already have homemade insurance with you I am very satisfied and so I have taken out car insurance and I hope to be as satisfied ...")</f>
        <v>I already have homemade insurance with you I am very satisfied and so I have taken out car insurance and I hope to be as satisfied ...</v>
      </c>
    </row>
    <row r="254" ht="15.75" customHeight="1">
      <c r="A254" s="2">
        <v>1.0</v>
      </c>
      <c r="B254" s="2" t="s">
        <v>819</v>
      </c>
      <c r="C254" s="2" t="s">
        <v>820</v>
      </c>
      <c r="D254" s="2" t="s">
        <v>256</v>
      </c>
      <c r="E254" s="2" t="s">
        <v>14</v>
      </c>
      <c r="F254" s="2" t="s">
        <v>15</v>
      </c>
      <c r="G254" s="2" t="s">
        <v>262</v>
      </c>
      <c r="H254" s="2" t="s">
        <v>17</v>
      </c>
      <c r="I254" s="2" t="str">
        <f>IFERROR(__xludf.DUMMYFUNCTION("GOOGLETRANSLATE(C254,""fr"",""en"")"),"Slow +++ in the management of files, difficult to reachable, each interlocutor tells you that he treats your request but when you recall 1 week later, no entry in the folder ...
Continue to take several months after having given them the certificate of s"&amp;"ale of the vehicle ...
To flee!")</f>
        <v>Slow +++ in the management of files, difficult to reachable, each interlocutor tells you that he treats your request but when you recall 1 week later, no entry in the folder ...
Continue to take several months after having given them the certificate of sale of the vehicle ...
To flee!</v>
      </c>
    </row>
    <row r="255" ht="15.75" customHeight="1">
      <c r="A255" s="2">
        <v>1.0</v>
      </c>
      <c r="B255" s="2" t="s">
        <v>821</v>
      </c>
      <c r="C255" s="2" t="s">
        <v>822</v>
      </c>
      <c r="D255" s="2" t="s">
        <v>182</v>
      </c>
      <c r="E255" s="2" t="s">
        <v>14</v>
      </c>
      <c r="F255" s="2" t="s">
        <v>15</v>
      </c>
      <c r="G255" s="2" t="s">
        <v>823</v>
      </c>
      <c r="H255" s="2" t="s">
        <v>313</v>
      </c>
      <c r="I255" s="2" t="str">
        <f>IFERROR(__xludf.DUMMYFUNCTION("GOOGLETRANSLATE(C255,""fr"",""en"")"),"Insured for more than 20 years at AXA (22 or 23 years old), I see that anxa does not make the checks and does not process the files. Unable to manage a change of address (while I signed a new home contract with my new address) AXA sends you to the litigat"&amp;"ion system with additional costs. You have to see the effort made by AXA to inform you: 0 email, 0 phone call (provided for 22 or 23 years) on the other hand at the same time, a personalized telephone message for borrower insurance, pubs on emails , it's "&amp;"not like you were unknown. AXA thinks they have all the rights once their formal notice has been sent when they did not send it to my address !! They explain to you that it's up to you to pay them if they don't do their job !! So I will see what I can do "&amp;"to terminate my AXA contracts as soon as possible.")</f>
        <v>Insured for more than 20 years at AXA (22 or 23 years old), I see that anxa does not make the checks and does not process the files. Unable to manage a change of address (while I signed a new home contract with my new address) AXA sends you to the litigation system with additional costs. You have to see the effort made by AXA to inform you: 0 email, 0 phone call (provided for 22 or 23 years) on the other hand at the same time, a personalized telephone message for borrower insurance, pubs on emails , it's not like you were unknown. AXA thinks they have all the rights once their formal notice has been sent when they did not send it to my address !! They explain to you that it's up to you to pay them if they don't do their job !! So I will see what I can do to terminate my AXA contracts as soon as possible.</v>
      </c>
    </row>
    <row r="256" ht="15.75" customHeight="1">
      <c r="A256" s="2">
        <v>5.0</v>
      </c>
      <c r="B256" s="2" t="s">
        <v>824</v>
      </c>
      <c r="C256" s="2" t="s">
        <v>825</v>
      </c>
      <c r="D256" s="2" t="s">
        <v>74</v>
      </c>
      <c r="E256" s="2" t="s">
        <v>58</v>
      </c>
      <c r="F256" s="2" t="s">
        <v>15</v>
      </c>
      <c r="G256" s="2" t="s">
        <v>826</v>
      </c>
      <c r="H256" s="2" t="s">
        <v>60</v>
      </c>
      <c r="I256" s="2" t="str">
        <f>IFERROR(__xludf.DUMMYFUNCTION("GOOGLETRANSLATE(C256,""fr"",""en"")"),"I am satisfied with the service which is fast. The price is very attractive. The site is very easy to use.
I advise you this insurance.")</f>
        <v>I am satisfied with the service which is fast. The price is very attractive. The site is very easy to use.
I advise you this insurance.</v>
      </c>
    </row>
    <row r="257" ht="15.75" customHeight="1">
      <c r="A257" s="2">
        <v>3.0</v>
      </c>
      <c r="B257" s="2" t="s">
        <v>827</v>
      </c>
      <c r="C257" s="2" t="s">
        <v>828</v>
      </c>
      <c r="D257" s="2" t="s">
        <v>13</v>
      </c>
      <c r="E257" s="2" t="s">
        <v>14</v>
      </c>
      <c r="F257" s="2" t="s">
        <v>15</v>
      </c>
      <c r="G257" s="2" t="s">
        <v>66</v>
      </c>
      <c r="H257" s="2" t="s">
        <v>50</v>
      </c>
      <c r="I257" s="2" t="str">
        <f>IFERROR(__xludf.DUMMYFUNCTION("GOOGLETRANSLATE(C257,""fr"",""en"")"),"Very well although it is a little difficult to find it in all the details
Nevertheless we are informed correctly and quickly via the chat box sea i")</f>
        <v>Very well although it is a little difficult to find it in all the details
Nevertheless we are informed correctly and quickly via the chat box sea i</v>
      </c>
    </row>
    <row r="258" ht="15.75" customHeight="1">
      <c r="A258" s="2">
        <v>4.0</v>
      </c>
      <c r="B258" s="2" t="s">
        <v>829</v>
      </c>
      <c r="C258" s="2" t="s">
        <v>830</v>
      </c>
      <c r="D258" s="2" t="s">
        <v>31</v>
      </c>
      <c r="E258" s="2" t="s">
        <v>14</v>
      </c>
      <c r="F258" s="2" t="s">
        <v>15</v>
      </c>
      <c r="G258" s="2" t="s">
        <v>38</v>
      </c>
      <c r="H258" s="2" t="s">
        <v>39</v>
      </c>
      <c r="I258" s="2" t="str">
        <f>IFERROR(__xludf.DUMMYFUNCTION("GOOGLETRANSLATE(C258,""fr"",""en"")"),"I am satisfied with the telephonic welcome and all the information given following my online request. very fast reaction and clarity of explanations")</f>
        <v>I am satisfied with the telephonic welcome and all the information given following my online request. very fast reaction and clarity of explanations</v>
      </c>
    </row>
    <row r="259" ht="15.75" customHeight="1">
      <c r="A259" s="2">
        <v>1.0</v>
      </c>
      <c r="B259" s="2" t="s">
        <v>831</v>
      </c>
      <c r="C259" s="2" t="s">
        <v>832</v>
      </c>
      <c r="D259" s="2" t="s">
        <v>256</v>
      </c>
      <c r="E259" s="2" t="s">
        <v>14</v>
      </c>
      <c r="F259" s="2" t="s">
        <v>15</v>
      </c>
      <c r="G259" s="2" t="s">
        <v>833</v>
      </c>
      <c r="H259" s="2" t="s">
        <v>574</v>
      </c>
      <c r="I259" s="2" t="str">
        <f>IFERROR(__xludf.DUMMYFUNCTION("GOOGLETRANSLATE(C259,""fr"",""en"")"),"Following a car accident, it unindemnates 169 euros for 3000kms carried out in various care, and I am not talking to you about the rest, great as insurance and in addition does not respond to the recommended letters, I have been insured since 1994 and I h"&amp;"ave 4 contracts")</f>
        <v>Following a car accident, it unindemnates 169 euros for 3000kms carried out in various care, and I am not talking to you about the rest, great as insurance and in addition does not respond to the recommended letters, I have been insured since 1994 and I have 4 contracts</v>
      </c>
    </row>
    <row r="260" ht="15.75" customHeight="1">
      <c r="A260" s="2">
        <v>3.0</v>
      </c>
      <c r="B260" s="2" t="s">
        <v>834</v>
      </c>
      <c r="C260" s="2" t="s">
        <v>835</v>
      </c>
      <c r="D260" s="2" t="s">
        <v>836</v>
      </c>
      <c r="E260" s="2" t="s">
        <v>103</v>
      </c>
      <c r="F260" s="2" t="s">
        <v>15</v>
      </c>
      <c r="G260" s="2" t="s">
        <v>837</v>
      </c>
      <c r="H260" s="2" t="s">
        <v>415</v>
      </c>
      <c r="I260" s="2" t="str">
        <f>IFERROR(__xludf.DUMMYFUNCTION("GOOGLETRANSLATE(C260,""fr"",""en"")"),"
Following a hail storm on 4.6., Gutter of the neighboring neighbor - Declaration on 6.6. - After having resumed contact on 5.8 A advisor sends me 1 declaration which specifies that he is civilly responsible. I contact a lawyer who sends me back to"&amp;" my protective. legal. I ask myself the question: am I assured at home or do you defend the opponent by giving him all his chances? Resumption of your letter from 11.9. Within the framework of the R.C. the damage must be certain (photos transmitted) and d"&amp;"etermined (flood with each downpour) works not carried out to date. Article 681 of the C.CIVIL: flow of gutter waters, must ensure that the water flows in your home and not at the neighbor. A.C.M. does not take into account. As such, an appeal against you"&amp;"r neighbor will hardly be admissible before the courts. An appeal to the district court seems to be inappropriate. From then on we cannot take care of this dispute. Despite an email from 15.9 left unanswered, no letter to my neighbor or myself. I fear add"&amp;"itional damage to the environment (wall + vegetation) due to the incompetence of insurance.
")</f>
        <v>
Following a hail storm on 4.6., Gutter of the neighboring neighbor - Declaration on 6.6. - After having resumed contact on 5.8 A advisor sends me 1 declaration which specifies that he is civilly responsible. I contact a lawyer who sends me back to my protective. legal. I ask myself the question: am I assured at home or do you defend the opponent by giving him all his chances? Resumption of your letter from 11.9. Within the framework of the R.C. the damage must be certain (photos transmitted) and determined (flood with each downpour) works not carried out to date. Article 681 of the C.CIVIL: flow of gutter waters, must ensure that the water flows in your home and not at the neighbor. A.C.M. does not take into account. As such, an appeal against your neighbor will hardly be admissible before the courts. An appeal to the district court seems to be inappropriate. From then on we cannot take care of this dispute. Despite an email from 15.9 left unanswered, no letter to my neighbor or myself. I fear additional damage to the environment (wall + vegetation) due to the incompetence of insurance.
</v>
      </c>
    </row>
    <row r="261" ht="15.75" customHeight="1">
      <c r="A261" s="2">
        <v>4.0</v>
      </c>
      <c r="B261" s="2" t="s">
        <v>838</v>
      </c>
      <c r="C261" s="2" t="s">
        <v>839</v>
      </c>
      <c r="D261" s="2" t="s">
        <v>31</v>
      </c>
      <c r="E261" s="2" t="s">
        <v>14</v>
      </c>
      <c r="F261" s="2" t="s">
        <v>15</v>
      </c>
      <c r="G261" s="2" t="s">
        <v>50</v>
      </c>
      <c r="H261" s="2" t="s">
        <v>50</v>
      </c>
      <c r="I261" s="2" t="str">
        <f>IFERROR(__xludf.DUMMYFUNCTION("GOOGLETRANSLATE(C261,""fr"",""en"")"),"Very satisfied with the service, speed and very nice advisor, I would come back quickly for the vehicle of my partner, acquisition planned this month")</f>
        <v>Very satisfied with the service, speed and very nice advisor, I would come back quickly for the vehicle of my partner, acquisition planned this month</v>
      </c>
    </row>
    <row r="262" ht="15.75" customHeight="1">
      <c r="A262" s="2">
        <v>1.0</v>
      </c>
      <c r="B262" s="2" t="s">
        <v>840</v>
      </c>
      <c r="C262" s="2" t="s">
        <v>841</v>
      </c>
      <c r="D262" s="2" t="s">
        <v>160</v>
      </c>
      <c r="E262" s="2" t="s">
        <v>21</v>
      </c>
      <c r="F262" s="2" t="s">
        <v>15</v>
      </c>
      <c r="G262" s="2" t="s">
        <v>842</v>
      </c>
      <c r="H262" s="2" t="s">
        <v>774</v>
      </c>
      <c r="I262" s="2" t="str">
        <f>IFERROR(__xludf.DUMMYFUNCTION("GOOGLETRANSLATE(C262,""fr"",""en"")"),"Arpège Stam Ec Allianz offers me an appointment with a doctor at 284 km during the covid period and being sick of surplus and without 1st in my pocket I specify !!! 3 weeks that I ask them to find me an appointment in Mulhouse rather than Strasbourg but t"&amp;"here the only answer received is negative because it is up to the doctor mandated by them to decide to change me or not?! This multiple name insurance is in no way professional or even human. I specify that the manager who makes the decisions is the only "&amp;"one in non -stop teleworking, because it is impossible to have online each time I have to remember or little hands calls me.
The worst part is that I am not going there will be my fault of not having agreed to go to 284km from my home.")</f>
        <v>Arpège Stam Ec Allianz offers me an appointment with a doctor at 284 km during the covid period and being sick of surplus and without 1st in my pocket I specify !!! 3 weeks that I ask them to find me an appointment in Mulhouse rather than Strasbourg but there the only answer received is negative because it is up to the doctor mandated by them to decide to change me or not?! This multiple name insurance is in no way professional or even human. I specify that the manager who makes the decisions is the only one in non -stop teleworking, because it is impossible to have online each time I have to remember or little hands calls me.
The worst part is that I am not going there will be my fault of not having agreed to go to 284km from my home.</v>
      </c>
    </row>
    <row r="263" ht="15.75" customHeight="1">
      <c r="A263" s="2">
        <v>3.0</v>
      </c>
      <c r="B263" s="2" t="s">
        <v>843</v>
      </c>
      <c r="C263" s="2" t="s">
        <v>844</v>
      </c>
      <c r="D263" s="2" t="s">
        <v>13</v>
      </c>
      <c r="E263" s="2" t="s">
        <v>14</v>
      </c>
      <c r="F263" s="2" t="s">
        <v>15</v>
      </c>
      <c r="G263" s="2" t="s">
        <v>845</v>
      </c>
      <c r="H263" s="2" t="s">
        <v>138</v>
      </c>
      <c r="I263" s="2" t="str">
        <f>IFERROR(__xludf.DUMMYFUNCTION("GOOGLETRANSLATE(C263,""fr"",""en"")"),"To flee absolutely !!
I was the victim of a non -responsible accident and the processing of my file was a big joke and dragged for months. Their partners are not pro, I recovered my vehicle after 5 months of hassle and heated exchanges, it was in a lamen"&amp;"table state (dirty, dusty, poorly made paint) - I have been lent at least 4 different cars , smaller than mine, a real gallery !! No one responds to emails, unpaid calls, run away")</f>
        <v>To flee absolutely !!
I was the victim of a non -responsible accident and the processing of my file was a big joke and dragged for months. Their partners are not pro, I recovered my vehicle after 5 months of hassle and heated exchanges, it was in a lamentable state (dirty, dusty, poorly made paint) - I have been lent at least 4 different cars , smaller than mine, a real gallery !! No one responds to emails, unpaid calls, run away</v>
      </c>
    </row>
    <row r="264" ht="15.75" customHeight="1">
      <c r="A264" s="2">
        <v>4.0</v>
      </c>
      <c r="B264" s="2" t="s">
        <v>846</v>
      </c>
      <c r="C264" s="2" t="s">
        <v>847</v>
      </c>
      <c r="D264" s="2" t="s">
        <v>13</v>
      </c>
      <c r="E264" s="2" t="s">
        <v>14</v>
      </c>
      <c r="F264" s="2" t="s">
        <v>15</v>
      </c>
      <c r="G264" s="2" t="s">
        <v>318</v>
      </c>
      <c r="H264" s="2" t="s">
        <v>60</v>
      </c>
      <c r="I264" s="2" t="str">
        <f>IFERROR(__xludf.DUMMYFUNCTION("GOOGLETRANSLATE(C264,""fr"",""en"")"),"I am satisfied with the price and services. To see with time hoping not to have to contact your assistance service.
Pleasure")</f>
        <v>I am satisfied with the price and services. To see with time hoping not to have to contact your assistance service.
Pleasure</v>
      </c>
    </row>
    <row r="265" ht="15.75" customHeight="1">
      <c r="A265" s="2">
        <v>4.0</v>
      </c>
      <c r="B265" s="2" t="s">
        <v>848</v>
      </c>
      <c r="C265" s="2" t="s">
        <v>849</v>
      </c>
      <c r="D265" s="2" t="s">
        <v>13</v>
      </c>
      <c r="E265" s="2" t="s">
        <v>14</v>
      </c>
      <c r="F265" s="2" t="s">
        <v>15</v>
      </c>
      <c r="G265" s="2" t="s">
        <v>32</v>
      </c>
      <c r="H265" s="2" t="s">
        <v>33</v>
      </c>
      <c r="I265" s="2" t="str">
        <f>IFERROR(__xludf.DUMMYFUNCTION("GOOGLETRANSLATE(C265,""fr"",""en"")"),"Effective insurance in registration, the instructions are clear, precise presentations and remarkable efficiency
Only downside for the moment, it is a personalized study for a possible regrouping of insurance contract")</f>
        <v>Effective insurance in registration, the instructions are clear, precise presentations and remarkable efficiency
Only downside for the moment, it is a personalized study for a possible regrouping of insurance contract</v>
      </c>
    </row>
    <row r="266" ht="15.75" customHeight="1">
      <c r="A266" s="2">
        <v>4.0</v>
      </c>
      <c r="B266" s="2" t="s">
        <v>850</v>
      </c>
      <c r="C266" s="2" t="s">
        <v>851</v>
      </c>
      <c r="D266" s="2" t="s">
        <v>13</v>
      </c>
      <c r="E266" s="2" t="s">
        <v>14</v>
      </c>
      <c r="F266" s="2" t="s">
        <v>15</v>
      </c>
      <c r="G266" s="2" t="s">
        <v>852</v>
      </c>
      <c r="H266" s="2" t="s">
        <v>17</v>
      </c>
      <c r="I266" s="2" t="str">
        <f>IFERROR(__xludf.DUMMYFUNCTION("GOOGLETRANSLATE(C266,""fr"",""en"")"),"The person has taken the time to ensure that our requests and needs are taken into account to make the contract materialize.
This is appreciable and currently too rarely the case.")</f>
        <v>The person has taken the time to ensure that our requests and needs are taken into account to make the contract materialize.
This is appreciable and currently too rarely the case.</v>
      </c>
    </row>
    <row r="267" ht="15.75" customHeight="1">
      <c r="A267" s="2">
        <v>4.0</v>
      </c>
      <c r="B267" s="2" t="s">
        <v>853</v>
      </c>
      <c r="C267" s="2" t="s">
        <v>854</v>
      </c>
      <c r="D267" s="2" t="s">
        <v>26</v>
      </c>
      <c r="E267" s="2" t="s">
        <v>21</v>
      </c>
      <c r="F267" s="2" t="s">
        <v>15</v>
      </c>
      <c r="G267" s="2" t="s">
        <v>855</v>
      </c>
      <c r="H267" s="2" t="s">
        <v>677</v>
      </c>
      <c r="I267" s="2" t="str">
        <f>IFERROR(__xludf.DUMMYFUNCTION("GOOGLETRANSLATE(C267,""fr"",""en"")"),"My advisor Nicolas responded very efficiently and satisfactorily to my phone call despite the difficulty of my file. Nicolas has a great capacity for listening and knows how to transmit his good humor to his members. It is very operational. What a profess"&amp;"ionalism! I highly recommend it")</f>
        <v>My advisor Nicolas responded very efficiently and satisfactorily to my phone call despite the difficulty of my file. Nicolas has a great capacity for listening and knows how to transmit his good humor to his members. It is very operational. What a professionalism! I highly recommend it</v>
      </c>
    </row>
    <row r="268" ht="15.75" customHeight="1">
      <c r="A268" s="2">
        <v>3.0</v>
      </c>
      <c r="B268" s="2" t="s">
        <v>856</v>
      </c>
      <c r="C268" s="2" t="s">
        <v>857</v>
      </c>
      <c r="D268" s="2" t="s">
        <v>31</v>
      </c>
      <c r="E268" s="2" t="s">
        <v>14</v>
      </c>
      <c r="F268" s="2" t="s">
        <v>15</v>
      </c>
      <c r="G268" s="2" t="s">
        <v>858</v>
      </c>
      <c r="H268" s="2" t="s">
        <v>60</v>
      </c>
      <c r="I268" s="2" t="str">
        <f>IFERROR(__xludf.DUMMYFUNCTION("GOOGLETRANSLATE(C268,""fr"",""en"")"),"I am satisfied with customer service as well as responsiveness has provided my vehicle. Thank you to the advisor who referred me very well. Cordially. Mm")</f>
        <v>I am satisfied with customer service as well as responsiveness has provided my vehicle. Thank you to the advisor who referred me very well. Cordially. Mm</v>
      </c>
    </row>
    <row r="269" ht="15.75" customHeight="1">
      <c r="A269" s="2">
        <v>4.0</v>
      </c>
      <c r="B269" s="2" t="s">
        <v>859</v>
      </c>
      <c r="C269" s="2" t="s">
        <v>860</v>
      </c>
      <c r="D269" s="2" t="s">
        <v>182</v>
      </c>
      <c r="E269" s="2" t="s">
        <v>14</v>
      </c>
      <c r="F269" s="2" t="s">
        <v>15</v>
      </c>
      <c r="G269" s="2" t="s">
        <v>861</v>
      </c>
      <c r="H269" s="2" t="s">
        <v>86</v>
      </c>
      <c r="I269" s="2" t="str">
        <f>IFERROR(__xludf.DUMMYFUNCTION("GOOGLETRANSLATE(C269,""fr"",""en"")"),"Hello, I finalized my quote made by internet on the phone with Théo. His explanations were very clear. He turned me well towards a car insurance that best suited me.")</f>
        <v>Hello, I finalized my quote made by internet on the phone with Théo. His explanations were very clear. He turned me well towards a car insurance that best suited me.</v>
      </c>
    </row>
    <row r="270" ht="15.75" customHeight="1">
      <c r="A270" s="2">
        <v>4.0</v>
      </c>
      <c r="B270" s="2" t="s">
        <v>862</v>
      </c>
      <c r="C270" s="2" t="s">
        <v>863</v>
      </c>
      <c r="D270" s="2" t="s">
        <v>31</v>
      </c>
      <c r="E270" s="2" t="s">
        <v>14</v>
      </c>
      <c r="F270" s="2" t="s">
        <v>15</v>
      </c>
      <c r="G270" s="2" t="s">
        <v>864</v>
      </c>
      <c r="H270" s="2" t="s">
        <v>54</v>
      </c>
      <c r="I270" s="2" t="str">
        <f>IFERROR(__xludf.DUMMYFUNCTION("GOOGLETRANSLATE(C270,""fr"",""en"")"),"The future ns will say it for the price is great for the rest we will see the day when there will be a problem I hope that everything will go well in the event of a dispute")</f>
        <v>The future ns will say it for the price is great for the rest we will see the day when there will be a problem I hope that everything will go well in the event of a dispute</v>
      </c>
    </row>
    <row r="271" ht="15.75" customHeight="1">
      <c r="A271" s="2">
        <v>1.0</v>
      </c>
      <c r="B271" s="2" t="s">
        <v>865</v>
      </c>
      <c r="C271" s="2" t="s">
        <v>866</v>
      </c>
      <c r="D271" s="2" t="s">
        <v>182</v>
      </c>
      <c r="E271" s="2" t="s">
        <v>14</v>
      </c>
      <c r="F271" s="2" t="s">
        <v>15</v>
      </c>
      <c r="G271" s="2" t="s">
        <v>867</v>
      </c>
      <c r="H271" s="2" t="s">
        <v>574</v>
      </c>
      <c r="I271" s="2" t="str">
        <f>IFERROR(__xludf.DUMMYFUNCTION("GOOGLETRANSLATE(C271,""fr"",""en"")"),"Insured for many years for almost 40 years at AXA for at least 40 years for 2 and times 3 cars as well as for the house, I followed the evolution of the prices and these arrived this year at an extravagant level. So I made a prospecting on the internet (t"&amp;"hanks to Assurland) and with the lowest quote, I made my insurer informed asking if, possibly, he was ready to align himself in the profits of AXA which last year far exceeded 5 billion €.
To my surprise he agreed!
Like what we must always play competit"&amp;"ion. My 3 contracts will cost me this roughly magnificent year 700 € less. Well, my insurer remains a more expensive chouia, but I will not leave it because ...")</f>
        <v>Insured for many years for almost 40 years at AXA for at least 40 years for 2 and times 3 cars as well as for the house, I followed the evolution of the prices and these arrived this year at an extravagant level. So I made a prospecting on the internet (thanks to Assurland) and with the lowest quote, I made my insurer informed asking if, possibly, he was ready to align himself in the profits of AXA which last year far exceeded 5 billion €.
To my surprise he agreed!
Like what we must always play competition. My 3 contracts will cost me this roughly magnificent year 700 € less. Well, my insurer remains a more expensive chouia, but I will not leave it because ...</v>
      </c>
    </row>
    <row r="272" ht="15.75" customHeight="1">
      <c r="A272" s="2">
        <v>4.0</v>
      </c>
      <c r="B272" s="2" t="s">
        <v>868</v>
      </c>
      <c r="C272" s="2" t="s">
        <v>869</v>
      </c>
      <c r="D272" s="2" t="s">
        <v>13</v>
      </c>
      <c r="E272" s="2" t="s">
        <v>14</v>
      </c>
      <c r="F272" s="2" t="s">
        <v>15</v>
      </c>
      <c r="G272" s="2" t="s">
        <v>870</v>
      </c>
      <c r="H272" s="2" t="s">
        <v>50</v>
      </c>
      <c r="I272" s="2" t="str">
        <f>IFERROR(__xludf.DUMMYFUNCTION("GOOGLETRANSLATE(C272,""fr"",""en"")"),"Fast insurance, nickel service
Easy to hand, clear and efficient site!
Price not too excessive despite a ""expensive"" vehicle
I recommend")</f>
        <v>Fast insurance, nickel service
Easy to hand, clear and efficient site!
Price not too excessive despite a "expensive" vehicle
I recommend</v>
      </c>
    </row>
    <row r="273" ht="15.75" customHeight="1">
      <c r="A273" s="2">
        <v>4.0</v>
      </c>
      <c r="B273" s="2" t="s">
        <v>871</v>
      </c>
      <c r="C273" s="2" t="s">
        <v>872</v>
      </c>
      <c r="D273" s="2" t="s">
        <v>31</v>
      </c>
      <c r="E273" s="2" t="s">
        <v>14</v>
      </c>
      <c r="F273" s="2" t="s">
        <v>15</v>
      </c>
      <c r="G273" s="2" t="s">
        <v>32</v>
      </c>
      <c r="H273" s="2" t="s">
        <v>33</v>
      </c>
      <c r="I273" s="2" t="str">
        <f>IFERROR(__xludf.DUMMYFUNCTION("GOOGLETRANSLATE(C273,""fr"",""en"")"),"Nikel and perfect. Very good advisor, good reception and prices in accordance with my quote.
Fast and efficient to subscribe to my insurance and my contact very much advised me according to the use of my vehicle")</f>
        <v>Nikel and perfect. Very good advisor, good reception and prices in accordance with my quote.
Fast and efficient to subscribe to my insurance and my contact very much advised me according to the use of my vehicle</v>
      </c>
    </row>
    <row r="274" ht="15.75" customHeight="1">
      <c r="A274" s="2">
        <v>1.0</v>
      </c>
      <c r="B274" s="2" t="s">
        <v>873</v>
      </c>
      <c r="C274" s="2" t="s">
        <v>874</v>
      </c>
      <c r="D274" s="2" t="s">
        <v>128</v>
      </c>
      <c r="E274" s="2" t="s">
        <v>14</v>
      </c>
      <c r="F274" s="2" t="s">
        <v>15</v>
      </c>
      <c r="G274" s="2" t="s">
        <v>875</v>
      </c>
      <c r="H274" s="2" t="s">
        <v>46</v>
      </c>
      <c r="I274" s="2" t="str">
        <f>IFERROR(__xludf.DUMMYFUNCTION("GOOGLETRANSLATE(C274,""fr"",""en"")"),"He seeks by all means not to compensate you in the event of claims, I speak in question of the facts because for an attempted break -in at home despite the invoice of the locksmith mentioning the model of the cylinder changed and the copy of the complaint"&amp;" of complaint This company does not want to reimburse me despite that I have been faithful for several years. To flee (Ref 213m75681u)")</f>
        <v>He seeks by all means not to compensate you in the event of claims, I speak in question of the facts because for an attempted break -in at home despite the invoice of the locksmith mentioning the model of the cylinder changed and the copy of the complaint of complaint This company does not want to reimburse me despite that I have been faithful for several years. To flee (Ref 213m75681u)</v>
      </c>
    </row>
    <row r="275" ht="15.75" customHeight="1">
      <c r="A275" s="2">
        <v>2.0</v>
      </c>
      <c r="B275" s="2" t="s">
        <v>876</v>
      </c>
      <c r="C275" s="2" t="s">
        <v>877</v>
      </c>
      <c r="D275" s="2" t="s">
        <v>168</v>
      </c>
      <c r="E275" s="2" t="s">
        <v>14</v>
      </c>
      <c r="F275" s="2" t="s">
        <v>15</v>
      </c>
      <c r="G275" s="2" t="s">
        <v>878</v>
      </c>
      <c r="H275" s="2" t="s">
        <v>28</v>
      </c>
      <c r="I275" s="2" t="str">
        <f>IFERROR(__xludf.DUMMYFUNCTION("GOOGLETRANSLATE(C275,""fr"",""en"")"),"No asissance. An almost new vehicle still not repaired for more than 4 months ... Unreliable insurer, little or not concerned by its former customers. It's really a shame.")</f>
        <v>No asissance. An almost new vehicle still not repaired for more than 4 months ... Unreliable insurer, little or not concerned by its former customers. It's really a shame.</v>
      </c>
    </row>
    <row r="276" ht="15.75" customHeight="1">
      <c r="A276" s="2">
        <v>4.0</v>
      </c>
      <c r="B276" s="2" t="s">
        <v>879</v>
      </c>
      <c r="C276" s="2" t="s">
        <v>880</v>
      </c>
      <c r="D276" s="2" t="s">
        <v>13</v>
      </c>
      <c r="E276" s="2" t="s">
        <v>14</v>
      </c>
      <c r="F276" s="2" t="s">
        <v>15</v>
      </c>
      <c r="G276" s="2" t="s">
        <v>469</v>
      </c>
      <c r="H276" s="2" t="s">
        <v>33</v>
      </c>
      <c r="I276" s="2" t="str">
        <f>IFERROR(__xludf.DUMMYFUNCTION("GOOGLETRANSLATE(C276,""fr"",""en"")"),"I am satisfied with the service. Very appreciable facility. Competitive price compared to my previous insurance. Too bad the monthly payment is not possible.")</f>
        <v>I am satisfied with the service. Very appreciable facility. Competitive price compared to my previous insurance. Too bad the monthly payment is not possible.</v>
      </c>
    </row>
    <row r="277" ht="15.75" customHeight="1">
      <c r="A277" s="2">
        <v>4.0</v>
      </c>
      <c r="B277" s="2" t="s">
        <v>881</v>
      </c>
      <c r="C277" s="2" t="s">
        <v>882</v>
      </c>
      <c r="D277" s="2" t="s">
        <v>13</v>
      </c>
      <c r="E277" s="2" t="s">
        <v>14</v>
      </c>
      <c r="F277" s="2" t="s">
        <v>15</v>
      </c>
      <c r="G277" s="2" t="s">
        <v>883</v>
      </c>
      <c r="H277" s="2" t="s">
        <v>33</v>
      </c>
      <c r="I277" s="2" t="str">
        <f>IFERROR(__xludf.DUMMYFUNCTION("GOOGLETRANSLATE(C277,""fr"",""en"")"),"I am satisfied with prices, and customer service is quick to respond. Very professional and pleasant on the phone. I recommend this insurer without hesitation.")</f>
        <v>I am satisfied with prices, and customer service is quick to respond. Very professional and pleasant on the phone. I recommend this insurer without hesitation.</v>
      </c>
    </row>
    <row r="278" ht="15.75" customHeight="1">
      <c r="A278" s="2">
        <v>3.0</v>
      </c>
      <c r="B278" s="2" t="s">
        <v>884</v>
      </c>
      <c r="C278" s="2" t="s">
        <v>885</v>
      </c>
      <c r="D278" s="2" t="s">
        <v>74</v>
      </c>
      <c r="E278" s="2" t="s">
        <v>58</v>
      </c>
      <c r="F278" s="2" t="s">
        <v>15</v>
      </c>
      <c r="G278" s="2" t="s">
        <v>411</v>
      </c>
      <c r="H278" s="2" t="s">
        <v>76</v>
      </c>
      <c r="I278" s="2" t="str">
        <f>IFERROR(__xludf.DUMMYFUNCTION("GOOGLETRANSLATE(C278,""fr"",""en"")"),"I don't find it better so satisfied ??
Simple enough to subscribe to insurance, not recommended for listening I recommend this insurance to biker friends
")</f>
        <v>I don't find it better so satisfied ??
Simple enough to subscribe to insurance, not recommended for listening I recommend this insurance to biker friends
</v>
      </c>
    </row>
    <row r="279" ht="15.75" customHeight="1">
      <c r="A279" s="2">
        <v>2.0</v>
      </c>
      <c r="B279" s="2" t="s">
        <v>886</v>
      </c>
      <c r="C279" s="2" t="s">
        <v>887</v>
      </c>
      <c r="D279" s="2" t="s">
        <v>117</v>
      </c>
      <c r="E279" s="2" t="s">
        <v>103</v>
      </c>
      <c r="F279" s="2" t="s">
        <v>15</v>
      </c>
      <c r="G279" s="2" t="s">
        <v>888</v>
      </c>
      <c r="H279" s="2" t="s">
        <v>356</v>
      </c>
      <c r="I279" s="2" t="str">
        <f>IFERROR(__xludf.DUMMYFUNCTION("GOOGLETRANSLATE(C279,""fr"",""en"")"),"Serious doubt about the sincerity of experts mandated by GMF and their competence. The GMF refuses to communicate the full expertise report made by Elex and the latter refers to GMF.
I plan to grasp the mediator.
Refuse to communicate by email")</f>
        <v>Serious doubt about the sincerity of experts mandated by GMF and their competence. The GMF refuses to communicate the full expertise report made by Elex and the latter refers to GMF.
I plan to grasp the mediator.
Refuse to communicate by email</v>
      </c>
    </row>
    <row r="280" ht="15.75" customHeight="1">
      <c r="A280" s="2">
        <v>4.0</v>
      </c>
      <c r="B280" s="2" t="s">
        <v>889</v>
      </c>
      <c r="C280" s="2" t="s">
        <v>890</v>
      </c>
      <c r="D280" s="2" t="s">
        <v>222</v>
      </c>
      <c r="E280" s="2" t="s">
        <v>21</v>
      </c>
      <c r="F280" s="2" t="s">
        <v>15</v>
      </c>
      <c r="G280" s="2" t="s">
        <v>891</v>
      </c>
      <c r="H280" s="2" t="s">
        <v>313</v>
      </c>
      <c r="I280" s="2" t="str">
        <f>IFERROR(__xludf.DUMMYFUNCTION("GOOGLETRANSLATE(C280,""fr"",""en"")"),"I have been a healthy customer for several years. They remain reachable easily and manage everything for me online.")</f>
        <v>I have been a healthy customer for several years. They remain reachable easily and manage everything for me online.</v>
      </c>
    </row>
    <row r="281" ht="15.75" customHeight="1">
      <c r="A281" s="2">
        <v>5.0</v>
      </c>
      <c r="B281" s="2" t="s">
        <v>892</v>
      </c>
      <c r="C281" s="2" t="s">
        <v>893</v>
      </c>
      <c r="D281" s="2" t="s">
        <v>13</v>
      </c>
      <c r="E281" s="2" t="s">
        <v>14</v>
      </c>
      <c r="F281" s="2" t="s">
        <v>15</v>
      </c>
      <c r="G281" s="2" t="s">
        <v>599</v>
      </c>
      <c r="H281" s="2" t="s">
        <v>76</v>
      </c>
      <c r="I281" s="2" t="str">
        <f>IFERROR(__xludf.DUMMYFUNCTION("GOOGLETRANSLATE(C281,""fr"",""en"")"),"Great for beginners with Youdrive to have the economy.
Practical, easy to register, fast
In addition you can contact by the social network, email etc.")</f>
        <v>Great for beginners with Youdrive to have the economy.
Practical, easy to register, fast
In addition you can contact by the social network, email etc.</v>
      </c>
    </row>
    <row r="282" ht="15.75" customHeight="1">
      <c r="A282" s="2">
        <v>4.0</v>
      </c>
      <c r="B282" s="2" t="s">
        <v>894</v>
      </c>
      <c r="C282" s="2" t="s">
        <v>895</v>
      </c>
      <c r="D282" s="2" t="s">
        <v>31</v>
      </c>
      <c r="E282" s="2" t="s">
        <v>14</v>
      </c>
      <c r="F282" s="2" t="s">
        <v>15</v>
      </c>
      <c r="G282" s="2" t="s">
        <v>716</v>
      </c>
      <c r="H282" s="2" t="s">
        <v>50</v>
      </c>
      <c r="I282" s="2" t="str">
        <f>IFERROR(__xludf.DUMMYFUNCTION("GOOGLETRANSLATE(C282,""fr"",""en"")"),"I am satisfied with the price, and the services. Of their responsiveness in the event of problems or other. Simplicity to access the site. I am delighted to be part of the Oliver Insurance network.")</f>
        <v>I am satisfied with the price, and the services. Of their responsiveness in the event of problems or other. Simplicity to access the site. I am delighted to be part of the Oliver Insurance network.</v>
      </c>
    </row>
    <row r="283" ht="15.75" customHeight="1">
      <c r="A283" s="2">
        <v>5.0</v>
      </c>
      <c r="B283" s="2" t="s">
        <v>896</v>
      </c>
      <c r="C283" s="2" t="s">
        <v>897</v>
      </c>
      <c r="D283" s="2" t="s">
        <v>13</v>
      </c>
      <c r="E283" s="2" t="s">
        <v>14</v>
      </c>
      <c r="F283" s="2" t="s">
        <v>15</v>
      </c>
      <c r="G283" s="2" t="s">
        <v>898</v>
      </c>
      <c r="H283" s="2" t="s">
        <v>107</v>
      </c>
      <c r="I283" s="2" t="str">
        <f>IFERROR(__xludf.DUMMYFUNCTION("GOOGLETRANSLATE(C283,""fr"",""en"")"),"Very easy cheap,
value for money on all options!
Widely modifiable at will!
We can have it on PC or phone.")</f>
        <v>Very easy cheap,
value for money on all options!
Widely modifiable at will!
We can have it on PC or phone.</v>
      </c>
    </row>
    <row r="284" ht="15.75" customHeight="1">
      <c r="A284" s="2">
        <v>3.0</v>
      </c>
      <c r="B284" s="2" t="s">
        <v>899</v>
      </c>
      <c r="C284" s="2" t="s">
        <v>900</v>
      </c>
      <c r="D284" s="2" t="s">
        <v>31</v>
      </c>
      <c r="E284" s="2" t="s">
        <v>14</v>
      </c>
      <c r="F284" s="2" t="s">
        <v>15</v>
      </c>
      <c r="G284" s="2" t="s">
        <v>901</v>
      </c>
      <c r="H284" s="2" t="s">
        <v>17</v>
      </c>
      <c r="I284" s="2" t="str">
        <f>IFERROR(__xludf.DUMMYFUNCTION("GOOGLETRANSLATE(C284,""fr"",""en"")"),"Good morning !
I am waiting for my information statement, requested by registered mail since my new insurer since February 23, 2021, to date (March 13, 2021) no news from the insurance olive tree which had closed my customer account. mail of course aft"&amp;"er direct debit. The insurance code stipulates that the delay is a maximum of 15 days widely exceeded. During the subscription, all in line made online no exchange was done offline aside the sticker, and there strangely nothing")</f>
        <v>Good morning !
I am waiting for my information statement, requested by registered mail since my new insurer since February 23, 2021, to date (March 13, 2021) no news from the insurance olive tree which had closed my customer account. mail of course after direct debit. The insurance code stipulates that the delay is a maximum of 15 days widely exceeded. During the subscription, all in line made online no exchange was done offline aside the sticker, and there strangely nothing</v>
      </c>
    </row>
    <row r="285" ht="15.75" customHeight="1">
      <c r="A285" s="2">
        <v>5.0</v>
      </c>
      <c r="B285" s="2" t="s">
        <v>902</v>
      </c>
      <c r="C285" s="2" t="s">
        <v>903</v>
      </c>
      <c r="D285" s="2" t="s">
        <v>13</v>
      </c>
      <c r="E285" s="2" t="s">
        <v>14</v>
      </c>
      <c r="F285" s="2" t="s">
        <v>15</v>
      </c>
      <c r="G285" s="2" t="s">
        <v>904</v>
      </c>
      <c r="H285" s="2" t="s">
        <v>60</v>
      </c>
      <c r="I285" s="2" t="str">
        <f>IFERROR(__xludf.DUMMYFUNCTION("GOOGLETRANSLATE(C285,""fr"",""en"")"),"I am satisfied with service and the price
The price and less expensive than other companies
!!! ???
The price and less dear
Easy on the Internet cool all your simple on Direct Insurance")</f>
        <v>I am satisfied with service and the price
The price and less expensive than other companies
!!! ???
The price and less dear
Easy on the Internet cool all your simple on Direct Insurance</v>
      </c>
    </row>
    <row r="286" ht="15.75" customHeight="1">
      <c r="A286" s="2">
        <v>5.0</v>
      </c>
      <c r="B286" s="2" t="s">
        <v>905</v>
      </c>
      <c r="C286" s="2" t="s">
        <v>906</v>
      </c>
      <c r="D286" s="2" t="s">
        <v>26</v>
      </c>
      <c r="E286" s="2" t="s">
        <v>21</v>
      </c>
      <c r="F286" s="2" t="s">
        <v>15</v>
      </c>
      <c r="G286" s="2" t="s">
        <v>907</v>
      </c>
      <c r="H286" s="2" t="s">
        <v>50</v>
      </c>
      <c r="I286" s="2" t="str">
        <f>IFERROR(__xludf.DUMMYFUNCTION("GOOGLETRANSLATE(C286,""fr"",""en"")"),"I was dealing in Emeline, she was perfect, I was very well informed. She sent me the necessary and available necessary papers thank you, I have nothing else")</f>
        <v>I was dealing in Emeline, she was perfect, I was very well informed. She sent me the necessary and available necessary papers thank you, I have nothing else</v>
      </c>
    </row>
    <row r="287" ht="15.75" customHeight="1">
      <c r="A287" s="2">
        <v>5.0</v>
      </c>
      <c r="B287" s="2" t="s">
        <v>908</v>
      </c>
      <c r="C287" s="2" t="s">
        <v>909</v>
      </c>
      <c r="D287" s="2" t="s">
        <v>13</v>
      </c>
      <c r="E287" s="2" t="s">
        <v>14</v>
      </c>
      <c r="F287" s="2" t="s">
        <v>15</v>
      </c>
      <c r="G287" s="2" t="s">
        <v>910</v>
      </c>
      <c r="H287" s="2" t="s">
        <v>60</v>
      </c>
      <c r="I287" s="2" t="str">
        <f>IFERROR(__xludf.DUMMYFUNCTION("GOOGLETRANSLATE(C287,""fr"",""en"")"),"Simple and effective I recommend ensures in just some click for not very very expensive at all risk!
I really recommend this online insurance")</f>
        <v>Simple and effective I recommend ensures in just some click for not very very expensive at all risk!
I really recommend this online insurance</v>
      </c>
    </row>
    <row r="288" ht="15.75" customHeight="1">
      <c r="A288" s="2">
        <v>4.0</v>
      </c>
      <c r="B288" s="2" t="s">
        <v>911</v>
      </c>
      <c r="C288" s="2" t="s">
        <v>912</v>
      </c>
      <c r="D288" s="2" t="s">
        <v>13</v>
      </c>
      <c r="E288" s="2" t="s">
        <v>14</v>
      </c>
      <c r="F288" s="2" t="s">
        <v>15</v>
      </c>
      <c r="G288" s="2" t="s">
        <v>913</v>
      </c>
      <c r="H288" s="2" t="s">
        <v>107</v>
      </c>
      <c r="I288" s="2" t="str">
        <f>IFERROR(__xludf.DUMMYFUNCTION("GOOGLETRANSLATE(C288,""fr"",""en"")"),"Customers for years I am satisfied, the price is consistent and the service reachable. During a need following broken ice or hanging (not my fault) the files were very well managed")</f>
        <v>Customers for years I am satisfied, the price is consistent and the service reachable. During a need following broken ice or hanging (not my fault) the files were very well managed</v>
      </c>
    </row>
    <row r="289" ht="15.75" customHeight="1">
      <c r="A289" s="2">
        <v>3.0</v>
      </c>
      <c r="B289" s="2" t="s">
        <v>914</v>
      </c>
      <c r="C289" s="2" t="s">
        <v>915</v>
      </c>
      <c r="D289" s="2" t="s">
        <v>26</v>
      </c>
      <c r="E289" s="2" t="s">
        <v>21</v>
      </c>
      <c r="F289" s="2" t="s">
        <v>15</v>
      </c>
      <c r="G289" s="2" t="s">
        <v>916</v>
      </c>
      <c r="H289" s="2" t="s">
        <v>138</v>
      </c>
      <c r="I289" s="2" t="str">
        <f>IFERROR(__xludf.DUMMYFUNCTION("GOOGLETRANSLATE(C289,""fr"",""en"")"),"Erika answered me without delay in informing me clearly and precisely. She had my file before her, which always simplifies the description task.")</f>
        <v>Erika answered me without delay in informing me clearly and precisely. She had my file before her, which always simplifies the description task.</v>
      </c>
    </row>
    <row r="290" ht="15.75" customHeight="1">
      <c r="A290" s="2">
        <v>1.0</v>
      </c>
      <c r="B290" s="2" t="s">
        <v>917</v>
      </c>
      <c r="C290" s="2" t="s">
        <v>918</v>
      </c>
      <c r="D290" s="2" t="s">
        <v>404</v>
      </c>
      <c r="E290" s="2" t="s">
        <v>14</v>
      </c>
      <c r="F290" s="2" t="s">
        <v>15</v>
      </c>
      <c r="G290" s="2" t="s">
        <v>919</v>
      </c>
      <c r="H290" s="2" t="s">
        <v>138</v>
      </c>
      <c r="I290" s="2" t="str">
        <f>IFERROR(__xludf.DUMMYFUNCTION("GOOGLETRANSLATE(C290,""fr"",""en"")"),"I found myself in litigation just for a fault on their part. I have sent the RIB several times but no one is really the file. No listening avoided")</f>
        <v>I found myself in litigation just for a fault on their part. I have sent the RIB several times but no one is really the file. No listening avoided</v>
      </c>
    </row>
    <row r="291" ht="15.75" customHeight="1">
      <c r="A291" s="2">
        <v>2.0</v>
      </c>
      <c r="B291" s="2" t="s">
        <v>920</v>
      </c>
      <c r="C291" s="2" t="s">
        <v>921</v>
      </c>
      <c r="D291" s="2" t="s">
        <v>160</v>
      </c>
      <c r="E291" s="2" t="s">
        <v>21</v>
      </c>
      <c r="F291" s="2" t="s">
        <v>15</v>
      </c>
      <c r="G291" s="2" t="s">
        <v>922</v>
      </c>
      <c r="H291" s="2" t="s">
        <v>170</v>
      </c>
      <c r="I291" s="2" t="str">
        <f>IFERROR(__xludf.DUMMYFUNCTION("GOOGLETRANSLATE(C291,""fr"",""en"")"),"Hello I summarize the situation, early December I am dismissed by my employer and therefore benefits from the portability of my mutual for 1 year. I refer the portability bulletin to sign to my employer who joined it to the AG2R, the step of news until th"&amp;"e end of December. I therefore decide to join the mutual that tells me that they did not have the portability bulletin sent by my former employer and that they lack papers. So I can arrange to send them everything 3 weeks ago. They tell me that everything"&amp;" will be settled shortly. I try to call them today and for response customer service hangs up on me. I am strongly disappointed by AG2R.")</f>
        <v>Hello I summarize the situation, early December I am dismissed by my employer and therefore benefits from the portability of my mutual for 1 year. I refer the portability bulletin to sign to my employer who joined it to the AG2R, the step of news until the end of December. I therefore decide to join the mutual that tells me that they did not have the portability bulletin sent by my former employer and that they lack papers. So I can arrange to send them everything 3 weeks ago. They tell me that everything will be settled shortly. I try to call them today and for response customer service hangs up on me. I am strongly disappointed by AG2R.</v>
      </c>
    </row>
    <row r="292" ht="15.75" customHeight="1">
      <c r="A292" s="2">
        <v>3.0</v>
      </c>
      <c r="B292" s="2" t="s">
        <v>923</v>
      </c>
      <c r="C292" s="2" t="s">
        <v>924</v>
      </c>
      <c r="D292" s="2" t="s">
        <v>13</v>
      </c>
      <c r="E292" s="2" t="s">
        <v>14</v>
      </c>
      <c r="F292" s="2" t="s">
        <v>15</v>
      </c>
      <c r="G292" s="2" t="s">
        <v>268</v>
      </c>
      <c r="H292" s="2" t="s">
        <v>17</v>
      </c>
      <c r="I292" s="2" t="str">
        <f>IFERROR(__xludf.DUMMYFUNCTION("GOOGLETRANSLATE(C292,""fr"",""en"")"),"The prices are a bit expensive. During COVID, the car has hardly circulated and despite all my insurance does not drop. I would like to review the prices")</f>
        <v>The prices are a bit expensive. During COVID, the car has hardly circulated and despite all my insurance does not drop. I would like to review the prices</v>
      </c>
    </row>
    <row r="293" ht="15.75" customHeight="1">
      <c r="A293" s="2">
        <v>4.0</v>
      </c>
      <c r="B293" s="2" t="s">
        <v>925</v>
      </c>
      <c r="C293" s="2" t="s">
        <v>926</v>
      </c>
      <c r="D293" s="2" t="s">
        <v>74</v>
      </c>
      <c r="E293" s="2" t="s">
        <v>58</v>
      </c>
      <c r="F293" s="2" t="s">
        <v>15</v>
      </c>
      <c r="G293" s="2" t="s">
        <v>96</v>
      </c>
      <c r="H293" s="2" t="s">
        <v>50</v>
      </c>
      <c r="I293" s="2" t="str">
        <f>IFERROR(__xludf.DUMMYFUNCTION("GOOGLETRANSLATE(C293,""fr"",""en"")"),"Administrative procedures are complicated after validation of the quote.
It is very unpleasant to have to give all the personal information when I am already a customer.")</f>
        <v>Administrative procedures are complicated after validation of the quote.
It is very unpleasant to have to give all the personal information when I am already a customer.</v>
      </c>
    </row>
    <row r="294" ht="15.75" customHeight="1">
      <c r="A294" s="2">
        <v>1.0</v>
      </c>
      <c r="B294" s="2" t="s">
        <v>927</v>
      </c>
      <c r="C294" s="2" t="s">
        <v>928</v>
      </c>
      <c r="D294" s="2" t="s">
        <v>361</v>
      </c>
      <c r="E294" s="2" t="s">
        <v>21</v>
      </c>
      <c r="F294" s="2" t="s">
        <v>15</v>
      </c>
      <c r="G294" s="2" t="s">
        <v>929</v>
      </c>
      <c r="H294" s="2" t="s">
        <v>376</v>
      </c>
      <c r="I294" s="2" t="str">
        <f>IFERROR(__xludf.DUMMYFUNCTION("GOOGLETRANSLATE(C294,""fr"",""en"")"),"Business mutual insurance therefore mandatory! It is useless.
Minimum reimbursement No information on anything.
Non -existent hotline service!
")</f>
        <v>Business mutual insurance therefore mandatory! It is useless.
Minimum reimbursement No information on anything.
Non -existent hotline service!
</v>
      </c>
    </row>
    <row r="295" ht="15.75" customHeight="1">
      <c r="A295" s="2">
        <v>4.0</v>
      </c>
      <c r="B295" s="2" t="s">
        <v>930</v>
      </c>
      <c r="C295" s="2" t="s">
        <v>931</v>
      </c>
      <c r="D295" s="2" t="s">
        <v>13</v>
      </c>
      <c r="E295" s="2" t="s">
        <v>14</v>
      </c>
      <c r="F295" s="2" t="s">
        <v>15</v>
      </c>
      <c r="G295" s="2" t="s">
        <v>151</v>
      </c>
      <c r="H295" s="2" t="s">
        <v>33</v>
      </c>
      <c r="I295" s="2" t="str">
        <f>IFERROR(__xludf.DUMMYFUNCTION("GOOGLETRANSLATE(C295,""fr"",""en"")"),"I am completely satisfied with the quality of the service I received. The advisor was very professional. And, she did not hesitate to remind me of the day and the time she had indicated to me, in order to be able to finalize the car insurance contract.")</f>
        <v>I am completely satisfied with the quality of the service I received. The advisor was very professional. And, she did not hesitate to remind me of the day and the time she had indicated to me, in order to be able to finalize the car insurance contract.</v>
      </c>
    </row>
    <row r="296" ht="15.75" customHeight="1">
      <c r="A296" s="2">
        <v>3.0</v>
      </c>
      <c r="B296" s="2" t="s">
        <v>932</v>
      </c>
      <c r="C296" s="2" t="s">
        <v>933</v>
      </c>
      <c r="D296" s="2" t="s">
        <v>13</v>
      </c>
      <c r="E296" s="2" t="s">
        <v>14</v>
      </c>
      <c r="F296" s="2" t="s">
        <v>15</v>
      </c>
      <c r="G296" s="2" t="s">
        <v>777</v>
      </c>
      <c r="H296" s="2" t="s">
        <v>17</v>
      </c>
      <c r="I296" s="2" t="str">
        <f>IFERROR(__xludf.DUMMYFUNCTION("GOOGLETRANSLATE(C296,""fr"",""en"")"),"The prices suited me previously, but today I find equal services on other known insurance, which will make me change soon ...")</f>
        <v>The prices suited me previously, but today I find equal services on other known insurance, which will make me change soon ...</v>
      </c>
    </row>
    <row r="297" ht="15.75" customHeight="1">
      <c r="A297" s="2">
        <v>5.0</v>
      </c>
      <c r="B297" s="2" t="s">
        <v>934</v>
      </c>
      <c r="C297" s="2" t="s">
        <v>935</v>
      </c>
      <c r="D297" s="2" t="s">
        <v>31</v>
      </c>
      <c r="E297" s="2" t="s">
        <v>14</v>
      </c>
      <c r="F297" s="2" t="s">
        <v>15</v>
      </c>
      <c r="G297" s="2" t="s">
        <v>936</v>
      </c>
      <c r="H297" s="2" t="s">
        <v>54</v>
      </c>
      <c r="I297" s="2" t="str">
        <f>IFERROR(__xludf.DUMMYFUNCTION("GOOGLETRANSLATE(C297,""fr"",""en"")"),"I am satisfied with the price and the conditions.
Fast and good value for money.
Easy contact.
Welcome the LA Oliviet Insurance Team.
I recommend this insurer.")</f>
        <v>I am satisfied with the price and the conditions.
Fast and good value for money.
Easy contact.
Welcome the LA Oliviet Insurance Team.
I recommend this insurer.</v>
      </c>
    </row>
    <row r="298" ht="15.75" customHeight="1">
      <c r="A298" s="2">
        <v>1.0</v>
      </c>
      <c r="B298" s="2" t="s">
        <v>937</v>
      </c>
      <c r="C298" s="2" t="s">
        <v>938</v>
      </c>
      <c r="D298" s="2" t="s">
        <v>404</v>
      </c>
      <c r="E298" s="2" t="s">
        <v>14</v>
      </c>
      <c r="F298" s="2" t="s">
        <v>15</v>
      </c>
      <c r="G298" s="2" t="s">
        <v>939</v>
      </c>
      <c r="H298" s="2" t="s">
        <v>142</v>
      </c>
      <c r="I298" s="2" t="str">
        <f>IFERROR(__xludf.DUMMYFUNCTION("GOOGLETRANSLATE(C298,""fr"",""en"")"),"Hello
After having subscribed to 4 EUROFIL car contracts in 2015. 3 of them were terminated in October 2016 without reason and without warning me, just a simple email with an information stubborn. We will solve the 4th also they answer ""it would be good"&amp;". In big we must avoid this insurance it is the worst on the current market. If you have a non -responsible accident it is another box that manages the sinister and the galley starts")</f>
        <v>Hello
After having subscribed to 4 EUROFIL car contracts in 2015. 3 of them were terminated in October 2016 without reason and without warning me, just a simple email with an information stubborn. We will solve the 4th also they answer "it would be good. In big we must avoid this insurance it is the worst on the current market. If you have a non -responsible accident it is another box that manages the sinister and the galley starts</v>
      </c>
    </row>
    <row r="299" ht="15.75" customHeight="1">
      <c r="A299" s="2">
        <v>1.0</v>
      </c>
      <c r="B299" s="2" t="s">
        <v>940</v>
      </c>
      <c r="C299" s="2" t="s">
        <v>941</v>
      </c>
      <c r="D299" s="2" t="s">
        <v>942</v>
      </c>
      <c r="E299" s="2" t="s">
        <v>241</v>
      </c>
      <c r="F299" s="2" t="s">
        <v>15</v>
      </c>
      <c r="G299" s="2" t="s">
        <v>193</v>
      </c>
      <c r="H299" s="2" t="s">
        <v>194</v>
      </c>
      <c r="I299" s="2" t="str">
        <f>IFERROR(__xludf.DUMMYFUNCTION("GOOGLETRANSLATE(C299,""fr"",""en"")"),"Hello everyone, here are the facts: we reimbursed a loan in January 2016 with BNP Paribas despite our various exchanges with Cardiff assurances Our samples continue to be made on this loan, once they do not have our file, then he is in the archives, then "&amp;"it is missing the reimbursement certificate we sent a registered mail with acknowledgment of receipt with all the justifying documents of our reimbursement, our agency director tells us that normally all the documents are scanned upon receipt. We will ask"&amp;" The intervention of a BNP mediator We ask for the refund of the overly perceived as well as the cessation of this insurance how can we still not have an email box")</f>
        <v>Hello everyone, here are the facts: we reimbursed a loan in January 2016 with BNP Paribas despite our various exchanges with Cardiff assurances Our samples continue to be made on this loan, once they do not have our file, then he is in the archives, then it is missing the reimbursement certificate we sent a registered mail with acknowledgment of receipt with all the justifying documents of our reimbursement, our agency director tells us that normally all the documents are scanned upon receipt. We will ask The intervention of a BNP mediator We ask for the refund of the overly perceived as well as the cessation of this insurance how can we still not have an email box</v>
      </c>
    </row>
    <row r="300" ht="15.75" customHeight="1">
      <c r="A300" s="2">
        <v>2.0</v>
      </c>
      <c r="B300" s="2" t="s">
        <v>943</v>
      </c>
      <c r="C300" s="2" t="s">
        <v>944</v>
      </c>
      <c r="D300" s="2" t="s">
        <v>13</v>
      </c>
      <c r="E300" s="2" t="s">
        <v>14</v>
      </c>
      <c r="F300" s="2" t="s">
        <v>15</v>
      </c>
      <c r="G300" s="2" t="s">
        <v>945</v>
      </c>
      <c r="H300" s="2" t="s">
        <v>249</v>
      </c>
      <c r="I300" s="2" t="str">
        <f>IFERROR(__xludf.DUMMYFUNCTION("GOOGLETRANSLATE(C300,""fr"",""en"")"),"Reality does not correspond to what customer service tells us when subscribing. Beware of information given poorly understood because it is direct declaration to the file of bad payers ... To flee !!")</f>
        <v>Reality does not correspond to what customer service tells us when subscribing. Beware of information given poorly understood because it is direct declaration to the file of bad payers ... To flee !!</v>
      </c>
    </row>
    <row r="301" ht="15.75" customHeight="1">
      <c r="A301" s="2">
        <v>4.0</v>
      </c>
      <c r="B301" s="2" t="s">
        <v>946</v>
      </c>
      <c r="C301" s="2" t="s">
        <v>947</v>
      </c>
      <c r="D301" s="2" t="s">
        <v>13</v>
      </c>
      <c r="E301" s="2" t="s">
        <v>14</v>
      </c>
      <c r="F301" s="2" t="s">
        <v>15</v>
      </c>
      <c r="G301" s="2" t="s">
        <v>716</v>
      </c>
      <c r="H301" s="2" t="s">
        <v>50</v>
      </c>
      <c r="I301" s="2" t="str">
        <f>IFERROR(__xludf.DUMMYFUNCTION("GOOGLETRANSLATE(C301,""fr"",""en"")"),"I am satisfied, fast, effective! Good performance thank you very much, I sincerely love you with all my heart see you soon for new adventures thank you")</f>
        <v>I am satisfied, fast, effective! Good performance thank you very much, I sincerely love you with all my heart see you soon for new adventures thank you</v>
      </c>
    </row>
    <row r="302" ht="15.75" customHeight="1">
      <c r="A302" s="2">
        <v>1.0</v>
      </c>
      <c r="B302" s="2" t="s">
        <v>948</v>
      </c>
      <c r="C302" s="2" t="s">
        <v>949</v>
      </c>
      <c r="D302" s="2" t="s">
        <v>31</v>
      </c>
      <c r="E302" s="2" t="s">
        <v>14</v>
      </c>
      <c r="F302" s="2" t="s">
        <v>15</v>
      </c>
      <c r="G302" s="2" t="s">
        <v>950</v>
      </c>
      <c r="H302" s="2" t="s">
        <v>170</v>
      </c>
      <c r="I302" s="2" t="str">
        <f>IFERROR(__xludf.DUMMYFUNCTION("GOOGLETRANSLATE(C302,""fr"",""en"")"),"I have subscribed to my insurance on the net. A year after without sinister, on January 6, I receive an SMS stipulating that my sample had not passed (normal, I had not given my bank details) the deadline was however on January 18. I receive my contributi"&amp;"on call and there Hooo surprise !!! She took 130 euros in increasing !! I therefore send a check for the amount of the previous year by stipulating that I refused this surplus. I call them because they harass me with emails and sms. Their answer: you must"&amp;" pay the entire amount before you can discuss !!! Suddenly, I terminated my contract. They bait customers the first year and hit them the next year. Sometimes they don't check. A shame !!!! I do not recommend this insurance")</f>
        <v>I have subscribed to my insurance on the net. A year after without sinister, on January 6, I receive an SMS stipulating that my sample had not passed (normal, I had not given my bank details) the deadline was however on January 18. I receive my contribution call and there Hooo surprise !!! She took 130 euros in increasing !! I therefore send a check for the amount of the previous year by stipulating that I refused this surplus. I call them because they harass me with emails and sms. Their answer: you must pay the entire amount before you can discuss !!! Suddenly, I terminated my contract. They bait customers the first year and hit them the next year. Sometimes they don't check. A shame !!!! I do not recommend this insurance</v>
      </c>
    </row>
    <row r="303" ht="15.75" customHeight="1">
      <c r="A303" s="2">
        <v>5.0</v>
      </c>
      <c r="B303" s="2" t="s">
        <v>951</v>
      </c>
      <c r="C303" s="2" t="s">
        <v>952</v>
      </c>
      <c r="D303" s="2" t="s">
        <v>13</v>
      </c>
      <c r="E303" s="2" t="s">
        <v>14</v>
      </c>
      <c r="F303" s="2" t="s">
        <v>15</v>
      </c>
      <c r="G303" s="2" t="s">
        <v>953</v>
      </c>
      <c r="H303" s="2" t="s">
        <v>60</v>
      </c>
      <c r="I303" s="2" t="str">
        <f>IFERROR(__xludf.DUMMYFUNCTION("GOOGLETRANSLATE(C303,""fr"",""en"")"),"I am satisfied with the service is prices thank you answer to all the questions ask I am happy to have signed with you thank you
Cordially
")</f>
        <v>I am satisfied with the service is prices thank you answer to all the questions ask I am happy to have signed with you thank you
Cordially
</v>
      </c>
    </row>
    <row r="304" ht="15.75" customHeight="1">
      <c r="A304" s="2">
        <v>2.0</v>
      </c>
      <c r="B304" s="2" t="s">
        <v>954</v>
      </c>
      <c r="C304" s="2" t="s">
        <v>955</v>
      </c>
      <c r="D304" s="2" t="s">
        <v>13</v>
      </c>
      <c r="E304" s="2" t="s">
        <v>14</v>
      </c>
      <c r="F304" s="2" t="s">
        <v>15</v>
      </c>
      <c r="G304" s="2" t="s">
        <v>956</v>
      </c>
      <c r="H304" s="2" t="s">
        <v>33</v>
      </c>
      <c r="I304" s="2" t="str">
        <f>IFERROR(__xludf.DUMMYFUNCTION("GOOGLETRANSLATE(C304,""fr"",""en"")"),"I drive very little; I asked Direct Assurance a low mileage price but it does not; I will look for another insurer. For telephone reception, apart from a very long wait, the reception was satisfactory.")</f>
        <v>I drive very little; I asked Direct Assurance a low mileage price but it does not; I will look for another insurer. For telephone reception, apart from a very long wait, the reception was satisfactory.</v>
      </c>
    </row>
    <row r="305" ht="15.75" customHeight="1">
      <c r="A305" s="2">
        <v>1.0</v>
      </c>
      <c r="B305" s="2" t="s">
        <v>957</v>
      </c>
      <c r="C305" s="2" t="s">
        <v>958</v>
      </c>
      <c r="D305" s="2" t="s">
        <v>117</v>
      </c>
      <c r="E305" s="2" t="s">
        <v>103</v>
      </c>
      <c r="F305" s="2" t="s">
        <v>15</v>
      </c>
      <c r="G305" s="2" t="s">
        <v>959</v>
      </c>
      <c r="H305" s="2" t="s">
        <v>559</v>
      </c>
      <c r="I305" s="2" t="str">
        <f>IFERROR(__xludf.DUMMYFUNCTION("GOOGLETRANSLATE(C305,""fr"",""en"")"),"Listening customer respect loyalty
Wants to function as an online insurer without having the means the modes
Does not know how to function as a branch insurer")</f>
        <v>Listening customer respect loyalty
Wants to function as an online insurer without having the means the modes
Does not know how to function as a branch insurer</v>
      </c>
    </row>
    <row r="306" ht="15.75" customHeight="1">
      <c r="A306" s="2">
        <v>1.0</v>
      </c>
      <c r="B306" s="2" t="s">
        <v>960</v>
      </c>
      <c r="C306" s="2" t="s">
        <v>961</v>
      </c>
      <c r="D306" s="2" t="s">
        <v>962</v>
      </c>
      <c r="E306" s="2" t="s">
        <v>462</v>
      </c>
      <c r="F306" s="2" t="s">
        <v>15</v>
      </c>
      <c r="G306" s="2" t="s">
        <v>963</v>
      </c>
      <c r="H306" s="2" t="s">
        <v>23</v>
      </c>
      <c r="I306" s="2" t="str">
        <f>IFERROR(__xludf.DUMMYFUNCTION("GOOGLETRANSLATE(C306,""fr"",""en"")"),"After X calls (calls which are automatically cut after 1/4 hour of music), still no payment of my father's life insurance, died two months ago, and the funeral directors are still not paid either. But the icing on the cake, during my call from 31/12, the "&amp;"advisor argued to me that it was normal if the funeral pumps were not settled since ..... my father was not deceased !!!!
Well yes of course when I don't want to go to work I tell my employer that my parents died that makes me days !!!!
I specify that t"&amp;"hey have received the death certificate.")</f>
        <v>After X calls (calls which are automatically cut after 1/4 hour of music), still no payment of my father's life insurance, died two months ago, and the funeral directors are still not paid either. But the icing on the cake, during my call from 31/12, the advisor argued to me that it was normal if the funeral pumps were not settled since ..... my father was not deceased !!!!
Well yes of course when I don't want to go to work I tell my employer that my parents died that makes me days !!!!
I specify that they have received the death certificate.</v>
      </c>
    </row>
    <row r="307" ht="15.75" customHeight="1">
      <c r="A307" s="2">
        <v>4.0</v>
      </c>
      <c r="B307" s="2" t="s">
        <v>964</v>
      </c>
      <c r="C307" s="2" t="s">
        <v>965</v>
      </c>
      <c r="D307" s="2" t="s">
        <v>31</v>
      </c>
      <c r="E307" s="2" t="s">
        <v>14</v>
      </c>
      <c r="F307" s="2" t="s">
        <v>15</v>
      </c>
      <c r="G307" s="2" t="s">
        <v>434</v>
      </c>
      <c r="H307" s="2" t="s">
        <v>33</v>
      </c>
      <c r="I307" s="2" t="str">
        <f>IFERROR(__xludf.DUMMYFUNCTION("GOOGLETRANSLATE(C307,""fr"",""en"")"),"It went very well but I miss a paper from my old insurer I want to see with them and I send it by email with my new gray card.")</f>
        <v>It went very well but I miss a paper from my old insurer I want to see with them and I send it by email with my new gray card.</v>
      </c>
    </row>
    <row r="308" ht="15.75" customHeight="1">
      <c r="A308" s="2">
        <v>1.0</v>
      </c>
      <c r="B308" s="2" t="s">
        <v>966</v>
      </c>
      <c r="C308" s="2" t="s">
        <v>967</v>
      </c>
      <c r="D308" s="2" t="s">
        <v>31</v>
      </c>
      <c r="E308" s="2" t="s">
        <v>14</v>
      </c>
      <c r="F308" s="2" t="s">
        <v>15</v>
      </c>
      <c r="G308" s="2" t="s">
        <v>114</v>
      </c>
      <c r="H308" s="2" t="s">
        <v>50</v>
      </c>
      <c r="I308" s="2" t="str">
        <f>IFERROR(__xludf.DUMMYFUNCTION("GOOGLETRANSLATE(C308,""fr"",""en"")"),"Bad experience with this insurance, even for a refund he does on someone else's bank account and impossible to recover the reimbursement. I insisted with the person on the phone on the bank details on which to make the reimbursement because I suspected th"&amp;"at they were going to be wrong and well it did not miss. Really very disappointed I left for another insurer and honestly I do not regret.")</f>
        <v>Bad experience with this insurance, even for a refund he does on someone else's bank account and impossible to recover the reimbursement. I insisted with the person on the phone on the bank details on which to make the reimbursement because I suspected that they were going to be wrong and well it did not miss. Really very disappointed I left for another insurer and honestly I do not regret.</v>
      </c>
    </row>
    <row r="309" ht="15.75" customHeight="1">
      <c r="A309" s="2">
        <v>1.0</v>
      </c>
      <c r="B309" s="2" t="s">
        <v>968</v>
      </c>
      <c r="C309" s="2" t="s">
        <v>969</v>
      </c>
      <c r="D309" s="2" t="s">
        <v>404</v>
      </c>
      <c r="E309" s="2" t="s">
        <v>14</v>
      </c>
      <c r="F309" s="2" t="s">
        <v>15</v>
      </c>
      <c r="G309" s="2" t="s">
        <v>970</v>
      </c>
      <c r="H309" s="2" t="s">
        <v>971</v>
      </c>
      <c r="I309" s="2" t="str">
        <f>IFERROR(__xludf.DUMMYFUNCTION("GOOGLETRANSLATE(C309,""fr"",""en"")"),"He wrapped me so as not to charge my car's expense following an accident since my gray caete took time to be dealt")</f>
        <v>He wrapped me so as not to charge my car's expense following an accident since my gray caete took time to be dealt</v>
      </c>
    </row>
    <row r="310" ht="15.75" customHeight="1">
      <c r="A310" s="2">
        <v>3.0</v>
      </c>
      <c r="B310" s="2" t="s">
        <v>972</v>
      </c>
      <c r="C310" s="2" t="s">
        <v>973</v>
      </c>
      <c r="D310" s="2" t="s">
        <v>168</v>
      </c>
      <c r="E310" s="2" t="s">
        <v>14</v>
      </c>
      <c r="F310" s="2" t="s">
        <v>15</v>
      </c>
      <c r="G310" s="2" t="s">
        <v>974</v>
      </c>
      <c r="H310" s="2" t="s">
        <v>313</v>
      </c>
      <c r="I310" s="2" t="str">
        <f>IFERROR(__xludf.DUMMYFUNCTION("GOOGLETRANSLATE(C310,""fr"",""en"")"),"Beware of all current members and all those who want to come to the MAAF, the new Maaf policy, and I hold it from an agent working at home, and to terminate contracts of members who declare several responsible claims or Not, in a short time (including ice"&amp;" cream) or at least to increase your franchise very strongly (this is my case), without any remorse, whatever your seniority at home, the number of contracts, and your history. As he said joking to me, they boast of being the first to have invented the bo"&amp;"nus for life and other provisions that the others followed, and with this policy they will be the first to terminate the contracts for not Grand-Chose and without taking care of the profitability of their customers. Besides, he worries about how drivers w"&amp;"ill be able to insure themselves in the future. So if you have declared in the last 2 or 3 years claims of all kinds, it is better to leave their home before it is too late. For my part I am waiting for next year because I have a car contract for my child"&amp;", who has less than 2 years of insurance, I am waiting for the end of 2 years so that he is no longer young driver and I Take all my contracts (several vehicles, several dwellings, life insurance)")</f>
        <v>Beware of all current members and all those who want to come to the MAAF, the new Maaf policy, and I hold it from an agent working at home, and to terminate contracts of members who declare several responsible claims or Not, in a short time (including ice cream) or at least to increase your franchise very strongly (this is my case), without any remorse, whatever your seniority at home, the number of contracts, and your history. As he said joking to me, they boast of being the first to have invented the bonus for life and other provisions that the others followed, and with this policy they will be the first to terminate the contracts for not Grand-Chose and without taking care of the profitability of their customers. Besides, he worries about how drivers will be able to insure themselves in the future. So if you have declared in the last 2 or 3 years claims of all kinds, it is better to leave their home before it is too late. For my part I am waiting for next year because I have a car contract for my child, who has less than 2 years of insurance, I am waiting for the end of 2 years so that he is no longer young driver and I Take all my contracts (several vehicles, several dwellings, life insurance)</v>
      </c>
    </row>
    <row r="311" ht="15.75" customHeight="1">
      <c r="A311" s="2">
        <v>5.0</v>
      </c>
      <c r="B311" s="2" t="s">
        <v>975</v>
      </c>
      <c r="C311" s="2" t="s">
        <v>976</v>
      </c>
      <c r="D311" s="2" t="s">
        <v>31</v>
      </c>
      <c r="E311" s="2" t="s">
        <v>14</v>
      </c>
      <c r="F311" s="2" t="s">
        <v>15</v>
      </c>
      <c r="G311" s="2" t="s">
        <v>977</v>
      </c>
      <c r="H311" s="2" t="s">
        <v>33</v>
      </c>
      <c r="I311" s="2" t="str">
        <f>IFERROR(__xludf.DUMMYFUNCTION("GOOGLETRANSLATE(C311,""fr"",""en"")"),"I am very satisfied with the quality service of your insurance, the many options offered and the speed to carry out all the procedures.")</f>
        <v>I am very satisfied with the quality service of your insurance, the many options offered and the speed to carry out all the procedures.</v>
      </c>
    </row>
    <row r="312" ht="15.75" customHeight="1">
      <c r="A312" s="2">
        <v>1.0</v>
      </c>
      <c r="B312" s="2" t="s">
        <v>978</v>
      </c>
      <c r="C312" s="2" t="s">
        <v>979</v>
      </c>
      <c r="D312" s="2" t="s">
        <v>13</v>
      </c>
      <c r="E312" s="2" t="s">
        <v>14</v>
      </c>
      <c r="F312" s="2" t="s">
        <v>15</v>
      </c>
      <c r="G312" s="2" t="s">
        <v>612</v>
      </c>
      <c r="H312" s="2" t="s">
        <v>76</v>
      </c>
      <c r="I312" s="2" t="str">
        <f>IFERROR(__xludf.DUMMYFUNCTION("GOOGLETRANSLATE(C312,""fr"",""en"")"),"It's great for online insurance where it is impossible to find someone except to take out insurance, learn nothing, it's the cross and the banner to have a number to reach them !!!")</f>
        <v>It's great for online insurance where it is impossible to find someone except to take out insurance, learn nothing, it's the cross and the banner to have a number to reach them !!!</v>
      </c>
    </row>
    <row r="313" ht="15.75" customHeight="1">
      <c r="A313" s="2">
        <v>3.0</v>
      </c>
      <c r="B313" s="2" t="s">
        <v>980</v>
      </c>
      <c r="C313" s="2" t="s">
        <v>981</v>
      </c>
      <c r="D313" s="2" t="s">
        <v>31</v>
      </c>
      <c r="E313" s="2" t="s">
        <v>14</v>
      </c>
      <c r="F313" s="2" t="s">
        <v>15</v>
      </c>
      <c r="G313" s="2" t="s">
        <v>274</v>
      </c>
      <c r="H313" s="2" t="s">
        <v>50</v>
      </c>
      <c r="I313" s="2" t="str">
        <f>IFERROR(__xludf.DUMMYFUNCTION("GOOGLETRANSLATE(C313,""fr"",""en"")"),"I find that I paid a little expensive for a 2005 touran if not nothing to say 10/10.
Insurance like yours it does not find much you break well continue on this path and try to improve day by day.")</f>
        <v>I find that I paid a little expensive for a 2005 touran if not nothing to say 10/10.
Insurance like yours it does not find much you break well continue on this path and try to improve day by day.</v>
      </c>
    </row>
    <row r="314" ht="15.75" customHeight="1">
      <c r="A314" s="2">
        <v>1.0</v>
      </c>
      <c r="B314" s="2" t="s">
        <v>982</v>
      </c>
      <c r="C314" s="2" t="s">
        <v>983</v>
      </c>
      <c r="D314" s="2" t="s">
        <v>157</v>
      </c>
      <c r="E314" s="2" t="s">
        <v>21</v>
      </c>
      <c r="F314" s="2" t="s">
        <v>15</v>
      </c>
      <c r="G314" s="2" t="s">
        <v>883</v>
      </c>
      <c r="H314" s="2" t="s">
        <v>33</v>
      </c>
      <c r="I314" s="2" t="str">
        <f>IFERROR(__xludf.DUMMYFUNCTION("GOOGLETRANSLATE(C314,""fr"",""en"")"),"No one on the whole line has been advised.
Delay on reimbursement telephone service impossible for assets for a week that I try to have them for care. They don't answer
This mutual insurance company imposed me by my company Aussinon I would not stay wit"&amp;"h them
It does not even deserve a star")</f>
        <v>No one on the whole line has been advised.
Delay on reimbursement telephone service impossible for assets for a week that I try to have them for care. They don't answer
This mutual insurance company imposed me by my company Aussinon I would not stay with them
It does not even deserve a star</v>
      </c>
    </row>
    <row r="315" ht="15.75" customHeight="1">
      <c r="A315" s="2">
        <v>5.0</v>
      </c>
      <c r="B315" s="2" t="s">
        <v>984</v>
      </c>
      <c r="C315" s="2" t="s">
        <v>985</v>
      </c>
      <c r="D315" s="2" t="s">
        <v>293</v>
      </c>
      <c r="E315" s="2" t="s">
        <v>14</v>
      </c>
      <c r="F315" s="2" t="s">
        <v>15</v>
      </c>
      <c r="G315" s="2" t="s">
        <v>986</v>
      </c>
      <c r="H315" s="2" t="s">
        <v>194</v>
      </c>
      <c r="I315" s="2" t="str">
        <f>IFERROR(__xludf.DUMMYFUNCTION("GOOGLETRANSLATE(C315,""fr"",""en"")"),"Very good insurance, very affordable price, just a question for Active Insurance.
On the certificate on the honor of non-insurance of a vehicle at the level of the small 3 it is written: ""A suffered the following damage that I postpone with precision on"&amp;" the diagram below"": I surrounded by a Small circle the lighthouse at the bottom left on the diagrams, what do you understand?")</f>
        <v>Very good insurance, very affordable price, just a question for Active Insurance.
On the certificate on the honor of non-insurance of a vehicle at the level of the small 3 it is written: "A suffered the following damage that I postpone with precision on the diagram below": I surrounded by a Small circle the lighthouse at the bottom left on the diagrams, what do you understand?</v>
      </c>
    </row>
    <row r="316" ht="15.75" customHeight="1">
      <c r="A316" s="2">
        <v>1.0</v>
      </c>
      <c r="B316" s="2" t="s">
        <v>987</v>
      </c>
      <c r="C316" s="2" t="s">
        <v>988</v>
      </c>
      <c r="D316" s="2" t="s">
        <v>84</v>
      </c>
      <c r="E316" s="2" t="s">
        <v>317</v>
      </c>
      <c r="F316" s="2" t="s">
        <v>15</v>
      </c>
      <c r="G316" s="2" t="s">
        <v>522</v>
      </c>
      <c r="H316" s="2" t="s">
        <v>431</v>
      </c>
      <c r="I316" s="2" t="str">
        <f>IFERROR(__xludf.DUMMYFUNCTION("GOOGLETRANSLATE(C316,""fr"",""en"")"),"Mutual without a spirit of solidarity:
 Life booklet represents most of the subscriptions but now it is impossible to take out new contracts to promote multi -life and impose account units.
Compensation on the bottom of euros is more important now on mu"&amp;"lti -life which is a real injustice to the detriment of former customers owners of booklet life.
Mutavie has oriented new customers to account units that have lost more than a third of their value since the start of the year.
In addition, over 8 years, "&amp;"the Euros of Mutavie background is placed in the last rank of insurers ...")</f>
        <v>Mutual without a spirit of solidarity:
 Life booklet represents most of the subscriptions but now it is impossible to take out new contracts to promote multi -life and impose account units.
Compensation on the bottom of euros is more important now on multi -life which is a real injustice to the detriment of former customers owners of booklet life.
Mutavie has oriented new customers to account units that have lost more than a third of their value since the start of the year.
In addition, over 8 years, the Euros of Mutavie background is placed in the last rank of insurers ...</v>
      </c>
    </row>
    <row r="317" ht="15.75" customHeight="1">
      <c r="A317" s="2">
        <v>1.0</v>
      </c>
      <c r="B317" s="2" t="s">
        <v>989</v>
      </c>
      <c r="C317" s="2" t="s">
        <v>990</v>
      </c>
      <c r="D317" s="2" t="s">
        <v>102</v>
      </c>
      <c r="E317" s="2" t="s">
        <v>14</v>
      </c>
      <c r="F317" s="2" t="s">
        <v>15</v>
      </c>
      <c r="G317" s="2" t="s">
        <v>991</v>
      </c>
      <c r="H317" s="2" t="s">
        <v>992</v>
      </c>
      <c r="I317" s="2" t="str">
        <f>IFERROR(__xludf.DUMMYFUNCTION("GOOGLETRANSLATE(C317,""fr"",""en"")"),"The rates are the highest on the market but the care is good ...")</f>
        <v>The rates are the highest on the market but the care is good ...</v>
      </c>
    </row>
    <row r="318" ht="15.75" customHeight="1">
      <c r="A318" s="2">
        <v>1.0</v>
      </c>
      <c r="B318" s="2" t="s">
        <v>993</v>
      </c>
      <c r="C318" s="2" t="s">
        <v>994</v>
      </c>
      <c r="D318" s="2" t="s">
        <v>256</v>
      </c>
      <c r="E318" s="2" t="s">
        <v>14</v>
      </c>
      <c r="F318" s="2" t="s">
        <v>15</v>
      </c>
      <c r="G318" s="2" t="s">
        <v>995</v>
      </c>
      <c r="H318" s="2" t="s">
        <v>86</v>
      </c>
      <c r="I318" s="2" t="str">
        <f>IFERROR(__xludf.DUMMYFUNCTION("GOOGLETRANSLATE(C318,""fr"",""en"")"),"To flee / incompetent and more expensive than other insurance. In short, to flee completely since we find much cheaper elsewhere with many more guarantees and real customer service. Here we are necessarily in wrong.")</f>
        <v>To flee / incompetent and more expensive than other insurance. In short, to flee completely since we find much cheaper elsewhere with many more guarantees and real customer service. Here we are necessarily in wrong.</v>
      </c>
    </row>
    <row r="319" ht="15.75" customHeight="1">
      <c r="A319" s="2">
        <v>1.0</v>
      </c>
      <c r="B319" s="2" t="s">
        <v>996</v>
      </c>
      <c r="C319" s="2" t="s">
        <v>997</v>
      </c>
      <c r="D319" s="2" t="s">
        <v>128</v>
      </c>
      <c r="E319" s="2" t="s">
        <v>103</v>
      </c>
      <c r="F319" s="2" t="s">
        <v>15</v>
      </c>
      <c r="G319" s="2" t="s">
        <v>998</v>
      </c>
      <c r="H319" s="2" t="s">
        <v>130</v>
      </c>
      <c r="I319" s="2" t="str">
        <f>IFERROR(__xludf.DUMMYFUNCTION("GOOGLETRANSLATE(C319,""fr"",""en"")"),"Client for 24 years, the management of my disaster is just catastrophic. Molds and mushrooms on the ceiling following a water damage, I just fight to have the procedure to follow. (For more than a month). And a obstacle course to be reimbursed for the plu"&amp;"mber's intervention.
Although provided for in the Pas de Plumber Available Partner contract. Answer ""Find it yourself will go faster."" Good ... not so much. The choice .... as suddenly the plumber is not a partner I had to advance the bills ...
And am"&amp;"azing but very real, I was answered by phone;
- You are next to the plate in your message
- If you want to please your situation
- You can terminate it will not change my speech ...
- If your message was not aggressive I would have answered your file "&amp;"faster .... (my message asked that someone will take care of my file, I said that their deadlines were excessively too long, all punctuated by Thank you and please. Maybe the exclamation points and the capital in capital letters have been perceived as too"&amp;" aggressive ...;)
And many more...
A downside for the agency advisor. The sinister service is based in the 47, but before the situation I moved to the local agency. This one was very good, very professional.
It does not change these mind -blowing refle"&amp;"ctions ...
The customer is only good to pay. All the mutual values ​​seems, unfortunately having disappeared ...
The prices are no longer competitive. After 24 years I will change all of my contracts for another insurer.
Prospect must be more profitabl"&amp;"e seems to retain your customers over 20 years old ...")</f>
        <v>Client for 24 years, the management of my disaster is just catastrophic. Molds and mushrooms on the ceiling following a water damage, I just fight to have the procedure to follow. (For more than a month). And a obstacle course to be reimbursed for the plumber's intervention.
Although provided for in the Pas de Plumber Available Partner contract. Answer "Find it yourself will go faster." Good ... not so much. The choice .... as suddenly the plumber is not a partner I had to advance the bills ...
And amazing but very real, I was answered by phone;
- You are next to the plate in your message
- If you want to please your situation
- You can terminate it will not change my speech ...
- If your message was not aggressive I would have answered your file faster .... (my message asked that someone will take care of my file, I said that their deadlines were excessively too long, all punctuated by Thank you and please. Maybe the exclamation points and the capital in capital letters have been perceived as too aggressive ...;)
And many more...
A downside for the agency advisor. The sinister service is based in the 47, but before the situation I moved to the local agency. This one was very good, very professional.
It does not change these mind -blowing reflections ...
The customer is only good to pay. All the mutual values ​​seems, unfortunately having disappeared ...
The prices are no longer competitive. After 24 years I will change all of my contracts for another insurer.
Prospect must be more profitable seems to retain your customers over 20 years old ...</v>
      </c>
    </row>
    <row r="320" ht="15.75" customHeight="1">
      <c r="A320" s="2">
        <v>1.0</v>
      </c>
      <c r="B320" s="2" t="s">
        <v>999</v>
      </c>
      <c r="C320" s="2" t="s">
        <v>1000</v>
      </c>
      <c r="D320" s="2" t="s">
        <v>84</v>
      </c>
      <c r="E320" s="2" t="s">
        <v>103</v>
      </c>
      <c r="F320" s="2" t="s">
        <v>15</v>
      </c>
      <c r="G320" s="2" t="s">
        <v>1001</v>
      </c>
      <c r="H320" s="2" t="s">
        <v>376</v>
      </c>
      <c r="I320" s="2" t="str">
        <f>IFERROR(__xludf.DUMMYFUNCTION("GOOGLETRANSLATE(C320,""fr"",""en"")"),"Company to flee absolutely, unanswered emails, telephone calls without ever having a clear response, they wander me from services in services never the same answer of the erroneous claims, we must always remind me. The last person absolutely tells me the "&amp;"opposite of another interlocutor, and tells me they are trainees who are not aware for a really serious insurance company
very disappointed at the next time I change insurer quickly quickly")</f>
        <v>Company to flee absolutely, unanswered emails, telephone calls without ever having a clear response, they wander me from services in services never the same answer of the erroneous claims, we must always remind me. The last person absolutely tells me the opposite of another interlocutor, and tells me they are trainees who are not aware for a really serious insurance company
very disappointed at the next time I change insurer quickly quickly</v>
      </c>
    </row>
    <row r="321" ht="15.75" customHeight="1">
      <c r="A321" s="2">
        <v>5.0</v>
      </c>
      <c r="B321" s="2" t="s">
        <v>1002</v>
      </c>
      <c r="C321" s="2" t="s">
        <v>1003</v>
      </c>
      <c r="D321" s="2" t="s">
        <v>13</v>
      </c>
      <c r="E321" s="2" t="s">
        <v>14</v>
      </c>
      <c r="F321" s="2" t="s">
        <v>15</v>
      </c>
      <c r="G321" s="2" t="s">
        <v>38</v>
      </c>
      <c r="H321" s="2" t="s">
        <v>39</v>
      </c>
      <c r="I321" s="2" t="str">
        <f>IFERROR(__xludf.DUMMYFUNCTION("GOOGLETRANSLATE(C321,""fr"",""en"")"),"Top you have to continue as you are the best! The price is reasonable good job. Together we are protecting and stronger to move forward in life!")</f>
        <v>Top you have to continue as you are the best! The price is reasonable good job. Together we are protecting and stronger to move forward in life!</v>
      </c>
    </row>
    <row r="322" ht="15.75" customHeight="1">
      <c r="A322" s="2">
        <v>4.0</v>
      </c>
      <c r="B322" s="2" t="s">
        <v>1004</v>
      </c>
      <c r="C322" s="2" t="s">
        <v>1005</v>
      </c>
      <c r="D322" s="2" t="s">
        <v>31</v>
      </c>
      <c r="E322" s="2" t="s">
        <v>14</v>
      </c>
      <c r="F322" s="2" t="s">
        <v>15</v>
      </c>
      <c r="G322" s="2" t="s">
        <v>519</v>
      </c>
      <c r="H322" s="2" t="s">
        <v>50</v>
      </c>
      <c r="I322" s="2" t="str">
        <f>IFERROR(__xludf.DUMMYFUNCTION("GOOGLETRANSLATE(C322,""fr"",""en"")"),"The information on the phone has been very good, even if I find the amount of the Eleves deductibles for the price. But I hope to be satisfied with this insurance.")</f>
        <v>The information on the phone has been very good, even if I find the amount of the Eleves deductibles for the price. But I hope to be satisfied with this insurance.</v>
      </c>
    </row>
    <row r="323" ht="15.75" customHeight="1">
      <c r="A323" s="2">
        <v>1.0</v>
      </c>
      <c r="B323" s="2" t="s">
        <v>1006</v>
      </c>
      <c r="C323" s="2" t="s">
        <v>1007</v>
      </c>
      <c r="D323" s="2" t="s">
        <v>361</v>
      </c>
      <c r="E323" s="2" t="s">
        <v>21</v>
      </c>
      <c r="F323" s="2" t="s">
        <v>15</v>
      </c>
      <c r="G323" s="2" t="s">
        <v>1008</v>
      </c>
      <c r="H323" s="2" t="s">
        <v>50</v>
      </c>
      <c r="I323" s="2" t="str">
        <f>IFERROR(__xludf.DUMMYFUNCTION("GOOGLETRANSLATE(C323,""fr"",""en"")"),"A shame, it loses information, that says it makes the necessary, it says it manages, it says it repay and take care of ... a year that I am waiting for them to do what is necessary. Today even their salesperson is incoherent, I send an termination 6 month"&amp;"s ago aware of their incapacity. I am answered it is too early, ""remember us in case we forget""; Today I make sure that my request is taken into account ""ha bah no it was too early"", well, how should I proceed ""send a letter to say that you no longer"&amp;" want"" ... already done. .. ""Yes but a month before legal period"" ... We are 1 month and a half of the deadline ... a shame ... a commercial shame, a loss of time and an impressive bad faith. To flee !")</f>
        <v>A shame, it loses information, that says it makes the necessary, it says it manages, it says it repay and take care of ... a year that I am waiting for them to do what is necessary. Today even their salesperson is incoherent, I send an termination 6 months ago aware of their incapacity. I am answered it is too early, "remember us in case we forget"; Today I make sure that my request is taken into account "ha bah no it was too early", well, how should I proceed "send a letter to say that you no longer want" ... already done. .. "Yes but a month before legal period" ... We are 1 month and a half of the deadline ... a shame ... a commercial shame, a loss of time and an impressive bad faith. To flee !</v>
      </c>
    </row>
    <row r="324" ht="15.75" customHeight="1">
      <c r="A324" s="2">
        <v>3.0</v>
      </c>
      <c r="B324" s="2" t="s">
        <v>1009</v>
      </c>
      <c r="C324" s="2" t="s">
        <v>1010</v>
      </c>
      <c r="D324" s="2" t="s">
        <v>26</v>
      </c>
      <c r="E324" s="2" t="s">
        <v>21</v>
      </c>
      <c r="F324" s="2" t="s">
        <v>15</v>
      </c>
      <c r="G324" s="2" t="s">
        <v>1011</v>
      </c>
      <c r="H324" s="2" t="s">
        <v>93</v>
      </c>
      <c r="I324" s="2" t="str">
        <f>IFERROR(__xludf.DUMMYFUNCTION("GOOGLETRANSLATE(C324,""fr"",""en"")"),"Never take out insurance product with this company which will not respect any of these commitments, you will tell you anything on the phone provided that you pay contributions.")</f>
        <v>Never take out insurance product with this company which will not respect any of these commitments, you will tell you anything on the phone provided that you pay contributions.</v>
      </c>
    </row>
    <row r="325" ht="15.75" customHeight="1">
      <c r="A325" s="2">
        <v>1.0</v>
      </c>
      <c r="B325" s="2" t="s">
        <v>1012</v>
      </c>
      <c r="C325" s="2" t="s">
        <v>1013</v>
      </c>
      <c r="D325" s="2" t="s">
        <v>293</v>
      </c>
      <c r="E325" s="2" t="s">
        <v>14</v>
      </c>
      <c r="F325" s="2" t="s">
        <v>15</v>
      </c>
      <c r="G325" s="2" t="s">
        <v>1014</v>
      </c>
      <c r="H325" s="2" t="s">
        <v>130</v>
      </c>
      <c r="I325" s="2" t="str">
        <f>IFERROR(__xludf.DUMMYFUNCTION("GOOGLETRANSLATE(C325,""fr"",""en"")"),"Insure 3 years at home I say flee! Insurance via a Chinese platform where interlocutors barely speak French, does not understand much, cannot open an email or even less you are inquiring.
Hang up on the nose, never recall as agreed and as a bonus does no"&amp;"t fail to speak to you badly
")</f>
        <v>Insure 3 years at home I say flee! Insurance via a Chinese platform where interlocutors barely speak French, does not understand much, cannot open an email or even less you are inquiring.
Hang up on the nose, never recall as agreed and as a bonus does not fail to speak to you badly
</v>
      </c>
    </row>
    <row r="326" ht="15.75" customHeight="1">
      <c r="A326" s="2">
        <v>4.0</v>
      </c>
      <c r="B326" s="2" t="s">
        <v>1015</v>
      </c>
      <c r="C326" s="2" t="s">
        <v>1016</v>
      </c>
      <c r="D326" s="2" t="s">
        <v>13</v>
      </c>
      <c r="E326" s="2" t="s">
        <v>14</v>
      </c>
      <c r="F326" s="2" t="s">
        <v>15</v>
      </c>
      <c r="G326" s="2" t="s">
        <v>99</v>
      </c>
      <c r="H326" s="2" t="s">
        <v>50</v>
      </c>
      <c r="I326" s="2" t="str">
        <f>IFERROR(__xludf.DUMMYFUNCTION("GOOGLETRANSLATE(C326,""fr"",""en"")"),"I am satisfied with the client service on the phone as well as the prices but the monthly payment is still a little expensive by Rappoet to the annual. But in very good insurance I am very recommended")</f>
        <v>I am satisfied with the client service on the phone as well as the prices but the monthly payment is still a little expensive by Rappoet to the annual. But in very good insurance I am very recommended</v>
      </c>
    </row>
    <row r="327" ht="15.75" customHeight="1">
      <c r="A327" s="2">
        <v>3.0</v>
      </c>
      <c r="B327" s="2" t="s">
        <v>1017</v>
      </c>
      <c r="C327" s="2" t="s">
        <v>1018</v>
      </c>
      <c r="D327" s="2" t="s">
        <v>496</v>
      </c>
      <c r="E327" s="2" t="s">
        <v>21</v>
      </c>
      <c r="F327" s="2" t="s">
        <v>15</v>
      </c>
      <c r="G327" s="2" t="s">
        <v>401</v>
      </c>
      <c r="H327" s="2" t="s">
        <v>54</v>
      </c>
      <c r="I327" s="2" t="str">
        <f>IFERROR(__xludf.DUMMYFUNCTION("GOOGLETRANSLATE(C327,""fr"",""en"")"),"I am satisfied with the information provided on your site.
Hoping to have satisfaction in the reimbursement of care and drugs, I would say a little more after because I am only assured on the 30th.")</f>
        <v>I am satisfied with the information provided on your site.
Hoping to have satisfaction in the reimbursement of care and drugs, I would say a little more after because I am only assured on the 30th.</v>
      </c>
    </row>
    <row r="328" ht="15.75" customHeight="1">
      <c r="A328" s="2">
        <v>5.0</v>
      </c>
      <c r="B328" s="2" t="s">
        <v>1019</v>
      </c>
      <c r="C328" s="2" t="s">
        <v>1020</v>
      </c>
      <c r="D328" s="2" t="s">
        <v>31</v>
      </c>
      <c r="E328" s="2" t="s">
        <v>14</v>
      </c>
      <c r="F328" s="2" t="s">
        <v>15</v>
      </c>
      <c r="G328" s="2" t="s">
        <v>145</v>
      </c>
      <c r="H328" s="2" t="s">
        <v>46</v>
      </c>
      <c r="I328" s="2" t="str">
        <f>IFERROR(__xludf.DUMMYFUNCTION("GOOGLETRANSLATE(C328,""fr"",""en"")"),"The telephone reception was pleasant. A kind and kind hostess who knew how to answer the different questions I asked. Thank you for his patience!")</f>
        <v>The telephone reception was pleasant. A kind and kind hostess who knew how to answer the different questions I asked. Thank you for his patience!</v>
      </c>
    </row>
    <row r="329" ht="15.75" customHeight="1">
      <c r="A329" s="2">
        <v>1.0</v>
      </c>
      <c r="B329" s="2" t="s">
        <v>1021</v>
      </c>
      <c r="C329" s="2" t="s">
        <v>1022</v>
      </c>
      <c r="D329" s="2" t="s">
        <v>942</v>
      </c>
      <c r="E329" s="2" t="s">
        <v>241</v>
      </c>
      <c r="F329" s="2" t="s">
        <v>15</v>
      </c>
      <c r="G329" s="2" t="s">
        <v>1023</v>
      </c>
      <c r="H329" s="2" t="s">
        <v>1024</v>
      </c>
      <c r="I329" s="2" t="str">
        <f>IFERROR(__xludf.DUMMYFUNCTION("GOOGLETRANSLATE(C329,""fr"",""en"")"),"My father died a few weeks ago, my mom without resources reported the death the days following the departure of my dad. Since then, it has been walking from services to services with very unpleasant people impossible to answer simple questions! One day it"&amp;" is told that the documents are sent another day ha ben no the file has not yet left etc ... In the meantime the samples are always well punctuated on its account, it may find itself banking banking etc. .. She cannot pay the loan deadlines! And the heigh"&amp;"t is that at the signing we ask no health questionnaire, my father pointed out that he had had cancer a few years ago etc ... that was no problem for the signing and there we answer To my mother that there will be a medical questionnaire to be filled by t"&amp;"he attending physician ... Easy not as a process? A shame, a scandal !!! Run away !")</f>
        <v>My father died a few weeks ago, my mom without resources reported the death the days following the departure of my dad. Since then, it has been walking from services to services with very unpleasant people impossible to answer simple questions! One day it is told that the documents are sent another day ha ben no the file has not yet left etc ... In the meantime the samples are always well punctuated on its account, it may find itself banking banking etc. .. She cannot pay the loan deadlines! And the height is that at the signing we ask no health questionnaire, my father pointed out that he had had cancer a few years ago etc ... that was no problem for the signing and there we answer To my mother that there will be a medical questionnaire to be filled by the attending physician ... Easy not as a process? A shame, a scandal !!! Run away !</v>
      </c>
    </row>
    <row r="330" ht="15.75" customHeight="1">
      <c r="A330" s="2">
        <v>5.0</v>
      </c>
      <c r="B330" s="2" t="s">
        <v>1025</v>
      </c>
      <c r="C330" s="2" t="s">
        <v>1026</v>
      </c>
      <c r="D330" s="2" t="s">
        <v>13</v>
      </c>
      <c r="E330" s="2" t="s">
        <v>14</v>
      </c>
      <c r="F330" s="2" t="s">
        <v>15</v>
      </c>
      <c r="G330" s="2" t="s">
        <v>1027</v>
      </c>
      <c r="H330" s="2" t="s">
        <v>50</v>
      </c>
      <c r="I330" s="2" t="str">
        <f>IFERROR(__xludf.DUMMYFUNCTION("GOOGLETRANSLATE(C330,""fr"",""en"")"),"Satisfied with applied prices
simple and fast
Very easy to use site and very fast response
The possibility of subscribing online is a real time saving!")</f>
        <v>Satisfied with applied prices
simple and fast
Very easy to use site and very fast response
The possibility of subscribing online is a real time saving!</v>
      </c>
    </row>
    <row r="331" ht="15.75" customHeight="1">
      <c r="A331" s="2">
        <v>3.0</v>
      </c>
      <c r="B331" s="2" t="s">
        <v>1028</v>
      </c>
      <c r="C331" s="2" t="s">
        <v>1029</v>
      </c>
      <c r="D331" s="2" t="s">
        <v>13</v>
      </c>
      <c r="E331" s="2" t="s">
        <v>14</v>
      </c>
      <c r="F331" s="2" t="s">
        <v>15</v>
      </c>
      <c r="G331" s="2" t="s">
        <v>339</v>
      </c>
      <c r="H331" s="2" t="s">
        <v>50</v>
      </c>
      <c r="I331" s="2" t="str">
        <f>IFERROR(__xludf.DUMMYFUNCTION("GOOGLETRANSLATE(C331,""fr"",""en"")"),"Attractive price. To see if the services are up to par. Speed ​​to get answers and have a good interlocutor who immediately includes.")</f>
        <v>Attractive price. To see if the services are up to par. Speed ​​to get answers and have a good interlocutor who immediately includes.</v>
      </c>
    </row>
    <row r="332" ht="15.75" customHeight="1">
      <c r="A332" s="2">
        <v>1.0</v>
      </c>
      <c r="B332" s="2" t="s">
        <v>1030</v>
      </c>
      <c r="C332" s="2" t="s">
        <v>1031</v>
      </c>
      <c r="D332" s="2" t="s">
        <v>256</v>
      </c>
      <c r="E332" s="2" t="s">
        <v>103</v>
      </c>
      <c r="F332" s="2" t="s">
        <v>15</v>
      </c>
      <c r="G332" s="2" t="s">
        <v>1032</v>
      </c>
      <c r="H332" s="2" t="s">
        <v>76</v>
      </c>
      <c r="I332" s="2" t="str">
        <f>IFERROR(__xludf.DUMMYFUNCTION("GOOGLETRANSLATE(C332,""fr"",""en"")"),"A contract terminated in 2018 which continues to take the monthly payments! We dream !
No way to join an interlocutor authorized to intervene, we only come across recorders who themselves will make an email ... and who in addition allow ourselves a conde"&amp;"scending tone and say they understand all our annoyance! We dream a second time! The mediator, help!
And for the answer, thank you Allianz for not recycling the classic copied/glued to other messages.")</f>
        <v>A contract terminated in 2018 which continues to take the monthly payments! We dream !
No way to join an interlocutor authorized to intervene, we only come across recorders who themselves will make an email ... and who in addition allow ourselves a condescending tone and say they understand all our annoyance! We dream a second time! The mediator, help!
And for the answer, thank you Allianz for not recycling the classic copied/glued to other messages.</v>
      </c>
    </row>
    <row r="333" ht="15.75" customHeight="1">
      <c r="A333" s="2">
        <v>1.0</v>
      </c>
      <c r="B333" s="2" t="s">
        <v>1033</v>
      </c>
      <c r="C333" s="2" t="s">
        <v>1034</v>
      </c>
      <c r="D333" s="2" t="s">
        <v>84</v>
      </c>
      <c r="E333" s="2" t="s">
        <v>103</v>
      </c>
      <c r="F333" s="2" t="s">
        <v>15</v>
      </c>
      <c r="G333" s="2" t="s">
        <v>1035</v>
      </c>
      <c r="H333" s="2" t="s">
        <v>376</v>
      </c>
      <c r="I333" s="2" t="str">
        <f>IFERROR(__xludf.DUMMYFUNCTION("GOOGLETRANSLATE(C333,""fr"",""en"")"),"La, Macif put my husband in prison for insults ...
We were robbed, 20 years at home, 15,000 lost, o had received from the Macif ... on the other hand invoice of 4,599 from file fees, expertise.
The Macif has money with burglaries
Rot ...")</f>
        <v>La, Macif put my husband in prison for insults ...
We were robbed, 20 years at home, 15,000 lost, o had received from the Macif ... on the other hand invoice of 4,599 from file fees, expertise.
The Macif has money with burglaries
Rot ...</v>
      </c>
    </row>
    <row r="334" ht="15.75" customHeight="1">
      <c r="A334" s="2">
        <v>1.0</v>
      </c>
      <c r="B334" s="2" t="s">
        <v>1036</v>
      </c>
      <c r="C334" s="2" t="s">
        <v>1037</v>
      </c>
      <c r="D334" s="2" t="s">
        <v>117</v>
      </c>
      <c r="E334" s="2" t="s">
        <v>103</v>
      </c>
      <c r="F334" s="2" t="s">
        <v>15</v>
      </c>
      <c r="G334" s="2" t="s">
        <v>1027</v>
      </c>
      <c r="H334" s="2" t="s">
        <v>50</v>
      </c>
      <c r="I334" s="2" t="str">
        <f>IFERROR(__xludf.DUMMYFUNCTION("GOOGLETRANSLATE(C334,""fr"",""en"")"),"Natural catastrophe ... Contact with various such incompetent platforms which refer from one to the other ...
Three months after sinister the GMF /Fidelia assistance offers an exclusive service provider who does not accept the orders given by the assista"&amp;"nce .... Assistance should intervene imperceptibly and not procrastinate with the sole provider (compulsory for taking. ..) who does not move ..... and does not respond to messages
TV and radio lies advertisements
Everything is done to win new customers"&amp;" but nothing for old and faithful customers. Total disappointment
 ")</f>
        <v>Natural catastrophe ... Contact with various such incompetent platforms which refer from one to the other ...
Three months after sinister the GMF /Fidelia assistance offers an exclusive service provider who does not accept the orders given by the assistance .... Assistance should intervene imperceptibly and not procrastinate with the sole provider (compulsory for taking. ..) who does not move ..... and does not respond to messages
TV and radio lies advertisements
Everything is done to win new customers but nothing for old and faithful customers. Total disappointment
 </v>
      </c>
    </row>
    <row r="335" ht="15.75" customHeight="1">
      <c r="A335" s="2">
        <v>3.0</v>
      </c>
      <c r="B335" s="2" t="s">
        <v>1038</v>
      </c>
      <c r="C335" s="2" t="s">
        <v>1039</v>
      </c>
      <c r="D335" s="2" t="s">
        <v>13</v>
      </c>
      <c r="E335" s="2" t="s">
        <v>14</v>
      </c>
      <c r="F335" s="2" t="s">
        <v>15</v>
      </c>
      <c r="G335" s="2" t="s">
        <v>1040</v>
      </c>
      <c r="H335" s="2" t="s">
        <v>249</v>
      </c>
      <c r="I335" s="2" t="str">
        <f>IFERROR(__xludf.DUMMYFUNCTION("GOOGLETRANSLATE(C335,""fr"",""en"")"),"ATTENTIONS AT ABUS.
They even make you pay for the following years without ensuring you. For a small delay in payment following my father's severe heart attack they terminated me without hearing and understanding my explanations after seven years that I "&amp;"paid very properly without any accident.
I was forced to pay for the following year for three months before the deadline for my contract.
Watch out for this insurance")</f>
        <v>ATTENTIONS AT ABUS.
They even make you pay for the following years without ensuring you. For a small delay in payment following my father's severe heart attack they terminated me without hearing and understanding my explanations after seven years that I paid very properly without any accident.
I was forced to pay for the following year for three months before the deadline for my contract.
Watch out for this insurance</v>
      </c>
    </row>
    <row r="336" ht="15.75" customHeight="1">
      <c r="A336" s="2">
        <v>3.0</v>
      </c>
      <c r="B336" s="2" t="s">
        <v>1041</v>
      </c>
      <c r="C336" s="2" t="s">
        <v>1042</v>
      </c>
      <c r="D336" s="2" t="s">
        <v>20</v>
      </c>
      <c r="E336" s="2" t="s">
        <v>21</v>
      </c>
      <c r="F336" s="2" t="s">
        <v>15</v>
      </c>
      <c r="G336" s="2" t="s">
        <v>1043</v>
      </c>
      <c r="H336" s="2" t="s">
        <v>130</v>
      </c>
      <c r="I336" s="2" t="str">
        <f>IFERROR(__xludf.DUMMYFUNCTION("GOOGLETRANSLATE(C336,""fr"",""en"")"),"Excellent welcome. Very pleasant and helpful person. Problem solved quickly with clarity.
Nothing to say except the price can be of this mutual.")</f>
        <v>Excellent welcome. Very pleasant and helpful person. Problem solved quickly with clarity.
Nothing to say except the price can be of this mutual.</v>
      </c>
    </row>
    <row r="337" ht="15.75" customHeight="1">
      <c r="A337" s="2">
        <v>5.0</v>
      </c>
      <c r="B337" s="2" t="s">
        <v>1044</v>
      </c>
      <c r="C337" s="2" t="s">
        <v>1045</v>
      </c>
      <c r="D337" s="2" t="s">
        <v>13</v>
      </c>
      <c r="E337" s="2" t="s">
        <v>14</v>
      </c>
      <c r="F337" s="2" t="s">
        <v>15</v>
      </c>
      <c r="G337" s="2" t="s">
        <v>540</v>
      </c>
      <c r="H337" s="2" t="s">
        <v>50</v>
      </c>
      <c r="I337" s="2" t="str">
        <f>IFERROR(__xludf.DUMMYFUNCTION("GOOGLETRANSLATE(C337,""fr"",""en"")"),"I signed up in a very fast service of service affordable prices and a huge gain of tempting no problem level ... I am very satisfied I recommend it")</f>
        <v>I signed up in a very fast service of service affordable prices and a huge gain of tempting no problem level ... I am very satisfied I recommend it</v>
      </c>
    </row>
    <row r="338" ht="15.75" customHeight="1">
      <c r="A338" s="2">
        <v>4.0</v>
      </c>
      <c r="B338" s="2" t="s">
        <v>1046</v>
      </c>
      <c r="C338" s="2" t="s">
        <v>1047</v>
      </c>
      <c r="D338" s="2" t="s">
        <v>31</v>
      </c>
      <c r="E338" s="2" t="s">
        <v>14</v>
      </c>
      <c r="F338" s="2" t="s">
        <v>15</v>
      </c>
      <c r="G338" s="2" t="s">
        <v>519</v>
      </c>
      <c r="H338" s="2" t="s">
        <v>50</v>
      </c>
      <c r="I338" s="2" t="str">
        <f>IFERROR(__xludf.DUMMYFUNCTION("GOOGLETRANSLATE(C338,""fr"",""en"")"),"Good insurance.
Quick and easy response
Documents available via pro space and by mail
Final green card sent quickly
Quality and efficient customer service.
Reasonable and competitive price.
I recommend the olive assurance.")</f>
        <v>Good insurance.
Quick and easy response
Documents available via pro space and by mail
Final green card sent quickly
Quality and efficient customer service.
Reasonable and competitive price.
I recommend the olive assurance.</v>
      </c>
    </row>
    <row r="339" ht="15.75" customHeight="1">
      <c r="A339" s="2">
        <v>4.0</v>
      </c>
      <c r="B339" s="2" t="s">
        <v>1048</v>
      </c>
      <c r="C339" s="2" t="s">
        <v>1049</v>
      </c>
      <c r="D339" s="2" t="s">
        <v>13</v>
      </c>
      <c r="E339" s="2" t="s">
        <v>14</v>
      </c>
      <c r="F339" s="2" t="s">
        <v>15</v>
      </c>
      <c r="G339" s="2" t="s">
        <v>444</v>
      </c>
      <c r="H339" s="2" t="s">
        <v>17</v>
      </c>
      <c r="I339" s="2" t="str">
        <f>IFERROR(__xludf.DUMMYFUNCTION("GOOGLETRANSLATE(C339,""fr"",""en"")"),"I am generally very satisfied one year in two since the 2nd year, the subscription increases disproportionately which encourages me to change insurer. Holding several contracts I would like this criterion to be taken into account in the calculation of con"&amp;"tributions
")</f>
        <v>I am generally very satisfied one year in two since the 2nd year, the subscription increases disproportionately which encourages me to change insurer. Holding several contracts I would like this criterion to be taken into account in the calculation of contributions
</v>
      </c>
    </row>
    <row r="340" ht="15.75" customHeight="1">
      <c r="A340" s="2">
        <v>1.0</v>
      </c>
      <c r="B340" s="2" t="s">
        <v>1050</v>
      </c>
      <c r="C340" s="2" t="s">
        <v>1051</v>
      </c>
      <c r="D340" s="2" t="s">
        <v>1052</v>
      </c>
      <c r="E340" s="2" t="s">
        <v>317</v>
      </c>
      <c r="F340" s="2" t="s">
        <v>15</v>
      </c>
      <c r="G340" s="2" t="s">
        <v>1053</v>
      </c>
      <c r="H340" s="2" t="s">
        <v>170</v>
      </c>
      <c r="I340" s="2" t="str">
        <f>IFERROR(__xludf.DUMMYFUNCTION("GOOGLETRANSLATE(C340,""fr"",""en"")"),"My deceased dad had concluded a life insurance contract. I sent the complete file now over two years ago. Since no sign of life on the part of Swisslife despite multiple contact attempts: emails, form on the site, etc. The agents have chosen to ignore my "&amp;"reminders. There is no way to know if a part is missing, if the payment will take place one day, etc. Is policy to discourage people so as not to pay what is due to?")</f>
        <v>My deceased dad had concluded a life insurance contract. I sent the complete file now over two years ago. Since no sign of life on the part of Swisslife despite multiple contact attempts: emails, form on the site, etc. The agents have chosen to ignore my reminders. There is no way to know if a part is missing, if the payment will take place one day, etc. Is policy to discourage people so as not to pay what is due to?</v>
      </c>
    </row>
    <row r="341" ht="15.75" customHeight="1">
      <c r="A341" s="2">
        <v>5.0</v>
      </c>
      <c r="B341" s="2" t="s">
        <v>1054</v>
      </c>
      <c r="C341" s="2" t="s">
        <v>1055</v>
      </c>
      <c r="D341" s="2" t="s">
        <v>74</v>
      </c>
      <c r="E341" s="2" t="s">
        <v>58</v>
      </c>
      <c r="F341" s="2" t="s">
        <v>15</v>
      </c>
      <c r="G341" s="2" t="s">
        <v>200</v>
      </c>
      <c r="H341" s="2" t="s">
        <v>107</v>
      </c>
      <c r="I341" s="2" t="str">
        <f>IFERROR(__xludf.DUMMYFUNCTION("GOOGLETRANSLATE(C341,""fr"",""en"")"),"I am very happy with this insurance I would see over time if all goes without problem the price and the correct and the site and easy simple and top")</f>
        <v>I am very happy with this insurance I would see over time if all goes without problem the price and the correct and the site and easy simple and top</v>
      </c>
    </row>
    <row r="342" ht="15.75" customHeight="1">
      <c r="A342" s="2">
        <v>3.0</v>
      </c>
      <c r="B342" s="2" t="s">
        <v>1056</v>
      </c>
      <c r="C342" s="2" t="s">
        <v>1057</v>
      </c>
      <c r="D342" s="2" t="s">
        <v>31</v>
      </c>
      <c r="E342" s="2" t="s">
        <v>14</v>
      </c>
      <c r="F342" s="2" t="s">
        <v>15</v>
      </c>
      <c r="G342" s="2" t="s">
        <v>265</v>
      </c>
      <c r="H342" s="2" t="s">
        <v>60</v>
      </c>
      <c r="I342" s="2" t="str">
        <f>IFERROR(__xludf.DUMMYFUNCTION("GOOGLETRANSLATE(C342,""fr"",""en"")"),"fairly clear information
The advisor is clear damage he does not have the hand to make i = a commercial gesture
Knowing that I am a former customer who comes back to you as insurance")</f>
        <v>fairly clear information
The advisor is clear damage he does not have the hand to make i = a commercial gesture
Knowing that I am a former customer who comes back to you as insurance</v>
      </c>
    </row>
    <row r="343" ht="15.75" customHeight="1">
      <c r="A343" s="2">
        <v>3.0</v>
      </c>
      <c r="B343" s="2" t="s">
        <v>1058</v>
      </c>
      <c r="C343" s="2" t="s">
        <v>1059</v>
      </c>
      <c r="D343" s="2" t="s">
        <v>222</v>
      </c>
      <c r="E343" s="2" t="s">
        <v>21</v>
      </c>
      <c r="F343" s="2" t="s">
        <v>15</v>
      </c>
      <c r="G343" s="2" t="s">
        <v>1060</v>
      </c>
      <c r="H343" s="2" t="s">
        <v>369</v>
      </c>
      <c r="I343" s="2" t="str">
        <f>IFERROR(__xludf.DUMMYFUNCTION("GOOGLETRANSLATE(C343,""fr"",""en"")"),"Good ....... service ......................................... .................................................. .................................................. .................")</f>
        <v>Good ....... service ......................................... .................................................. .................................................. .................</v>
      </c>
    </row>
    <row r="344" ht="15.75" customHeight="1">
      <c r="A344" s="2">
        <v>1.0</v>
      </c>
      <c r="B344" s="2" t="s">
        <v>1061</v>
      </c>
      <c r="C344" s="2" t="s">
        <v>1062</v>
      </c>
      <c r="D344" s="2" t="s">
        <v>31</v>
      </c>
      <c r="E344" s="2" t="s">
        <v>14</v>
      </c>
      <c r="F344" s="2" t="s">
        <v>15</v>
      </c>
      <c r="G344" s="2" t="s">
        <v>1063</v>
      </c>
      <c r="H344" s="2" t="s">
        <v>122</v>
      </c>
      <c r="I344" s="2" t="str">
        <f>IFERROR(__xludf.DUMMYFUNCTION("GOOGLETRANSLATE(C344,""fr"",""en"")"),"It takes 1 year to be fooled. No claim whatever it is declared and yet the first surprise, on the anniversary date + 30% increase on the price of my contract. I am looking for explanations from ""L’Olivier"" I am directed to the commercial service service"&amp;" to offer me a 10% discount compared to the offer offer. That I obviously refuse. But I am not at the end of my surprises. Ultimately my contract, which I have hurriedly resilled since I only have 20 miserable days to terminate (fortunately for me, I retu"&amp;"rned in time of my vacation). I realize a direct direct debit of 10% of the annual amount directly on my account without notice and especially without having the slightest penny. So I try to call to have more information I therefore compose the same numbe"&amp;"r as usual and as by Hazard the number and cut and we are only headed for the website. No other number propose. I am dissatisfied. Is the solution to drive on the sidewalks with this company to benefit from a justified discount from one year to the next? "&amp;"Who is rewarded if we are taken even more money?")</f>
        <v>It takes 1 year to be fooled. No claim whatever it is declared and yet the first surprise, on the anniversary date + 30% increase on the price of my contract. I am looking for explanations from "L’Olivier" I am directed to the commercial service service to offer me a 10% discount compared to the offer offer. That I obviously refuse. But I am not at the end of my surprises. Ultimately my contract, which I have hurriedly resilled since I only have 20 miserable days to terminate (fortunately for me, I returned in time of my vacation). I realize a direct direct debit of 10% of the annual amount directly on my account without notice and especially without having the slightest penny. So I try to call to have more information I therefore compose the same number as usual and as by Hazard the number and cut and we are only headed for the website. No other number propose. I am dissatisfied. Is the solution to drive on the sidewalks with this company to benefit from a justified discount from one year to the next? Who is rewarded if we are taken even more money?</v>
      </c>
    </row>
    <row r="345" ht="15.75" customHeight="1">
      <c r="A345" s="2">
        <v>2.0</v>
      </c>
      <c r="B345" s="2" t="s">
        <v>1064</v>
      </c>
      <c r="C345" s="2" t="s">
        <v>1065</v>
      </c>
      <c r="D345" s="2" t="s">
        <v>26</v>
      </c>
      <c r="E345" s="2" t="s">
        <v>21</v>
      </c>
      <c r="F345" s="2" t="s">
        <v>15</v>
      </c>
      <c r="G345" s="2" t="s">
        <v>1066</v>
      </c>
      <c r="H345" s="2" t="s">
        <v>23</v>
      </c>
      <c r="I345" s="2" t="str">
        <f>IFERROR(__xludf.DUMMYFUNCTION("GOOGLETRANSLATE(C345,""fr"",""en"")"),"Aggressive sales technique by brokers and enormous difficulty in terminating the contracts that you have not subscribed!
Does not respect their own charter on electronic signature (to consult on their site)
They are also trying to take with your old b"&amp;"ank details if you have already been a customer at home!
Finally if you have a contract with them they can change it without warning you!
Too bad that these practice tarnish Neoliane which is also a mutual which offers service similar to the others."&amp;"
I confirm the almost total impossibility of having a correspondent on the phone.")</f>
        <v>Aggressive sales technique by brokers and enormous difficulty in terminating the contracts that you have not subscribed!
Does not respect their own charter on electronic signature (to consult on their site)
They are also trying to take with your old bank details if you have already been a customer at home!
Finally if you have a contract with them they can change it without warning you!
Too bad that these practice tarnish Neoliane which is also a mutual which offers service similar to the others.
I confirm the almost total impossibility of having a correspondent on the phone.</v>
      </c>
    </row>
    <row r="346" ht="15.75" customHeight="1">
      <c r="A346" s="2">
        <v>1.0</v>
      </c>
      <c r="B346" s="2" t="s">
        <v>1067</v>
      </c>
      <c r="C346" s="2" t="s">
        <v>1068</v>
      </c>
      <c r="D346" s="2" t="s">
        <v>256</v>
      </c>
      <c r="E346" s="2" t="s">
        <v>14</v>
      </c>
      <c r="F346" s="2" t="s">
        <v>15</v>
      </c>
      <c r="G346" s="2" t="s">
        <v>1069</v>
      </c>
      <c r="H346" s="2" t="s">
        <v>774</v>
      </c>
      <c r="I346" s="2" t="str">
        <f>IFERROR(__xludf.DUMMYFUNCTION("GOOGLETRANSLATE(C346,""fr"",""en"")"),"Customer service = zero
Telephone expectation = greater than 10min
Customer welcome = zero
Solution = zero
Commercial gesture? Does that exist? Ah no sorry the commercial gesture at home looks like that ??
So the chat of the covid, the best excuse "&amp;"in the world to discharge, continue like that, you are champions ????
This insurance except collecting, they can not do anything others.
It’s on they are from A to zero with us.")</f>
        <v>Customer service = zero
Telephone expectation = greater than 10min
Customer welcome = zero
Solution = zero
Commercial gesture? Does that exist? Ah no sorry the commercial gesture at home looks like that ??
So the chat of the covid, the best excuse in the world to discharge, continue like that, you are champions ????
This insurance except collecting, they can not do anything others.
It’s on they are from A to zero with us.</v>
      </c>
    </row>
    <row r="347" ht="15.75" customHeight="1">
      <c r="A347" s="2">
        <v>5.0</v>
      </c>
      <c r="B347" s="2" t="s">
        <v>1070</v>
      </c>
      <c r="C347" s="2" t="s">
        <v>1071</v>
      </c>
      <c r="D347" s="2" t="s">
        <v>31</v>
      </c>
      <c r="E347" s="2" t="s">
        <v>14</v>
      </c>
      <c r="F347" s="2" t="s">
        <v>15</v>
      </c>
      <c r="G347" s="2" t="s">
        <v>621</v>
      </c>
      <c r="H347" s="2" t="s">
        <v>23</v>
      </c>
      <c r="I347" s="2" t="str">
        <f>IFERROR(__xludf.DUMMYFUNCTION("GOOGLETRANSLATE(C347,""fr"",""en"")"),"Very good equillibre price/services, speed to obtain insurance, kindness of the advisor, I would have been their customer if I had not sold the car to leave France")</f>
        <v>Very good equillibre price/services, speed to obtain insurance, kindness of the advisor, I would have been their customer if I had not sold the car to leave France</v>
      </c>
    </row>
    <row r="348" ht="15.75" customHeight="1">
      <c r="A348" s="2">
        <v>5.0</v>
      </c>
      <c r="B348" s="2" t="s">
        <v>1072</v>
      </c>
      <c r="C348" s="2" t="s">
        <v>1073</v>
      </c>
      <c r="D348" s="2" t="s">
        <v>31</v>
      </c>
      <c r="E348" s="2" t="s">
        <v>14</v>
      </c>
      <c r="F348" s="2" t="s">
        <v>15</v>
      </c>
      <c r="G348" s="2" t="s">
        <v>106</v>
      </c>
      <c r="H348" s="2" t="s">
        <v>107</v>
      </c>
      <c r="I348" s="2" t="str">
        <f>IFERROR(__xludf.DUMMYFUNCTION("GOOGLETRANSLATE(C348,""fr"",""en"")"),"I am satisfied with the service. The prices are very good ... the advisers on the phone are very competent. And very pleasant. We can easily reach them.")</f>
        <v>I am satisfied with the service. The prices are very good ... the advisers on the phone are very competent. And very pleasant. We can easily reach them.</v>
      </c>
    </row>
    <row r="349" ht="15.75" customHeight="1">
      <c r="A349" s="2">
        <v>5.0</v>
      </c>
      <c r="B349" s="2" t="s">
        <v>1074</v>
      </c>
      <c r="C349" s="2" t="s">
        <v>1075</v>
      </c>
      <c r="D349" s="2" t="s">
        <v>222</v>
      </c>
      <c r="E349" s="2" t="s">
        <v>21</v>
      </c>
      <c r="F349" s="2" t="s">
        <v>15</v>
      </c>
      <c r="G349" s="2" t="s">
        <v>1076</v>
      </c>
      <c r="H349" s="2" t="s">
        <v>76</v>
      </c>
      <c r="I349" s="2" t="str">
        <f>IFERROR(__xludf.DUMMYFUNCTION("GOOGLETRANSLATE(C349,""fr"",""en"")"),"Angelique from Santiane answered with kindness and in a very professional manner to all my questions concerning my change of mutual.")</f>
        <v>Angelique from Santiane answered with kindness and in a very professional manner to all my questions concerning my change of mutual.</v>
      </c>
    </row>
    <row r="350" ht="15.75" customHeight="1">
      <c r="A350" s="2">
        <v>4.0</v>
      </c>
      <c r="B350" s="2" t="s">
        <v>1077</v>
      </c>
      <c r="C350" s="2" t="s">
        <v>1078</v>
      </c>
      <c r="D350" s="2" t="s">
        <v>13</v>
      </c>
      <c r="E350" s="2" t="s">
        <v>14</v>
      </c>
      <c r="F350" s="2" t="s">
        <v>15</v>
      </c>
      <c r="G350" s="2" t="s">
        <v>710</v>
      </c>
      <c r="H350" s="2" t="s">
        <v>50</v>
      </c>
      <c r="I350" s="2" t="str">
        <f>IFERROR(__xludf.DUMMYFUNCTION("GOOGLETRANSLATE(C350,""fr"",""en"")"),"Very well. I am very happy. I made a quote on the comparative sites and I was quickly directed to Direct Assurance. Very easy to use")</f>
        <v>Very well. I am very happy. I made a quote on the comparative sites and I was quickly directed to Direct Assurance. Very easy to use</v>
      </c>
    </row>
    <row r="351" ht="15.75" customHeight="1">
      <c r="A351" s="2">
        <v>4.0</v>
      </c>
      <c r="B351" s="2" t="s">
        <v>1079</v>
      </c>
      <c r="C351" s="2" t="s">
        <v>1080</v>
      </c>
      <c r="D351" s="2" t="s">
        <v>13</v>
      </c>
      <c r="E351" s="2" t="s">
        <v>14</v>
      </c>
      <c r="F351" s="2" t="s">
        <v>15</v>
      </c>
      <c r="G351" s="2" t="s">
        <v>1081</v>
      </c>
      <c r="H351" s="2" t="s">
        <v>60</v>
      </c>
      <c r="I351" s="2" t="str">
        <f>IFERROR(__xludf.DUMMYFUNCTION("GOOGLETRANSLATE(C351,""fr"",""en"")"),"Quick and simple quote to inform.
10min to obtain the insurance contract.
Very competitive rates compared to competition.
I will recommend my loved ones.")</f>
        <v>Quick and simple quote to inform.
10min to obtain the insurance contract.
Very competitive rates compared to competition.
I will recommend my loved ones.</v>
      </c>
    </row>
    <row r="352" ht="15.75" customHeight="1">
      <c r="A352" s="2">
        <v>3.0</v>
      </c>
      <c r="B352" s="2" t="s">
        <v>1082</v>
      </c>
      <c r="C352" s="2" t="s">
        <v>1083</v>
      </c>
      <c r="D352" s="2" t="s">
        <v>182</v>
      </c>
      <c r="E352" s="2" t="s">
        <v>14</v>
      </c>
      <c r="F352" s="2" t="s">
        <v>15</v>
      </c>
      <c r="G352" s="2" t="s">
        <v>1084</v>
      </c>
      <c r="H352" s="2" t="s">
        <v>509</v>
      </c>
      <c r="I352" s="2" t="str">
        <f>IFERROR(__xludf.DUMMYFUNCTION("GOOGLETRANSLATE(C352,""fr"",""en"")"),"I am a ""axa"" client.
Insured all risks for my recent vehicle; I suffered a voluntary degradation from a third party while my vehicle was parked. The AXA Assessor refused to take care of my repair for an amount of € 300.
I learn by radio that the forme"&amp;"r Prime Minister was paid by AXA (substantial sum). Do you judge?")</f>
        <v>I am a "axa" client.
Insured all risks for my recent vehicle; I suffered a voluntary degradation from a third party while my vehicle was parked. The AXA Assessor refused to take care of my repair for an amount of € 300.
I learn by radio that the former Prime Minister was paid by AXA (substantial sum). Do you judge?</v>
      </c>
    </row>
    <row r="353" ht="15.75" customHeight="1">
      <c r="A353" s="2">
        <v>5.0</v>
      </c>
      <c r="B353" s="2" t="s">
        <v>1085</v>
      </c>
      <c r="C353" s="2" t="s">
        <v>1086</v>
      </c>
      <c r="D353" s="2" t="s">
        <v>13</v>
      </c>
      <c r="E353" s="2" t="s">
        <v>14</v>
      </c>
      <c r="F353" s="2" t="s">
        <v>15</v>
      </c>
      <c r="G353" s="2" t="s">
        <v>428</v>
      </c>
      <c r="H353" s="2" t="s">
        <v>17</v>
      </c>
      <c r="I353" s="2" t="str">
        <f>IFERROR(__xludf.DUMMYFUNCTION("GOOGLETRANSLATE(C353,""fr"",""en"")"),"I am satisfied, with regard to the prices, and services you apply.
I am likely to recommend ""direct insurance"" to people who constitute my entourage.")</f>
        <v>I am satisfied, with regard to the prices, and services you apply.
I am likely to recommend "direct insurance" to people who constitute my entourage.</v>
      </c>
    </row>
    <row r="354" ht="15.75" customHeight="1">
      <c r="A354" s="2">
        <v>4.0</v>
      </c>
      <c r="B354" s="2" t="s">
        <v>1087</v>
      </c>
      <c r="C354" s="2" t="s">
        <v>1088</v>
      </c>
      <c r="D354" s="2" t="s">
        <v>74</v>
      </c>
      <c r="E354" s="2" t="s">
        <v>58</v>
      </c>
      <c r="F354" s="2" t="s">
        <v>15</v>
      </c>
      <c r="G354" s="2" t="s">
        <v>1089</v>
      </c>
      <c r="H354" s="2" t="s">
        <v>33</v>
      </c>
      <c r="I354" s="2" t="str">
        <f>IFERROR(__xludf.DUMMYFUNCTION("GOOGLETRANSLATE(C354,""fr"",""en"")"),"Very simple for registration; I hope that the service in the event of a problem will be the same Acabi. Impossible to judge for the moment. In terms of perfect price.")</f>
        <v>Very simple for registration; I hope that the service in the event of a problem will be the same Acabi. Impossible to judge for the moment. In terms of perfect price.</v>
      </c>
    </row>
    <row r="355" ht="15.75" customHeight="1">
      <c r="A355" s="2">
        <v>2.0</v>
      </c>
      <c r="B355" s="2" t="s">
        <v>1090</v>
      </c>
      <c r="C355" s="2" t="s">
        <v>1091</v>
      </c>
      <c r="D355" s="2" t="s">
        <v>182</v>
      </c>
      <c r="E355" s="2" t="s">
        <v>317</v>
      </c>
      <c r="F355" s="2" t="s">
        <v>15</v>
      </c>
      <c r="G355" s="2" t="s">
        <v>1092</v>
      </c>
      <c r="H355" s="2" t="s">
        <v>369</v>
      </c>
      <c r="I355" s="2" t="str">
        <f>IFERROR(__xludf.DUMMYFUNCTION("GOOGLETRANSLATE(C355,""fr"",""en"")"),"Contempt of customers, mail addressed on Jan 9 Relaunch with AR on March 1 still no answer, 3 customer service calls, also stimulates from my agents. Litige concerns 2 life insurance contracts offered to my children for Christmas, Order of 6 Dec 2017, fil"&amp;"es posted by AXA on 2 Jan.2018. Once the contracts signed It seems that the followers make fun of the monitoring. Age of 15 years I have life insurance contracts at the Séquanese taken from UAP, then AXA. I intend to have a lot of satisfaction at my reque"&amp;"st for compensation to have spoiled the beautiful gift of my children.")</f>
        <v>Contempt of customers, mail addressed on Jan 9 Relaunch with AR on March 1 still no answer, 3 customer service calls, also stimulates from my agents. Litige concerns 2 life insurance contracts offered to my children for Christmas, Order of 6 Dec 2017, files posted by AXA on 2 Jan.2018. Once the contracts signed It seems that the followers make fun of the monitoring. Age of 15 years I have life insurance contracts at the Séquanese taken from UAP, then AXA. I intend to have a lot of satisfaction at my request for compensation to have spoiled the beautiful gift of my children.</v>
      </c>
    </row>
    <row r="356" ht="15.75" customHeight="1">
      <c r="A356" s="2">
        <v>1.0</v>
      </c>
      <c r="B356" s="2" t="s">
        <v>1093</v>
      </c>
      <c r="C356" s="2" t="s">
        <v>1094</v>
      </c>
      <c r="D356" s="2" t="s">
        <v>102</v>
      </c>
      <c r="E356" s="2" t="s">
        <v>14</v>
      </c>
      <c r="F356" s="2" t="s">
        <v>15</v>
      </c>
      <c r="G356" s="2" t="s">
        <v>1095</v>
      </c>
      <c r="H356" s="2" t="s">
        <v>1096</v>
      </c>
      <c r="I356" s="2" t="str">
        <f>IFERROR(__xludf.DUMMYFUNCTION("GOOGLETRANSLATE(C356,""fr"",""en"")"),"The militant insurer, only wind.
In the event of a car accident, I naively thought I was a little better treated with the mayf. Error, Maifent behaves like any lambda insurer and lets you manage with the expert who obviously has only one mission: to drag"&amp;" and impose a lower sum.
My car was struck in the parking lot. I am therefore in no way responsible. The expert left me a laconic message indicating that he offered me a sum which corresponds to 1500 euros less than the coast and at the very low word to "&amp;"2500 less than the advertisements of equivalent cars. I dared to say very respectfully that the proposed sum seemed to me underestimated. Result: ""I will send you a letter, you will answer me by mail"" and the expert hangs up. Since then, I am waiting fo"&amp;"r the mail that does not happen. The only penalized is me.
I also naively thought that being able to talk about a visu to an advisor was a plus. Error, he does not know and does nothing if not call the same phone number as customers and pass the person o"&amp;"n the phone. So if you have a phone, the Maïf agency is useless to inflate your bill.
Maïf or another, the little game will therefore be to shelter behind the experts ... who work for all insurance.
")</f>
        <v>The militant insurer, only wind.
In the event of a car accident, I naively thought I was a little better treated with the mayf. Error, Maifent behaves like any lambda insurer and lets you manage with the expert who obviously has only one mission: to drag and impose a lower sum.
My car was struck in the parking lot. I am therefore in no way responsible. The expert left me a laconic message indicating that he offered me a sum which corresponds to 1500 euros less than the coast and at the very low word to 2500 less than the advertisements of equivalent cars. I dared to say very respectfully that the proposed sum seemed to me underestimated. Result: "I will send you a letter, you will answer me by mail" and the expert hangs up. Since then, I am waiting for the mail that does not happen. The only penalized is me.
I also naively thought that being able to talk about a visu to an advisor was a plus. Error, he does not know and does nothing if not call the same phone number as customers and pass the person on the phone. So if you have a phone, the Maïf agency is useless to inflate your bill.
Maïf or another, the little game will therefore be to shelter behind the experts ... who work for all insurance.
</v>
      </c>
    </row>
    <row r="357" ht="15.75" customHeight="1">
      <c r="A357" s="2">
        <v>1.0</v>
      </c>
      <c r="B357" s="2" t="s">
        <v>1097</v>
      </c>
      <c r="C357" s="2" t="s">
        <v>1098</v>
      </c>
      <c r="D357" s="2" t="s">
        <v>304</v>
      </c>
      <c r="E357" s="2" t="s">
        <v>58</v>
      </c>
      <c r="F357" s="2" t="s">
        <v>15</v>
      </c>
      <c r="G357" s="2" t="s">
        <v>777</v>
      </c>
      <c r="H357" s="2" t="s">
        <v>17</v>
      </c>
      <c r="I357" s="2" t="str">
        <f>IFERROR(__xludf.DUMMYFUNCTION("GOOGLETRANSLATE(C357,""fr"",""en"")"),"21 years old insured at the Mutuelle des Motards, since I was insured with them I gave them € 15,000 in contributions, I have never had any accident, the only time I called them I was broken down to the edge of The road and they refused to intervene becau"&amp;"se I was less than 50kms from my home.
The price never decreases, even if the machines are getting older and we have no accident .... and this year, as a reward I had a good surprise: 100 euros of increase (17%)! It must correspond to the fact that we ha"&amp;"ve a lot more rolling last year .... but you understand sir, they tell me, there have been a lot of bodily in 2020 .... such an increase, I don't know How I call it, especially since they are visibly doing it with all their members!
")</f>
        <v>21 years old insured at the Mutuelle des Motards, since I was insured with them I gave them € 15,000 in contributions, I have never had any accident, the only time I called them I was broken down to the edge of The road and they refused to intervene because I was less than 50kms from my home.
The price never decreases, even if the machines are getting older and we have no accident .... and this year, as a reward I had a good surprise: 100 euros of increase (17%)! It must correspond to the fact that we have a lot more rolling last year .... but you understand sir, they tell me, there have been a lot of bodily in 2020 .... such an increase, I don't know How I call it, especially since they are visibly doing it with all their members!
</v>
      </c>
    </row>
    <row r="358" ht="15.75" customHeight="1">
      <c r="A358" s="2">
        <v>4.0</v>
      </c>
      <c r="B358" s="2" t="s">
        <v>1099</v>
      </c>
      <c r="C358" s="2" t="s">
        <v>1100</v>
      </c>
      <c r="D358" s="2" t="s">
        <v>31</v>
      </c>
      <c r="E358" s="2" t="s">
        <v>14</v>
      </c>
      <c r="F358" s="2" t="s">
        <v>15</v>
      </c>
      <c r="G358" s="2" t="s">
        <v>505</v>
      </c>
      <c r="H358" s="2" t="s">
        <v>39</v>
      </c>
      <c r="I358" s="2" t="str">
        <f>IFERROR(__xludf.DUMMYFUNCTION("GOOGLETRANSLATE(C358,""fr"",""en"")"),"Satisfied with the service, professional and kind, to be seen in the future.
Regarding my old car contract, prices have all competition for the same services.")</f>
        <v>Satisfied with the service, professional and kind, to be seen in the future.
Regarding my old car contract, prices have all competition for the same services.</v>
      </c>
    </row>
    <row r="359" ht="15.75" customHeight="1">
      <c r="A359" s="2">
        <v>5.0</v>
      </c>
      <c r="B359" s="2" t="s">
        <v>1101</v>
      </c>
      <c r="C359" s="2" t="s">
        <v>1102</v>
      </c>
      <c r="D359" s="2" t="s">
        <v>74</v>
      </c>
      <c r="E359" s="2" t="s">
        <v>58</v>
      </c>
      <c r="F359" s="2" t="s">
        <v>15</v>
      </c>
      <c r="G359" s="2" t="s">
        <v>646</v>
      </c>
      <c r="H359" s="2" t="s">
        <v>33</v>
      </c>
      <c r="I359" s="2" t="str">
        <f>IFERROR(__xludf.DUMMYFUNCTION("GOOGLETRANSLATE(C359,""fr"",""en"")"),"Very happy 'quick to do' I am happy 'with 15 minute I am already insured, all without leaving the house, I won a time is Sunday")</f>
        <v>Very happy 'quick to do' I am happy 'with 15 minute I am already insured, all without leaving the house, I won a time is Sunday</v>
      </c>
    </row>
    <row r="360" ht="15.75" customHeight="1">
      <c r="A360" s="2">
        <v>5.0</v>
      </c>
      <c r="B360" s="2" t="s">
        <v>1103</v>
      </c>
      <c r="C360" s="2" t="s">
        <v>1104</v>
      </c>
      <c r="D360" s="2" t="s">
        <v>13</v>
      </c>
      <c r="E360" s="2" t="s">
        <v>14</v>
      </c>
      <c r="F360" s="2" t="s">
        <v>15</v>
      </c>
      <c r="G360" s="2" t="s">
        <v>1105</v>
      </c>
      <c r="H360" s="2" t="s">
        <v>17</v>
      </c>
      <c r="I360" s="2" t="str">
        <f>IFERROR(__xludf.DUMMYFUNCTION("GOOGLETRANSLATE(C360,""fr"",""en"")"),"I am satisfied with the welcome, the prices suit me. I will not fail to recommend in order to sponsor my entourage as soon as possible.
Good reception.
Cordially,")</f>
        <v>I am satisfied with the welcome, the prices suit me. I will not fail to recommend in order to sponsor my entourage as soon as possible.
Good reception.
Cordially,</v>
      </c>
    </row>
    <row r="361" ht="15.75" customHeight="1">
      <c r="A361" s="2">
        <v>5.0</v>
      </c>
      <c r="B361" s="2" t="s">
        <v>1106</v>
      </c>
      <c r="C361" s="2" t="s">
        <v>1107</v>
      </c>
      <c r="D361" s="2" t="s">
        <v>222</v>
      </c>
      <c r="E361" s="2" t="s">
        <v>21</v>
      </c>
      <c r="F361" s="2" t="s">
        <v>15</v>
      </c>
      <c r="G361" s="2" t="s">
        <v>1108</v>
      </c>
      <c r="H361" s="2" t="s">
        <v>138</v>
      </c>
      <c r="I361" s="2" t="str">
        <f>IFERROR(__xludf.DUMMYFUNCTION("GOOGLETRANSLATE(C361,""fr"",""en"")"),"Actres Réable very professional Bonus Fidelita BeneFicie de la Carte Blanche We assist me for termination and that we offer direct doctors and 2 reviews .fr")</f>
        <v>Actres Réable very professional Bonus Fidelita BeneFicie de la Carte Blanche We assist me for termination and that we offer direct doctors and 2 reviews .fr</v>
      </c>
    </row>
    <row r="362" ht="15.75" customHeight="1">
      <c r="A362" s="2">
        <v>5.0</v>
      </c>
      <c r="B362" s="2" t="s">
        <v>1109</v>
      </c>
      <c r="C362" s="2" t="s">
        <v>1110</v>
      </c>
      <c r="D362" s="2" t="s">
        <v>13</v>
      </c>
      <c r="E362" s="2" t="s">
        <v>14</v>
      </c>
      <c r="F362" s="2" t="s">
        <v>15</v>
      </c>
      <c r="G362" s="2" t="s">
        <v>1111</v>
      </c>
      <c r="H362" s="2" t="s">
        <v>60</v>
      </c>
      <c r="I362" s="2" t="str">
        <f>IFERROR(__xludf.DUMMYFUNCTION("GOOGLETRANSLATE(C362,""fr"",""en"")"),"Fast and simple, where I had doubts online cat (with a real person) was able to answer them. We will see the rest if the prices are really attractive")</f>
        <v>Fast and simple, where I had doubts online cat (with a real person) was able to answer them. We will see the rest if the prices are really attractive</v>
      </c>
    </row>
    <row r="363" ht="15.75" customHeight="1">
      <c r="A363" s="2">
        <v>1.0</v>
      </c>
      <c r="B363" s="2" t="s">
        <v>1112</v>
      </c>
      <c r="C363" s="2" t="s">
        <v>1113</v>
      </c>
      <c r="D363" s="2" t="s">
        <v>136</v>
      </c>
      <c r="E363" s="2" t="s">
        <v>14</v>
      </c>
      <c r="F363" s="2" t="s">
        <v>15</v>
      </c>
      <c r="G363" s="2" t="s">
        <v>878</v>
      </c>
      <c r="H363" s="2" t="s">
        <v>28</v>
      </c>
      <c r="I363" s="2" t="str">
        <f>IFERROR(__xludf.DUMMYFUNCTION("GOOGLETRANSLATE(C363,""fr"",""en"")"),"Where are we there at the local grocer? First of all to have customer service you have to be patient: every time I called, I waited for 10 minutes, at worst more than 20 minutes!
I terminated my car contract on December 02, 2019, I was nevertheless taken"&amp;" on December 07. After appeal, the advisor explains to me that it is ""normal"", the date of termination being too close to that of direct debit, that they have received my termination but as 3 weeks ago I will only be reimbursed At the end of December, w"&amp;"ell, or ...
Only January 6, not only am I not reimbursed but I am again debited! After an expectation of more than 11 minutes, the advisor confirms the reception of my termination, that a month ago ... and that I am not the only one! Chic then! And the s"&amp;"trongest is that I have just received a contract renewal letter!
It's just inadmissible!
We, if we do not pay contributions, it is 10 % of penalties or even the cancellation of the contract.")</f>
        <v>Where are we there at the local grocer? First of all to have customer service you have to be patient: every time I called, I waited for 10 minutes, at worst more than 20 minutes!
I terminated my car contract on December 02, 2019, I was nevertheless taken on December 07. After appeal, the advisor explains to me that it is "normal", the date of termination being too close to that of direct debit, that they have received my termination but as 3 weeks ago I will only be reimbursed At the end of December, well, or ...
Only January 6, not only am I not reimbursed but I am again debited! After an expectation of more than 11 minutes, the advisor confirms the reception of my termination, that a month ago ... and that I am not the only one! Chic then! And the strongest is that I have just received a contract renewal letter!
It's just inadmissible!
We, if we do not pay contributions, it is 10 % of penalties or even the cancellation of the contract.</v>
      </c>
    </row>
    <row r="364" ht="15.75" customHeight="1">
      <c r="A364" s="2">
        <v>2.0</v>
      </c>
      <c r="B364" s="2" t="s">
        <v>1114</v>
      </c>
      <c r="C364" s="2" t="s">
        <v>1115</v>
      </c>
      <c r="D364" s="2" t="s">
        <v>168</v>
      </c>
      <c r="E364" s="2" t="s">
        <v>14</v>
      </c>
      <c r="F364" s="2" t="s">
        <v>15</v>
      </c>
      <c r="G364" s="2" t="s">
        <v>1116</v>
      </c>
      <c r="H364" s="2" t="s">
        <v>138</v>
      </c>
      <c r="I364" s="2" t="str">
        <f>IFERROR(__xludf.DUMMYFUNCTION("GOOGLETRANSLATE(C364,""fr"",""en"")"),"I am extremely disappointed with the commercial practices of this insurer, especially when they are asked for help. To collect contributions there is never any problem, but to assume their role as insurer everything becomes very complicated")</f>
        <v>I am extremely disappointed with the commercial practices of this insurer, especially when they are asked for help. To collect contributions there is never any problem, but to assume their role as insurer everything becomes very complicated</v>
      </c>
    </row>
    <row r="365" ht="15.75" customHeight="1">
      <c r="A365" s="2">
        <v>4.0</v>
      </c>
      <c r="B365" s="2" t="s">
        <v>1117</v>
      </c>
      <c r="C365" s="2" t="s">
        <v>1118</v>
      </c>
      <c r="D365" s="2" t="s">
        <v>13</v>
      </c>
      <c r="E365" s="2" t="s">
        <v>14</v>
      </c>
      <c r="F365" s="2" t="s">
        <v>15</v>
      </c>
      <c r="G365" s="2" t="s">
        <v>1119</v>
      </c>
      <c r="H365" s="2" t="s">
        <v>17</v>
      </c>
      <c r="I365" s="2" t="str">
        <f>IFERROR(__xludf.DUMMYFUNCTION("GOOGLETRANSLATE(C365,""fr"",""en"")"),"I am satisfied with your services, very good price, fast search very fast and efficient. Good quality work I hope.")</f>
        <v>I am satisfied with your services, very good price, fast search very fast and efficient. Good quality work I hope.</v>
      </c>
    </row>
    <row r="366" ht="15.75" customHeight="1">
      <c r="A366" s="2">
        <v>4.0</v>
      </c>
      <c r="B366" s="2" t="s">
        <v>1120</v>
      </c>
      <c r="C366" s="2" t="s">
        <v>1121</v>
      </c>
      <c r="D366" s="2" t="s">
        <v>31</v>
      </c>
      <c r="E366" s="2" t="s">
        <v>14</v>
      </c>
      <c r="F366" s="2" t="s">
        <v>15</v>
      </c>
      <c r="G366" s="2" t="s">
        <v>39</v>
      </c>
      <c r="H366" s="2" t="s">
        <v>39</v>
      </c>
      <c r="I366" s="2" t="str">
        <f>IFERROR(__xludf.DUMMYFUNCTION("GOOGLETRANSLATE(C366,""fr"",""en"")"),"Online subscription efficiency. Simple, intuitive, efficient and clear. The navigation is easy and the electronic signature does not work. It is easy to be able to subscribe.")</f>
        <v>Online subscription efficiency. Simple, intuitive, efficient and clear. The navigation is easy and the electronic signature does not work. It is easy to be able to subscribe.</v>
      </c>
    </row>
    <row r="367" ht="15.75" customHeight="1">
      <c r="A367" s="2">
        <v>5.0</v>
      </c>
      <c r="B367" s="2" t="s">
        <v>1122</v>
      </c>
      <c r="C367" s="2" t="s">
        <v>1123</v>
      </c>
      <c r="D367" s="2" t="s">
        <v>13</v>
      </c>
      <c r="E367" s="2" t="s">
        <v>14</v>
      </c>
      <c r="F367" s="2" t="s">
        <v>15</v>
      </c>
      <c r="G367" s="2" t="s">
        <v>165</v>
      </c>
      <c r="H367" s="2" t="s">
        <v>17</v>
      </c>
      <c r="I367" s="2" t="str">
        <f>IFERROR(__xludf.DUMMYFUNCTION("GOOGLETRANSLATE(C367,""fr"",""en"")"),"I am satisfied quote service and your prices. I will also expect to see how your services will be reactive to my possible problems. I want to send you all my gratitude.")</f>
        <v>I am satisfied quote service and your prices. I will also expect to see how your services will be reactive to my possible problems. I want to send you all my gratitude.</v>
      </c>
    </row>
    <row r="368" ht="15.75" customHeight="1">
      <c r="A368" s="2">
        <v>2.0</v>
      </c>
      <c r="B368" s="2" t="s">
        <v>1124</v>
      </c>
      <c r="C368" s="2" t="s">
        <v>1125</v>
      </c>
      <c r="D368" s="2" t="s">
        <v>31</v>
      </c>
      <c r="E368" s="2" t="s">
        <v>14</v>
      </c>
      <c r="F368" s="2" t="s">
        <v>15</v>
      </c>
      <c r="G368" s="2" t="s">
        <v>1126</v>
      </c>
      <c r="H368" s="2" t="s">
        <v>609</v>
      </c>
      <c r="I368" s="2" t="str">
        <f>IFERROR(__xludf.DUMMYFUNCTION("GOOGLETRANSLATE(C368,""fr"",""en"")"),"Slow in care for the file for 15 days that I am waiting for a return following the sending of the registered parts. I don't have my insurance certificate and it's very serious.")</f>
        <v>Slow in care for the file for 15 days that I am waiting for a return following the sending of the registered parts. I don't have my insurance certificate and it's very serious.</v>
      </c>
    </row>
    <row r="369" ht="15.75" customHeight="1">
      <c r="A369" s="2">
        <v>2.0</v>
      </c>
      <c r="B369" s="2" t="s">
        <v>1127</v>
      </c>
      <c r="C369" s="2" t="s">
        <v>1128</v>
      </c>
      <c r="D369" s="2" t="s">
        <v>168</v>
      </c>
      <c r="E369" s="2" t="s">
        <v>14</v>
      </c>
      <c r="F369" s="2" t="s">
        <v>15</v>
      </c>
      <c r="G369" s="2" t="s">
        <v>1129</v>
      </c>
      <c r="H369" s="2" t="s">
        <v>249</v>
      </c>
      <c r="I369" s="2" t="str">
        <f>IFERROR(__xludf.DUMMYFUNCTION("GOOGLETRANSLATE(C369,""fr"",""en"")"),"After 30 years of loyalty + bonus for life, I had 2 responsible minor clashes. The last with a car whose rear was very damaged before this hanging. My car did not have a scratch (photos of the 2 vehicles in support). No expertise. The MAAF has chosen to p"&amp;"ay the whole rear shield of the opposing car and double my franchise. Seeing that I protested, they decided to terminate one of my 2 cars claiming that I had not returned the contract in time while my 2 cars were on the same contract and then taint my fil"&amp;"e with a unfortunate mention. Finally when I changed my car remaining insured at home, they refused to ensure the news.")</f>
        <v>After 30 years of loyalty + bonus for life, I had 2 responsible minor clashes. The last with a car whose rear was very damaged before this hanging. My car did not have a scratch (photos of the 2 vehicles in support). No expertise. The MAAF has chosen to pay the whole rear shield of the opposing car and double my franchise. Seeing that I protested, they decided to terminate one of my 2 cars claiming that I had not returned the contract in time while my 2 cars were on the same contract and then taint my file with a unfortunate mention. Finally when I changed my car remaining insured at home, they refused to ensure the news.</v>
      </c>
    </row>
    <row r="370" ht="15.75" customHeight="1">
      <c r="A370" s="2">
        <v>3.0</v>
      </c>
      <c r="B370" s="2" t="s">
        <v>1130</v>
      </c>
      <c r="C370" s="2" t="s">
        <v>1131</v>
      </c>
      <c r="D370" s="2" t="s">
        <v>182</v>
      </c>
      <c r="E370" s="2" t="s">
        <v>103</v>
      </c>
      <c r="F370" s="2" t="s">
        <v>15</v>
      </c>
      <c r="G370" s="2" t="s">
        <v>1132</v>
      </c>
      <c r="H370" s="2" t="s">
        <v>249</v>
      </c>
      <c r="I370" s="2" t="str">
        <f>IFERROR(__xludf.DUMMYFUNCTION("GOOGLETRANSLATE(C370,""fr"",""en"")"),"Hello, following a district of waters and climate events, cheneau problem on an old house.
Correct roofing quote, of course downward review by an ""expert"" behind a computer.
So passage from an ""expert"" for evaluation.
The Ceheau being an outside ro"&amp;"om at the roof. This ""expert"" arrives without scale he stayed in my kitchen to make his report which I pass you with, for him not climate dedication, after having shown him the weather card he admits. is correct.
After his passage no intervention by Ax"&amp;"a. I relaunch many times (relocated cell in Morocco) Response time in accordance with distance ...
The cheneau could have been repaired in summer but with this responsiveness it will be much later ..; For compensation like the same, you must not be in a "&amp;"hurry ...")</f>
        <v>Hello, following a district of waters and climate events, cheneau problem on an old house.
Correct roofing quote, of course downward review by an "expert" behind a computer.
So passage from an "expert" for evaluation.
The Ceheau being an outside room at the roof. This "expert" arrives without scale he stayed in my kitchen to make his report which I pass you with, for him not climate dedication, after having shown him the weather card he admits. is correct.
After his passage no intervention by Axa. I relaunch many times (relocated cell in Morocco) Response time in accordance with distance ...
The cheneau could have been repaired in summer but with this responsiveness it will be much later ..; For compensation like the same, you must not be in a hurry ...</v>
      </c>
    </row>
    <row r="371" ht="15.75" customHeight="1">
      <c r="A371" s="2">
        <v>5.0</v>
      </c>
      <c r="B371" s="2" t="s">
        <v>1133</v>
      </c>
      <c r="C371" s="2" t="s">
        <v>1134</v>
      </c>
      <c r="D371" s="2" t="s">
        <v>74</v>
      </c>
      <c r="E371" s="2" t="s">
        <v>58</v>
      </c>
      <c r="F371" s="2" t="s">
        <v>15</v>
      </c>
      <c r="G371" s="2" t="s">
        <v>259</v>
      </c>
      <c r="H371" s="2" t="s">
        <v>54</v>
      </c>
      <c r="I371" s="2" t="str">
        <f>IFERROR(__xludf.DUMMYFUNCTION("GOOGLETRANSLATE(C371,""fr"",""en"")"),"Satisfied.
Interesting rates.
Cover corresponding to my expectations.
Satisfied
Cover corresponding to my expectations.
Satisfied.
Cover corresponding to my expectations.")</f>
        <v>Satisfied.
Interesting rates.
Cover corresponding to my expectations.
Satisfied
Cover corresponding to my expectations.
Satisfied.
Cover corresponding to my expectations.</v>
      </c>
    </row>
    <row r="372" ht="15.75" customHeight="1">
      <c r="A372" s="2">
        <v>1.0</v>
      </c>
      <c r="B372" s="2" t="s">
        <v>1135</v>
      </c>
      <c r="C372" s="2" t="s">
        <v>1136</v>
      </c>
      <c r="D372" s="2" t="s">
        <v>102</v>
      </c>
      <c r="E372" s="2" t="s">
        <v>14</v>
      </c>
      <c r="F372" s="2" t="s">
        <v>15</v>
      </c>
      <c r="G372" s="2" t="s">
        <v>1137</v>
      </c>
      <c r="H372" s="2" t="s">
        <v>295</v>
      </c>
      <c r="I372" s="2" t="str">
        <f>IFERROR(__xludf.DUMMYFUNCTION("GOOGLETRANSLATE(C372,""fr"",""en"")"),"1 responsible accident for 3 1/2 years! (In Nov 2015) and 49.7 % increase for 2017!
Unacceptable!
And explanations that are not!
So expect the worst in the event of a claim!
I still found 3 insurers cheaper than the MAIF ........ in 2016.
For 2017, M"&amp;"aif 53.5 % more expensive than my future new insurer!
They will therefore do without the assurance of my 2 cars!
Think twice before getting involved with Maif!
")</f>
        <v>1 responsible accident for 3 1/2 years! (In Nov 2015) and 49.7 % increase for 2017!
Unacceptable!
And explanations that are not!
So expect the worst in the event of a claim!
I still found 3 insurers cheaper than the MAIF ........ in 2016.
For 2017, Maif 53.5 % more expensive than my future new insurer!
They will therefore do without the assurance of my 2 cars!
Think twice before getting involved with Maif!
</v>
      </c>
    </row>
    <row r="373" ht="15.75" customHeight="1">
      <c r="A373" s="2">
        <v>5.0</v>
      </c>
      <c r="B373" s="2" t="s">
        <v>1138</v>
      </c>
      <c r="C373" s="2" t="s">
        <v>1139</v>
      </c>
      <c r="D373" s="2" t="s">
        <v>31</v>
      </c>
      <c r="E373" s="2" t="s">
        <v>14</v>
      </c>
      <c r="F373" s="2" t="s">
        <v>15</v>
      </c>
      <c r="G373" s="2" t="s">
        <v>33</v>
      </c>
      <c r="H373" s="2" t="s">
        <v>33</v>
      </c>
      <c r="I373" s="2" t="str">
        <f>IFERROR(__xludf.DUMMYFUNCTION("GOOGLETRANSLATE(C373,""fr"",""en"")"),"Suitable price for the start of the contract, to be seen later.
Listening and responsive customer service for interesting proposals on contracts as a newcomer to the Olivier
")</f>
        <v>Suitable price for the start of the contract, to be seen later.
Listening and responsive customer service for interesting proposals on contracts as a newcomer to the Olivier
</v>
      </c>
    </row>
    <row r="374" ht="15.75" customHeight="1">
      <c r="A374" s="2">
        <v>1.0</v>
      </c>
      <c r="B374" s="2" t="s">
        <v>1140</v>
      </c>
      <c r="C374" s="2" t="s">
        <v>1141</v>
      </c>
      <c r="D374" s="2" t="s">
        <v>496</v>
      </c>
      <c r="E374" s="2" t="s">
        <v>21</v>
      </c>
      <c r="F374" s="2" t="s">
        <v>15</v>
      </c>
      <c r="G374" s="2" t="s">
        <v>1142</v>
      </c>
      <c r="H374" s="2" t="s">
        <v>28</v>
      </c>
      <c r="I374" s="2" t="str">
        <f>IFERROR(__xludf.DUMMYFUNCTION("GOOGLETRANSLATE(C374,""fr"",""en"")"),"Deplorable service !! I made 3 requests to reimburse because my file was closed 3 times without giving the reasons and without reimbursement of my fees for exceeding the fee which I specified were reimbursed on a first invoice 6 months before
They are fi"&amp;"nally reachable at the phone advises her tells me that indeed she does not understand why and that she will take care of it! (miracle)
And not 3 weeks after still nothing.
I redo my refund request (4th) via my space and in addition I send an email.
And"&amp;" I am told that there is no date on the invoice !!! (totally must)
I recall once again but this time they do not have access to my file because their beug software! I have to recall.
Same invoice 6 months apart for orthodontics")</f>
        <v>Deplorable service !! I made 3 requests to reimburse because my file was closed 3 times without giving the reasons and without reimbursement of my fees for exceeding the fee which I specified were reimbursed on a first invoice 6 months before
They are finally reachable at the phone advises her tells me that indeed she does not understand why and that she will take care of it! (miracle)
And not 3 weeks after still nothing.
I redo my refund request (4th) via my space and in addition I send an email.
And I am told that there is no date on the invoice !!! (totally must)
I recall once again but this time they do not have access to my file because their beug software! I have to recall.
Same invoice 6 months apart for orthodontics</v>
      </c>
    </row>
    <row r="375" ht="15.75" customHeight="1">
      <c r="A375" s="2">
        <v>5.0</v>
      </c>
      <c r="B375" s="2" t="s">
        <v>1143</v>
      </c>
      <c r="C375" s="2" t="s">
        <v>1144</v>
      </c>
      <c r="D375" s="2" t="s">
        <v>31</v>
      </c>
      <c r="E375" s="2" t="s">
        <v>14</v>
      </c>
      <c r="F375" s="2" t="s">
        <v>15</v>
      </c>
      <c r="G375" s="2" t="s">
        <v>148</v>
      </c>
      <c r="H375" s="2" t="s">
        <v>107</v>
      </c>
      <c r="I375" s="2" t="str">
        <f>IFERROR(__xludf.DUMMYFUNCTION("GOOGLETRANSLATE(C375,""fr"",""en"")"),"Super satisfied even very precise and serious customer service I recommend it to all my friends as well as to family thank you for your professionalism")</f>
        <v>Super satisfied even very precise and serious customer service I recommend it to all my friends as well as to family thank you for your professionalism</v>
      </c>
    </row>
    <row r="376" ht="15.75" customHeight="1">
      <c r="A376" s="2">
        <v>5.0</v>
      </c>
      <c r="B376" s="2" t="s">
        <v>1145</v>
      </c>
      <c r="C376" s="2" t="s">
        <v>1146</v>
      </c>
      <c r="D376" s="2" t="s">
        <v>31</v>
      </c>
      <c r="E376" s="2" t="s">
        <v>14</v>
      </c>
      <c r="F376" s="2" t="s">
        <v>15</v>
      </c>
      <c r="G376" s="2" t="s">
        <v>1147</v>
      </c>
      <c r="H376" s="2" t="s">
        <v>549</v>
      </c>
      <c r="I376" s="2" t="str">
        <f>IFERROR(__xludf.DUMMYFUNCTION("GOOGLETRANSLATE(C376,""fr"",""en"")"),"Listening advisor to customers, speed of sending documents, very attractive price")</f>
        <v>Listening advisor to customers, speed of sending documents, very attractive price</v>
      </c>
    </row>
    <row r="377" ht="15.75" customHeight="1">
      <c r="A377" s="2">
        <v>3.0</v>
      </c>
      <c r="B377" s="2" t="s">
        <v>1148</v>
      </c>
      <c r="C377" s="2" t="s">
        <v>1149</v>
      </c>
      <c r="D377" s="2" t="s">
        <v>117</v>
      </c>
      <c r="E377" s="2" t="s">
        <v>14</v>
      </c>
      <c r="F377" s="2" t="s">
        <v>15</v>
      </c>
      <c r="G377" s="2" t="s">
        <v>1150</v>
      </c>
      <c r="H377" s="2" t="s">
        <v>39</v>
      </c>
      <c r="I377" s="2" t="str">
        <f>IFERROR(__xludf.DUMMYFUNCTION("GOOGLETRANSLATE(C377,""fr"",""en"")"),"Over time a small price drop. I think it would be interested in taking into account the past years and deducting a discount on the insurance rate;")</f>
        <v>Over time a small price drop. I think it would be interested in taking into account the past years and deducting a discount on the insurance rate;</v>
      </c>
    </row>
    <row r="378" ht="15.75" customHeight="1">
      <c r="A378" s="2">
        <v>1.0</v>
      </c>
      <c r="B378" s="2" t="s">
        <v>1151</v>
      </c>
      <c r="C378" s="2" t="s">
        <v>1152</v>
      </c>
      <c r="D378" s="2" t="s">
        <v>79</v>
      </c>
      <c r="E378" s="2" t="s">
        <v>21</v>
      </c>
      <c r="F378" s="2" t="s">
        <v>15</v>
      </c>
      <c r="G378" s="2" t="s">
        <v>1153</v>
      </c>
      <c r="H378" s="2" t="s">
        <v>1154</v>
      </c>
      <c r="I378" s="2" t="str">
        <f>IFERROR(__xludf.DUMMYFUNCTION("GOOGLETRANSLATE(C378,""fr"",""en"")"),"To flee. Customer service incompetent a total contempt for the insured. Interminable expectations on the phone, weeks of waiting for the slightest reimbursement. To avoid absolutely. The customer is not considered in this company and the managers are unre"&amp;"achable. Disastrous experience, go see elsewhere.")</f>
        <v>To flee. Customer service incompetent a total contempt for the insured. Interminable expectations on the phone, weeks of waiting for the slightest reimbursement. To avoid absolutely. The customer is not considered in this company and the managers are unreachable. Disastrous experience, go see elsewhere.</v>
      </c>
    </row>
    <row r="379" ht="15.75" customHeight="1">
      <c r="A379" s="2">
        <v>5.0</v>
      </c>
      <c r="B379" s="2" t="s">
        <v>1155</v>
      </c>
      <c r="C379" s="2" t="s">
        <v>1156</v>
      </c>
      <c r="D379" s="2" t="s">
        <v>13</v>
      </c>
      <c r="E379" s="2" t="s">
        <v>14</v>
      </c>
      <c r="F379" s="2" t="s">
        <v>15</v>
      </c>
      <c r="G379" s="2" t="s">
        <v>63</v>
      </c>
      <c r="H379" s="2" t="s">
        <v>50</v>
      </c>
      <c r="I379" s="2" t="str">
        <f>IFERROR(__xludf.DUMMYFUNCTION("GOOGLETRANSLATE(C379,""fr"",""en"")"),"Efficiency and simplicity to subscribe.
Attractive rates and professional contact.
Quality of the platform platform.
Hoping that this 1st favorable experience will continue.")</f>
        <v>Efficiency and simplicity to subscribe.
Attractive rates and professional contact.
Quality of the platform platform.
Hoping that this 1st favorable experience will continue.</v>
      </c>
    </row>
    <row r="380" ht="15.75" customHeight="1">
      <c r="A380" s="2">
        <v>2.0</v>
      </c>
      <c r="B380" s="2" t="s">
        <v>1157</v>
      </c>
      <c r="C380" s="2" t="s">
        <v>1158</v>
      </c>
      <c r="D380" s="2" t="s">
        <v>293</v>
      </c>
      <c r="E380" s="2" t="s">
        <v>14</v>
      </c>
      <c r="F380" s="2" t="s">
        <v>15</v>
      </c>
      <c r="G380" s="2" t="s">
        <v>1159</v>
      </c>
      <c r="H380" s="2" t="s">
        <v>386</v>
      </c>
      <c r="I380" s="2" t="str">
        <f>IFERROR(__xludf.DUMMYFUNCTION("GOOGLETRANSLATE(C380,""fr"",""en"")"),"The insurer never responds to emails, except at the time of subscription of the contract. The access to my online customer account has been blocked for weeks, and given the non -response to my emails requiring unlocking, I am in the 'Impossibility of cons"&amp;"ulting my online contract and all that concerns him. We have just addressed me the renewal of my contract that I have to sign online, so I do how !!!")</f>
        <v>The insurer never responds to emails, except at the time of subscription of the contract. The access to my online customer account has been blocked for weeks, and given the non -response to my emails requiring unlocking, I am in the 'Impossibility of consulting my online contract and all that concerns him. We have just addressed me the renewal of my contract that I have to sign online, so I do how !!!</v>
      </c>
    </row>
    <row r="381" ht="15.75" customHeight="1">
      <c r="A381" s="2">
        <v>2.0</v>
      </c>
      <c r="B381" s="2" t="s">
        <v>1160</v>
      </c>
      <c r="C381" s="2" t="s">
        <v>1161</v>
      </c>
      <c r="D381" s="2" t="s">
        <v>79</v>
      </c>
      <c r="E381" s="2" t="s">
        <v>21</v>
      </c>
      <c r="F381" s="2" t="s">
        <v>15</v>
      </c>
      <c r="G381" s="2" t="s">
        <v>1162</v>
      </c>
      <c r="H381" s="2" t="s">
        <v>130</v>
      </c>
      <c r="I381" s="2" t="str">
        <f>IFERROR(__xludf.DUMMYFUNCTION("GOOGLETRANSLATE(C381,""fr"",""en"")"),"Everything was fine until today or I receive an email informing me of my schedule for the year 2021 and the ............. surprise, while what I paid In 2020 to generation is much higher than what they reimbursed, the amount of my monthly payment increase"&amp;"s by 38 % !!!!!!!!!!!!!!!!! Is it normal ??? Do they have the right to do this ?????")</f>
        <v>Everything was fine until today or I receive an email informing me of my schedule for the year 2021 and the ............. surprise, while what I paid In 2020 to generation is much higher than what they reimbursed, the amount of my monthly payment increases by 38 % !!!!!!!!!!!!!!!!! Is it normal ??? Do they have the right to do this ?????</v>
      </c>
    </row>
    <row r="382" ht="15.75" customHeight="1">
      <c r="A382" s="2">
        <v>2.0</v>
      </c>
      <c r="B382" s="2" t="s">
        <v>1163</v>
      </c>
      <c r="C382" s="2" t="s">
        <v>1164</v>
      </c>
      <c r="D382" s="2" t="s">
        <v>168</v>
      </c>
      <c r="E382" s="2" t="s">
        <v>14</v>
      </c>
      <c r="F382" s="2" t="s">
        <v>15</v>
      </c>
      <c r="G382" s="2" t="s">
        <v>1165</v>
      </c>
      <c r="H382" s="2" t="s">
        <v>249</v>
      </c>
      <c r="I382" s="2" t="str">
        <f>IFERROR(__xludf.DUMMYFUNCTION("GOOGLETRANSLATE(C382,""fr"",""en"")"),"The insured also explode")</f>
        <v>The insured also explode</v>
      </c>
    </row>
    <row r="383" ht="15.75" customHeight="1">
      <c r="A383" s="2">
        <v>5.0</v>
      </c>
      <c r="B383" s="2" t="s">
        <v>1166</v>
      </c>
      <c r="C383" s="2" t="s">
        <v>1167</v>
      </c>
      <c r="D383" s="2" t="s">
        <v>57</v>
      </c>
      <c r="E383" s="2" t="s">
        <v>58</v>
      </c>
      <c r="F383" s="2" t="s">
        <v>15</v>
      </c>
      <c r="G383" s="2" t="s">
        <v>716</v>
      </c>
      <c r="H383" s="2" t="s">
        <v>50</v>
      </c>
      <c r="I383" s="2" t="str">
        <f>IFERROR(__xludf.DUMMYFUNCTION("GOOGLETRANSLATE(C383,""fr"",""en"")"),"Fast, I recommend for any vehicle purchase to be provided during the day, search for a simple model and simplified procedures I recommend to everyone")</f>
        <v>Fast, I recommend for any vehicle purchase to be provided during the day, search for a simple model and simplified procedures I recommend to everyone</v>
      </c>
    </row>
    <row r="384" ht="15.75" customHeight="1">
      <c r="A384" s="2">
        <v>4.0</v>
      </c>
      <c r="B384" s="2" t="s">
        <v>1168</v>
      </c>
      <c r="C384" s="2" t="s">
        <v>1169</v>
      </c>
      <c r="D384" s="2" t="s">
        <v>31</v>
      </c>
      <c r="E384" s="2" t="s">
        <v>14</v>
      </c>
      <c r="F384" s="2" t="s">
        <v>15</v>
      </c>
      <c r="G384" s="2" t="s">
        <v>855</v>
      </c>
      <c r="H384" s="2" t="s">
        <v>677</v>
      </c>
      <c r="I384" s="2" t="str">
        <f>IFERROR(__xludf.DUMMYFUNCTION("GOOGLETRANSLATE(C384,""fr"",""en"")"),"Had Coralie on the phone for a quote, clear, precise and very kind, had asked to be recalled following the quote at 5 p.m. and did it to the minute")</f>
        <v>Had Coralie on the phone for a quote, clear, precise and very kind, had asked to be recalled following the quote at 5 p.m. and did it to the minute</v>
      </c>
    </row>
    <row r="385" ht="15.75" customHeight="1">
      <c r="A385" s="2">
        <v>2.0</v>
      </c>
      <c r="B385" s="2" t="s">
        <v>1170</v>
      </c>
      <c r="C385" s="2" t="s">
        <v>1171</v>
      </c>
      <c r="D385" s="2" t="s">
        <v>117</v>
      </c>
      <c r="E385" s="2" t="s">
        <v>14</v>
      </c>
      <c r="F385" s="2" t="s">
        <v>15</v>
      </c>
      <c r="G385" s="2" t="s">
        <v>1172</v>
      </c>
      <c r="H385" s="2" t="s">
        <v>107</v>
      </c>
      <c r="I385" s="2" t="str">
        <f>IFERROR(__xludf.DUMMYFUNCTION("GOOGLETRANSLATE(C385,""fr"",""en"")"),"I have been a customer for thirty years
The customer relationship deteriorates .... there is no longer the mutualist side but a transfer window that leaves you on the side at the slightest pb
that's a shame,")</f>
        <v>I have been a customer for thirty years
The customer relationship deteriorates .... there is no longer the mutualist side but a transfer window that leaves you on the side at the slightest pb
that's a shame,</v>
      </c>
    </row>
    <row r="386" ht="15.75" customHeight="1">
      <c r="A386" s="2">
        <v>2.0</v>
      </c>
      <c r="B386" s="2" t="s">
        <v>1173</v>
      </c>
      <c r="C386" s="2" t="s">
        <v>1174</v>
      </c>
      <c r="D386" s="2" t="s">
        <v>157</v>
      </c>
      <c r="E386" s="2" t="s">
        <v>21</v>
      </c>
      <c r="F386" s="2" t="s">
        <v>15</v>
      </c>
      <c r="G386" s="2" t="s">
        <v>1175</v>
      </c>
      <c r="H386" s="2" t="s">
        <v>33</v>
      </c>
      <c r="I386" s="2" t="str">
        <f>IFERROR(__xludf.DUMMYFUNCTION("GOOGLETRANSLATE(C386,""fr"",""en"")"),"A mutual that I absolutely not recommend. Unable to respond to requests, lost files, a lot of time on the phone, never the same people. With never the same speech, 2 months waiting for a request for care for a bezel frame .. a shame !! And I still have no"&amp;" answer since you always have to add documents each time, while the file has been sent entirely.
So ok there was a good refund but the rest is 0")</f>
        <v>A mutual that I absolutely not recommend. Unable to respond to requests, lost files, a lot of time on the phone, never the same people. With never the same speech, 2 months waiting for a request for care for a bezel frame .. a shame !! And I still have no answer since you always have to add documents each time, while the file has been sent entirely.
So ok there was a good refund but the rest is 0</v>
      </c>
    </row>
    <row r="387" ht="15.75" customHeight="1">
      <c r="A387" s="2">
        <v>1.0</v>
      </c>
      <c r="B387" s="2" t="s">
        <v>1176</v>
      </c>
      <c r="C387" s="2" t="s">
        <v>1177</v>
      </c>
      <c r="D387" s="2" t="s">
        <v>160</v>
      </c>
      <c r="E387" s="2" t="s">
        <v>462</v>
      </c>
      <c r="F387" s="2" t="s">
        <v>15</v>
      </c>
      <c r="G387" s="2" t="s">
        <v>1178</v>
      </c>
      <c r="H387" s="2" t="s">
        <v>632</v>
      </c>
      <c r="I387" s="2" t="str">
        <f>IFERROR(__xludf.DUMMYFUNCTION("GOOGLETRANSLATE(C387,""fr"",""en"")"),"AG2R informs us of a refusal of death. Indeed we sent all the documents necessary to obtain this due for the portability of the provident rights of our dad who died at the beginning of the year (pay slips, Pôle Emploi treatment, etc.). It would seem that "&amp;"AG2R does not take into account the elements sent. AG2R prefers to send a type without processing the file seriously. AG2R does not comply with its contractual obligations. We made a complaint to gain their case.")</f>
        <v>AG2R informs us of a refusal of death. Indeed we sent all the documents necessary to obtain this due for the portability of the provident rights of our dad who died at the beginning of the year (pay slips, Pôle Emploi treatment, etc.). It would seem that AG2R does not take into account the elements sent. AG2R prefers to send a type without processing the file seriously. AG2R does not comply with its contractual obligations. We made a complaint to gain their case.</v>
      </c>
    </row>
    <row r="388" ht="15.75" customHeight="1">
      <c r="A388" s="2">
        <v>3.0</v>
      </c>
      <c r="B388" s="2" t="s">
        <v>1179</v>
      </c>
      <c r="C388" s="2" t="s">
        <v>1180</v>
      </c>
      <c r="D388" s="2" t="s">
        <v>496</v>
      </c>
      <c r="E388" s="2" t="s">
        <v>21</v>
      </c>
      <c r="F388" s="2" t="s">
        <v>15</v>
      </c>
      <c r="G388" s="2" t="s">
        <v>1181</v>
      </c>
      <c r="H388" s="2" t="s">
        <v>549</v>
      </c>
      <c r="I388" s="2" t="str">
        <f>IFERROR(__xludf.DUMMYFUNCTION("GOOGLETRANSLATE(C388,""fr"",""en"")"),"Too expensive too much too expensive 7 euros increase for 2020 !!! I change mutual. It makes a change of mutual insurance company almost every year !!! And such an increase for a retiree and well it is too much")</f>
        <v>Too expensive too much too expensive 7 euros increase for 2020 !!! I change mutual. It makes a change of mutual insurance company almost every year !!! And such an increase for a retiree and well it is too much</v>
      </c>
    </row>
    <row r="389" ht="15.75" customHeight="1">
      <c r="A389" s="2">
        <v>2.0</v>
      </c>
      <c r="B389" s="2" t="s">
        <v>1182</v>
      </c>
      <c r="C389" s="2" t="s">
        <v>1183</v>
      </c>
      <c r="D389" s="2" t="s">
        <v>222</v>
      </c>
      <c r="E389" s="2" t="s">
        <v>21</v>
      </c>
      <c r="F389" s="2" t="s">
        <v>15</v>
      </c>
      <c r="G389" s="2" t="s">
        <v>1184</v>
      </c>
      <c r="H389" s="2" t="s">
        <v>107</v>
      </c>
      <c r="I389" s="2" t="str">
        <f>IFERROR(__xludf.DUMMYFUNCTION("GOOGLETRANSLATE(C389,""fr"",""en"")"),"I detail all aspects that may interest a surfer looking for insurance:
Availability of customer advisers
insurance price
quality of the intervention in the event of a claim
Amount of reimbursements in the event of a claim
My personal return:
The c"&amp;"ontact I had with the advisor to be able to set up the health contract went very well. Friendly and professional welcome.
Once you have signed the contract I received emails to be able to create my space but it did not work. I have called customer servic"&amp;"e to be able to solve the technical problem. No continuation ... I therefore decided to retract and cancel my membership with Sentiah. I went to see another broker. But even to retract is complicated, no confirmation on their part. So I paid a letter by r"&amp;"egistered mail to cover myself legally. I do not recommend Sentia")</f>
        <v>I detail all aspects that may interest a surfer looking for insurance:
Availability of customer advisers
insurance price
quality of the intervention in the event of a claim
Amount of reimbursements in the event of a claim
My personal return:
The contact I had with the advisor to be able to set up the health contract went very well. Friendly and professional welcome.
Once you have signed the contract I received emails to be able to create my space but it did not work. I have called customer service to be able to solve the technical problem. No continuation ... I therefore decided to retract and cancel my membership with Sentiah. I went to see another broker. But even to retract is complicated, no confirmation on their part. So I paid a letter by registered mail to cover myself legally. I do not recommend Sentia</v>
      </c>
    </row>
    <row r="390" ht="15.75" customHeight="1">
      <c r="A390" s="2">
        <v>5.0</v>
      </c>
      <c r="B390" s="2" t="s">
        <v>1185</v>
      </c>
      <c r="C390" s="2" t="s">
        <v>1186</v>
      </c>
      <c r="D390" s="2" t="s">
        <v>31</v>
      </c>
      <c r="E390" s="2" t="s">
        <v>14</v>
      </c>
      <c r="F390" s="2" t="s">
        <v>15</v>
      </c>
      <c r="G390" s="2" t="s">
        <v>1187</v>
      </c>
      <c r="H390" s="2" t="s">
        <v>33</v>
      </c>
      <c r="I390" s="2" t="str">
        <f>IFERROR(__xludf.DUMMYFUNCTION("GOOGLETRANSLATE(C390,""fr"",""en"")"),"Good price, simple and practical.
I am satisfied with the service and the prices ... For the moment, I hope to stay with the Olivier Insurance a few years. The telephone call went well, my interlocutor seemed to be very clear, however the price offered o"&amp;"nline was significantly different from that calculated on your site.")</f>
        <v>Good price, simple and practical.
I am satisfied with the service and the prices ... For the moment, I hope to stay with the Olivier Insurance a few years. The telephone call went well, my interlocutor seemed to be very clear, however the price offered online was significantly different from that calculated on your site.</v>
      </c>
    </row>
    <row r="391" ht="15.75" customHeight="1">
      <c r="A391" s="2">
        <v>2.0</v>
      </c>
      <c r="B391" s="2" t="s">
        <v>1188</v>
      </c>
      <c r="C391" s="2" t="s">
        <v>1189</v>
      </c>
      <c r="D391" s="2" t="s">
        <v>293</v>
      </c>
      <c r="E391" s="2" t="s">
        <v>14</v>
      </c>
      <c r="F391" s="2" t="s">
        <v>15</v>
      </c>
      <c r="G391" s="2" t="s">
        <v>922</v>
      </c>
      <c r="H391" s="2" t="s">
        <v>170</v>
      </c>
      <c r="I391" s="2" t="str">
        <f>IFERROR(__xludf.DUMMYFUNCTION("GOOGLETRANSLATE(C391,""fr"",""en"")"),"This company makes fun of its customers. A single thing interests them, and deploy to do this a lot of baratin and energy, to sign the prospect. Afterwards, vogue the galley. Not having received, or lost my identifiers, I claimed them by email. Not even a"&amp;"n answer ..... it is also true that call 80 cts per minute, c (is really ""here the right soup"" ..........")</f>
        <v>This company makes fun of its customers. A single thing interests them, and deploy to do this a lot of baratin and energy, to sign the prospect. Afterwards, vogue the galley. Not having received, or lost my identifiers, I claimed them by email. Not even an answer ..... it is also true that call 80 cts per minute, c (is really "here the right soup" ..........</v>
      </c>
    </row>
    <row r="392" ht="15.75" customHeight="1">
      <c r="A392" s="2">
        <v>1.0</v>
      </c>
      <c r="B392" s="2" t="s">
        <v>1190</v>
      </c>
      <c r="C392" s="2" t="s">
        <v>1191</v>
      </c>
      <c r="D392" s="2" t="s">
        <v>256</v>
      </c>
      <c r="E392" s="2" t="s">
        <v>14</v>
      </c>
      <c r="F392" s="2" t="s">
        <v>15</v>
      </c>
      <c r="G392" s="2" t="s">
        <v>1192</v>
      </c>
      <c r="H392" s="2" t="s">
        <v>509</v>
      </c>
      <c r="I392" s="2" t="str">
        <f>IFERROR(__xludf.DUMMYFUNCTION("GOOGLETRANSLATE(C392,""fr"",""en"")"),"Eallanz = insurance to flee;
I have always favored large insurance groups even if I allowed to pay more, even much more expensive as at Eallainz because naively I thought that in the end I thought that I was going to find myself there in case of concerns"&amp;".
And well think again, this is not the case with Ellianz .... by reading the opinions left here, I find exactly what I have experienced .... an incompetent customer service, which gives answers next to The plaque or even downright false .... the difficu"&amp;"lty of terminating its contracts .... They thus refused me a Hamon termination for the most absurd patterns ...
In short, Eallianz is an insurance to avoid.")</f>
        <v>Eallanz = insurance to flee;
I have always favored large insurance groups even if I allowed to pay more, even much more expensive as at Eallainz because naively I thought that in the end I thought that I was going to find myself there in case of concerns.
And well think again, this is not the case with Ellianz .... by reading the opinions left here, I find exactly what I have experienced .... an incompetent customer service, which gives answers next to The plaque or even downright false .... the difficulty of terminating its contracts .... They thus refused me a Hamon termination for the most absurd patterns ...
In short, Eallianz is an insurance to avoid.</v>
      </c>
    </row>
    <row r="393" ht="15.75" customHeight="1">
      <c r="A393" s="2">
        <v>5.0</v>
      </c>
      <c r="B393" s="2" t="s">
        <v>1193</v>
      </c>
      <c r="C393" s="2" t="s">
        <v>1194</v>
      </c>
      <c r="D393" s="2" t="s">
        <v>31</v>
      </c>
      <c r="E393" s="2" t="s">
        <v>14</v>
      </c>
      <c r="F393" s="2" t="s">
        <v>15</v>
      </c>
      <c r="G393" s="2" t="s">
        <v>1195</v>
      </c>
      <c r="H393" s="2" t="s">
        <v>50</v>
      </c>
      <c r="I393" s="2" t="str">
        <f>IFERROR(__xludf.DUMMYFUNCTION("GOOGLETRANSLATE(C393,""fr"",""en"")"),"The Olivier Insurance gave me satisfaction on several occasions. They are effective and reachable easily with competitive prices. In addition, my interlocutors have always been clear and pleasant.")</f>
        <v>The Olivier Insurance gave me satisfaction on several occasions. They are effective and reachable easily with competitive prices. In addition, my interlocutors have always been clear and pleasant.</v>
      </c>
    </row>
    <row r="394" ht="15.75" customHeight="1">
      <c r="A394" s="2">
        <v>5.0</v>
      </c>
      <c r="B394" s="2" t="s">
        <v>1196</v>
      </c>
      <c r="C394" s="2" t="s">
        <v>1197</v>
      </c>
      <c r="D394" s="2" t="s">
        <v>13</v>
      </c>
      <c r="E394" s="2" t="s">
        <v>14</v>
      </c>
      <c r="F394" s="2" t="s">
        <v>15</v>
      </c>
      <c r="G394" s="2" t="s">
        <v>1198</v>
      </c>
      <c r="H394" s="2" t="s">
        <v>76</v>
      </c>
      <c r="I394" s="2" t="str">
        <f>IFERROR(__xludf.DUMMYFUNCTION("GOOGLETRANSLATE(C394,""fr"",""en"")"),"I am satisfied with the product and happy to have chosen Direct Assurance.
 Prices suit me.
I took the opportunity to adhere to other very interesting insurance proposals.
Thank you direct insurance")</f>
        <v>I am satisfied with the product and happy to have chosen Direct Assurance.
 Prices suit me.
I took the opportunity to adhere to other very interesting insurance proposals.
Thank you direct insurance</v>
      </c>
    </row>
    <row r="395" ht="15.75" customHeight="1">
      <c r="A395" s="2">
        <v>1.0</v>
      </c>
      <c r="B395" s="2" t="s">
        <v>1199</v>
      </c>
      <c r="C395" s="2" t="s">
        <v>1200</v>
      </c>
      <c r="D395" s="2" t="s">
        <v>36</v>
      </c>
      <c r="E395" s="2" t="s">
        <v>37</v>
      </c>
      <c r="F395" s="2" t="s">
        <v>15</v>
      </c>
      <c r="G395" s="2" t="s">
        <v>1201</v>
      </c>
      <c r="H395" s="2" t="s">
        <v>559</v>
      </c>
      <c r="I395" s="2" t="str">
        <f>IFERROR(__xludf.DUMMYFUNCTION("GOOGLETRANSLATE(C395,""fr"",""en"")"),"Despite the fact that this insurance offers reasonable prices with complete formulas. It is very unfortunate to always threaten them by email so that they proceed to reimbursements for care each time and take almost 1 month to repay. A shame. I leave this"&amp;" insurance and did not recommend it at all.")</f>
        <v>Despite the fact that this insurance offers reasonable prices with complete formulas. It is very unfortunate to always threaten them by email so that they proceed to reimbursements for care each time and take almost 1 month to repay. A shame. I leave this insurance and did not recommend it at all.</v>
      </c>
    </row>
    <row r="396" ht="15.75" customHeight="1">
      <c r="A396" s="2">
        <v>3.0</v>
      </c>
      <c r="B396" s="2" t="s">
        <v>1202</v>
      </c>
      <c r="C396" s="2" t="s">
        <v>1203</v>
      </c>
      <c r="D396" s="2" t="s">
        <v>168</v>
      </c>
      <c r="E396" s="2" t="s">
        <v>103</v>
      </c>
      <c r="F396" s="2" t="s">
        <v>15</v>
      </c>
      <c r="G396" s="2" t="s">
        <v>1204</v>
      </c>
      <c r="H396" s="2" t="s">
        <v>71</v>
      </c>
      <c r="I396" s="2" t="str">
        <f>IFERROR(__xludf.DUMMYFUNCTION("GOOGLETRANSLATE(C396,""fr"",""en"")"),"Following a break -in on the accommodation I rent, the file processing was done by phone to obtain compensation for the rehabilitation work. Besides the fact that it is never the same person who treats the file, I had as many different answers as telephon"&amp;"e calls! No seriousness. Frankly to avoid! They are not insurers!")</f>
        <v>Following a break -in on the accommodation I rent, the file processing was done by phone to obtain compensation for the rehabilitation work. Besides the fact that it is never the same person who treats the file, I had as many different answers as telephone calls! No seriousness. Frankly to avoid! They are not insurers!</v>
      </c>
    </row>
    <row r="397" ht="15.75" customHeight="1">
      <c r="A397" s="2">
        <v>3.0</v>
      </c>
      <c r="B397" s="2" t="s">
        <v>1205</v>
      </c>
      <c r="C397" s="2" t="s">
        <v>1206</v>
      </c>
      <c r="D397" s="2" t="s">
        <v>20</v>
      </c>
      <c r="E397" s="2" t="s">
        <v>462</v>
      </c>
      <c r="F397" s="2" t="s">
        <v>15</v>
      </c>
      <c r="G397" s="2" t="s">
        <v>183</v>
      </c>
      <c r="H397" s="2" t="s">
        <v>184</v>
      </c>
      <c r="I397" s="2" t="str">
        <f>IFERROR(__xludf.DUMMYFUNCTION("GOOGLETRANSLATE(C397,""fr"",""en"")"),"I called this day because access to my customer area was blocked, I quickly had an advisor who quickly answered my problem and quickly solved my access.
With a lot of courtesy.
")</f>
        <v>I called this day because access to my customer area was blocked, I quickly had an advisor who quickly answered my problem and quickly solved my access.
With a lot of courtesy.
</v>
      </c>
    </row>
    <row r="398" ht="15.75" customHeight="1">
      <c r="A398" s="2">
        <v>2.0</v>
      </c>
      <c r="B398" s="2" t="s">
        <v>1207</v>
      </c>
      <c r="C398" s="2" t="s">
        <v>1208</v>
      </c>
      <c r="D398" s="2" t="s">
        <v>13</v>
      </c>
      <c r="E398" s="2" t="s">
        <v>14</v>
      </c>
      <c r="F398" s="2" t="s">
        <v>15</v>
      </c>
      <c r="G398" s="2" t="s">
        <v>1209</v>
      </c>
      <c r="H398" s="2" t="s">
        <v>17</v>
      </c>
      <c r="I398" s="2" t="str">
        <f>IFERROR(__xludf.DUMMYFUNCTION("GOOGLETRANSLATE(C398,""fr"",""en"")"),"Not satisfied at all, I lost my car insurance following my divorce but despite my intervention to explain that the delay in payment was in no way my fault because my ex -wife systematically thrown my mail in the trash
 You did not try to learn more and y"&amp;"ou have terminated me my contract generating greater precariousness in which my divorce had put me ... yet in 8 years of insurance contract with you I had no sinister to declare or no delay in payment! It only takes a small problem that could be resolved "&amp;"to see that we are only contract numbers ...")</f>
        <v>Not satisfied at all, I lost my car insurance following my divorce but despite my intervention to explain that the delay in payment was in no way my fault because my ex -wife systematically thrown my mail in the trash
 You did not try to learn more and you have terminated me my contract generating greater precariousness in which my divorce had put me ... yet in 8 years of insurance contract with you I had no sinister to declare or no delay in payment! It only takes a small problem that could be resolved to see that we are only contract numbers ...</v>
      </c>
    </row>
    <row r="399" ht="15.75" customHeight="1">
      <c r="A399" s="2">
        <v>2.0</v>
      </c>
      <c r="B399" s="2" t="s">
        <v>1210</v>
      </c>
      <c r="C399" s="2" t="s">
        <v>1211</v>
      </c>
      <c r="D399" s="2" t="s">
        <v>128</v>
      </c>
      <c r="E399" s="2" t="s">
        <v>103</v>
      </c>
      <c r="F399" s="2" t="s">
        <v>15</v>
      </c>
      <c r="G399" s="2" t="s">
        <v>1212</v>
      </c>
      <c r="H399" s="2" t="s">
        <v>313</v>
      </c>
      <c r="I399" s="2" t="str">
        <f>IFERROR(__xludf.DUMMYFUNCTION("GOOGLETRANSLATE(C399,""fr"",""en"")"),"Housing Performance Contract !!!
Water damage 40 cm following the floods of June 11 in the municipalities Fresnes and Antony, declaration at the Matmut office in Antony on June 12 is today no expert visit June 27.
Fortunately, I have a performance contr"&amp;"act!
")</f>
        <v>Housing Performance Contract !!!
Water damage 40 cm following the floods of June 11 in the municipalities Fresnes and Antony, declaration at the Matmut office in Antony on June 12 is today no expert visit June 27.
Fortunately, I have a performance contract!
</v>
      </c>
    </row>
    <row r="400" ht="15.75" customHeight="1">
      <c r="A400" s="2">
        <v>4.0</v>
      </c>
      <c r="B400" s="2" t="s">
        <v>1213</v>
      </c>
      <c r="C400" s="2" t="s">
        <v>1214</v>
      </c>
      <c r="D400" s="2" t="s">
        <v>13</v>
      </c>
      <c r="E400" s="2" t="s">
        <v>14</v>
      </c>
      <c r="F400" s="2" t="s">
        <v>15</v>
      </c>
      <c r="G400" s="2" t="s">
        <v>1215</v>
      </c>
      <c r="H400" s="2" t="s">
        <v>17</v>
      </c>
      <c r="I400" s="2" t="str">
        <f>IFERROR(__xludf.DUMMYFUNCTION("GOOGLETRANSLATE(C400,""fr"",""en"")"),"Very competitive prices, but difficult to have the support. I tried to join them several times before having someone at such, then I was told that for a process of declaration of broken ice I had to go through an email request.")</f>
        <v>Very competitive prices, but difficult to have the support. I tried to join them several times before having someone at such, then I was told that for a process of declaration of broken ice I had to go through an email request.</v>
      </c>
    </row>
    <row r="401" ht="15.75" customHeight="1">
      <c r="A401" s="2">
        <v>5.0</v>
      </c>
      <c r="B401" s="2" t="s">
        <v>1216</v>
      </c>
      <c r="C401" s="2" t="s">
        <v>1217</v>
      </c>
      <c r="D401" s="2" t="s">
        <v>31</v>
      </c>
      <c r="E401" s="2" t="s">
        <v>14</v>
      </c>
      <c r="F401" s="2" t="s">
        <v>15</v>
      </c>
      <c r="G401" s="2" t="s">
        <v>309</v>
      </c>
      <c r="H401" s="2" t="s">
        <v>33</v>
      </c>
      <c r="I401" s="2" t="str">
        <f>IFERROR(__xludf.DUMMYFUNCTION("GOOGLETRANSLATE(C401,""fr"",""en"")"),"I am satisfied with the service and telephone communication, as well as the price. The options and content of the contract, its favorable and consistent with my requests.")</f>
        <v>I am satisfied with the service and telephone communication, as well as the price. The options and content of the contract, its favorable and consistent with my requests.</v>
      </c>
    </row>
    <row r="402" ht="15.75" customHeight="1">
      <c r="A402" s="2">
        <v>1.0</v>
      </c>
      <c r="B402" s="2" t="s">
        <v>1218</v>
      </c>
      <c r="C402" s="2" t="s">
        <v>1219</v>
      </c>
      <c r="D402" s="2" t="s">
        <v>168</v>
      </c>
      <c r="E402" s="2" t="s">
        <v>103</v>
      </c>
      <c r="F402" s="2" t="s">
        <v>15</v>
      </c>
      <c r="G402" s="2" t="s">
        <v>1220</v>
      </c>
      <c r="H402" s="2" t="s">
        <v>767</v>
      </c>
      <c r="I402" s="2" t="str">
        <f>IFERROR(__xludf.DUMMYFUNCTION("GOOGLETRANSLATE(C402,""fr"",""en"")"),"Very complicated to terminate a contract despite the Chatel law at the nearby 4 days my request was refused, unacceptable and non -commercial!")</f>
        <v>Very complicated to terminate a contract despite the Chatel law at the nearby 4 days my request was refused, unacceptable and non -commercial!</v>
      </c>
    </row>
    <row r="403" ht="15.75" customHeight="1">
      <c r="A403" s="2">
        <v>3.0</v>
      </c>
      <c r="B403" s="2" t="s">
        <v>1221</v>
      </c>
      <c r="C403" s="2" t="s">
        <v>1222</v>
      </c>
      <c r="D403" s="2" t="s">
        <v>168</v>
      </c>
      <c r="E403" s="2" t="s">
        <v>103</v>
      </c>
      <c r="F403" s="2" t="s">
        <v>15</v>
      </c>
      <c r="G403" s="2" t="s">
        <v>1223</v>
      </c>
      <c r="H403" s="2" t="s">
        <v>162</v>
      </c>
      <c r="I403" s="2" t="str">
        <f>IFERROR(__xludf.DUMMYFUNCTION("GOOGLETRANSLATE(C403,""fr"",""en"")"),"Insurance that has not increased its prices too much for the 10 years that I have been with them but I am in full prospecting and I leave if I find the same guarantee with the school insurance included.")</f>
        <v>Insurance that has not increased its prices too much for the 10 years that I have been with them but I am in full prospecting and I leave if I find the same guarantee with the school insurance included.</v>
      </c>
    </row>
    <row r="404" ht="15.75" customHeight="1">
      <c r="A404" s="2">
        <v>5.0</v>
      </c>
      <c r="B404" s="2" t="s">
        <v>1224</v>
      </c>
      <c r="C404" s="2" t="s">
        <v>1225</v>
      </c>
      <c r="D404" s="2" t="s">
        <v>31</v>
      </c>
      <c r="E404" s="2" t="s">
        <v>14</v>
      </c>
      <c r="F404" s="2" t="s">
        <v>15</v>
      </c>
      <c r="G404" s="2" t="s">
        <v>1226</v>
      </c>
      <c r="H404" s="2" t="s">
        <v>54</v>
      </c>
      <c r="I404" s="2" t="str">
        <f>IFERROR(__xludf.DUMMYFUNCTION("GOOGLETRANSLATE(C404,""fr"",""en"")"),"Quick implementation of the contract. Quick reception of the green card.
It would be rather useful to send all documents when creating the contract to avoid oversights.
Otherwise everything is perfect :)")</f>
        <v>Quick implementation of the contract. Quick reception of the green card.
It would be rather useful to send all documents when creating the contract to avoid oversights.
Otherwise everything is perfect :)</v>
      </c>
    </row>
    <row r="405" ht="15.75" customHeight="1">
      <c r="A405" s="2">
        <v>4.0</v>
      </c>
      <c r="B405" s="2" t="s">
        <v>1227</v>
      </c>
      <c r="C405" s="2" t="s">
        <v>1228</v>
      </c>
      <c r="D405" s="2" t="s">
        <v>31</v>
      </c>
      <c r="E405" s="2" t="s">
        <v>14</v>
      </c>
      <c r="F405" s="2" t="s">
        <v>15</v>
      </c>
      <c r="G405" s="2" t="s">
        <v>562</v>
      </c>
      <c r="H405" s="2" t="s">
        <v>76</v>
      </c>
      <c r="I405" s="2" t="str">
        <f>IFERROR(__xludf.DUMMYFUNCTION("GOOGLETRANSLATE(C405,""fr"",""en"")"),"Overall satisfied, reasonable prices
Small concern to sign my contract via my phone ...
Successful with the computer.
Top quality ratio
I recommend")</f>
        <v>Overall satisfied, reasonable prices
Small concern to sign my contract via my phone ...
Successful with the computer.
Top quality ratio
I recommend</v>
      </c>
    </row>
    <row r="406" ht="15.75" customHeight="1">
      <c r="A406" s="2">
        <v>3.0</v>
      </c>
      <c r="B406" s="2" t="s">
        <v>1229</v>
      </c>
      <c r="C406" s="2" t="s">
        <v>1230</v>
      </c>
      <c r="D406" s="2" t="s">
        <v>256</v>
      </c>
      <c r="E406" s="2" t="s">
        <v>14</v>
      </c>
      <c r="F406" s="2" t="s">
        <v>15</v>
      </c>
      <c r="G406" s="2" t="s">
        <v>695</v>
      </c>
      <c r="H406" s="2" t="s">
        <v>81</v>
      </c>
      <c r="I406" s="2" t="str">
        <f>IFERROR(__xludf.DUMMYFUNCTION("GOOGLETRANSLATE(C406,""fr"",""en"")"),"Cautiously Allianz cannot be noted here on their ""legal protection"" guarantee which is limited to the following service: ""You pay, and then you will be told for what to write in your letters"". Zero coverage, but harassment as soon as you want to termi"&amp;"nate!")</f>
        <v>Cautiously Allianz cannot be noted here on their "legal protection" guarantee which is limited to the following service: "You pay, and then you will be told for what to write in your letters". Zero coverage, but harassment as soon as you want to terminate!</v>
      </c>
    </row>
    <row r="407" ht="15.75" customHeight="1">
      <c r="A407" s="2">
        <v>3.0</v>
      </c>
      <c r="B407" s="2" t="s">
        <v>1231</v>
      </c>
      <c r="C407" s="2" t="s">
        <v>1232</v>
      </c>
      <c r="D407" s="2" t="s">
        <v>13</v>
      </c>
      <c r="E407" s="2" t="s">
        <v>14</v>
      </c>
      <c r="F407" s="2" t="s">
        <v>15</v>
      </c>
      <c r="G407" s="2" t="s">
        <v>1233</v>
      </c>
      <c r="H407" s="2" t="s">
        <v>33</v>
      </c>
      <c r="I407" s="2" t="str">
        <f>IFERROR(__xludf.DUMMYFUNCTION("GOOGLETRANSLATE(C407,""fr"",""en"")"),"Your method of creating a new contract is driving: you want the same information as you already have about me and each time it does not go correctly well that I send you everything you ask. It would be wise when creating a new contract to pre -fulfill the"&amp;" file with the elements you already have: bonus, information statement, address etc")</f>
        <v>Your method of creating a new contract is driving: you want the same information as you already have about me and each time it does not go correctly well that I send you everything you ask. It would be wise when creating a new contract to pre -fulfill the file with the elements you already have: bonus, information statement, address etc</v>
      </c>
    </row>
    <row r="408" ht="15.75" customHeight="1">
      <c r="A408" s="2">
        <v>1.0</v>
      </c>
      <c r="B408" s="2" t="s">
        <v>1234</v>
      </c>
      <c r="C408" s="2" t="s">
        <v>1235</v>
      </c>
      <c r="D408" s="2" t="s">
        <v>102</v>
      </c>
      <c r="E408" s="2" t="s">
        <v>103</v>
      </c>
      <c r="F408" s="2" t="s">
        <v>15</v>
      </c>
      <c r="G408" s="2" t="s">
        <v>385</v>
      </c>
      <c r="H408" s="2" t="s">
        <v>386</v>
      </c>
      <c r="I408" s="2" t="str">
        <f>IFERROR(__xludf.DUMMYFUNCTION("GOOGLETRANSLATE(C408,""fr"",""en"")"),"More than 100,000 euros in the Credit of the Society not yet reimbursed graciously offered to fraudsters by the MAIF.
The legal protection contract is a deception.
Between the bank which was to reimburse the mortgage for not having respected the terms o"&amp;"f his contract and the member who found himself obliged to repay a credit without having a house, the MAIF defended the bank who sent the member to the notary, within ten days, knowing that two of the primordial documents were missing in the file.
Your o"&amp;"pinion interests me because, tomorrow, you may be the victim of the Maif. - It can happen to you. The MAIF refused to publish the open letter which required aid from the members in the Revue Maif! No support! More than fifty years of contributions to be t"&amp;"reated as a trash!
If I understand the site well, the excellent and amazing stars of simple and modest reimbursements compensate for the painful stars of heavier business to maintain a clean image (damage that the negative notes are impossible).
The tra"&amp;"p of all false advertisements (confidence; lawyers always listening to you; a damage guarantee-on reimbursement in the first place and then turned against the managers) was able to closed suddenly on the member. Distrust must be in front of such failures!"&amp;")
For more than ten years, I see my mother living in a garage and dragging herself as she can still currently 84 years old, in passages of 30 to 50 cm to prepare her meals, eat on a stool with her plate on her knees , Place on your bed embedded between t"&amp;"he furniture its races to be able to store them, have difficulties in cleaning between the furniture piled up, to open the door from time to time to have light when it is not too cold, to have a Simple-hand-to-handwash as a sink and a means of toilet, liv"&amp;"e in winter on a glacial concrete slab and in summer under the heat wave without insulation and without ventilation, by picking with difficulty stacked objects which constantly fall for lack of sufficient space.
This whole catastrophe is due to the cheat"&amp;"ing of Maif:
1. Not a single Maif expert on the day of the first expertise which caused the benefit of the perfect finish to be lost at the prices and delays agreed by the Society and which could have saved its situation by obtaining a built house; No co"&amp;"urt appearance of this guarantee.
2.Non reimbursement of bank credit, while the two conditions for issuing funds were not met, no D.R.O.C.- Regulatory declaration Opening of site- and existence of D.O.- Insurer damage-Ouvrage.
3. Refusal of the MAIF to "&amp;"request an investigation with the town hall which would have made it possible to prove an illite in the delivrance of credit funds, while its judicial opponents made this survey to parade reimbursements (leak of the ten -year guarantee to Which the MAIF o"&amp;"ffered 700 euros belonging to the members to avoid respecting a contract of 19/11/99, while its activity only ceased on 12/31/99; it would have been enough for the MAIF to diligen a survey in town hall To avoid my mother from living for more than ten year"&amp;"s in a garage;
4. Refusal of the MAIF to request an investigation into the suspect account of the manufacturer on which the credit of the credit had been placed illegally by internal complicity. (Cherry on the cake at the Bank of Teachers).
5. underesti"&amp;"mation of the constructed part ratified by the MAIF stopped on the slab of the ground floor, forgetting the whole part built above for the attic;
6. Cancellation of the judgment based on articles 1792 (absence of foundations) and following of the Civil C"&amp;"ode that Maif diverted from the criminal jurisdiction; This cancellation illegally escaped the jurisdiction on appeal to be illegally entrusted to a non -magistrate merchant of the manufacturer's peer court;
7. Invention, without downstream of the member"&amp;", thanks to an occasionally named cunning-partial-and consisting with the support of the MAIF to allow damage-work to appeal by leaving freedom to the Véreux manufacturer to flee (the only trader Requiring damage to the manufacturer). How to legally consi"&amp;"der a confrontation between damage-to-work and an average French citizen without manufacturer who was able to escape his responsibilities concerning this absence of foundations?
It was important not to lose everything on appeal, due to the manufacturer's"&amp;" leak by the cunning of -partial -, because the TGI reimbursed special foundations and a demolition at the costs of the member of more than 40,0000 euros. On appeal, the TGI decision has disappeared from the debates;
8. Many unjustified judicial dismissa"&amp;"ls, but favorable to adversaries and supported by the passivity of the manager of the Maif (a requested audit has remained unanswered);
9. Save the manufacturer's property in a hiding place under another name, that of his wife under his young girl's name"&amp;", before the end of the procedure to let the reparation guarantees and all professional goods in liquidation run away.
10. Accept without reacting that two MAIF members are treated differently in a doubtful discriminatory liquidation, while situations an"&amp;"d defenders are identical.; But, in his case the MAIF had the manufacturer without foundations to defend against it.
11. Classification without follow -up during cassation due to the cunning of -partial -;
12. Two VAT on a single house weighing on a sin"&amp;"gle member with an obligation of new thermal regulations, an increase in materials, the 2008 crisis ... These damages were impossible to assume by a single member who cannot In spite of all its efforts! Pay rents for 7 years in double mortgage!
Despite t"&amp;"he advertisements promising confidence, promises of contact with a lawyer who answers you and a great deal of attention for the members never any comments or respect for the promise to turn to the prosecutors on this case.
Why did MAIF completely support"&amp;" the deep failure of this affair which started with two positive points (guarantee of perfect completion and reimbursement of credit)?
Why does she let her member carry alone the weight of her failure and the lack of professional motivation of the respon"&amp;"sible manager?
Why did you obstruct the publication of the open letter intended for information in the journal Maif to ask if each member agreed to donate 20 cents to compensate for the theft of all his savings offered to fraudsters?
Why did she refuse "&amp;"a request for intervention of professional insurance relating to the serious faults of one of her managers for almost a year?
Why did Maif do nothing for this sum of more than 100,000 euros, still not reimbursed, not only served the construction of the h"&amp;"ouse instead of serving in the financial support of a deception?
I ruined myself with a personal credit of 70,000 euros to try to save my mother's financial situation. I am in debt, but that was not enough to straighten the project and to cover the many "&amp;"non -predictable additional costs of this deception. I presumed my possibilities to save his Christmas 2018. Today I am obliged to negotiate the money I put aside for my retirement.
Do you find this normal and have a contribution of 20 cents per member h"&amp;"as been exaggerated in view of the damage caused by the MAIF who harms all the members, without his knowledge, of course, since she refuses all Publication of open letter in his newspaper to inform them of the facts and that the last of his concerns is th"&amp;"e member since she only wants customers. A total abandonment! What do you think of such a sacrifice of members for 18 years for the benefit of a crooked manufacturer who succeeded thanks to this indulgence in quietly pursuing his dubious activity? If the "&amp;"official bodies contacted find her a solution for reception she has nothing to do with them despite more than 50 years of contributions.
")</f>
        <v>More than 100,000 euros in the Credit of the Society not yet reimbursed graciously offered to fraudsters by the MAIF.
The legal protection contract is a deception.
Between the bank which was to reimburse the mortgage for not having respected the terms of his contract and the member who found himself obliged to repay a credit without having a house, the MAIF defended the bank who sent the member to the notary, within ten days, knowing that two of the primordial documents were missing in the file.
Your opinion interests me because, tomorrow, you may be the victim of the Maif. - It can happen to you. The MAIF refused to publish the open letter which required aid from the members in the Revue Maif! No support! More than fifty years of contributions to be treated as a trash!
If I understand the site well, the excellent and amazing stars of simple and modest reimbursements compensate for the painful stars of heavier business to maintain a clean image (damage that the negative notes are impossible).
The trap of all false advertisements (confidence; lawyers always listening to you; a damage guarantee-on reimbursement in the first place and then turned against the managers) was able to closed suddenly on the member. Distrust must be in front of such failures!)
For more than ten years, I see my mother living in a garage and dragging herself as she can still currently 84 years old, in passages of 30 to 50 cm to prepare her meals, eat on a stool with her plate on her knees , Place on your bed embedded between the furniture its races to be able to store them, have difficulties in cleaning between the furniture piled up, to open the door from time to time to have light when it is not too cold, to have a Simple-hand-to-handwash as a sink and a means of toilet, live in winter on a glacial concrete slab and in summer under the heat wave without insulation and without ventilation, by picking with difficulty stacked objects which constantly fall for lack of sufficient space.
This whole catastrophe is due to the cheating of Maif:
1. Not a single Maif expert on the day of the first expertise which caused the benefit of the perfect finish to be lost at the prices and delays agreed by the Society and which could have saved its situation by obtaining a built house; No court appearance of this guarantee.
2.Non reimbursement of bank credit, while the two conditions for issuing funds were not met, no D.R.O.C.- Regulatory declaration Opening of site- and existence of D.O.- Insurer damage-Ouvrage.
3. Refusal of the MAIF to request an investigation with the town hall which would have made it possible to prove an illite in the delivrance of credit funds, while its judicial opponents made this survey to parade reimbursements (leak of the ten -year guarantee to Which the MAIF offered 700 euros belonging to the members to avoid respecting a contract of 19/11/99, while its activity only ceased on 12/31/99; it would have been enough for the MAIF to diligen a survey in town hall To avoid my mother from living for more than ten years in a garage;
4. Refusal of the MAIF to request an investigation into the suspect account of the manufacturer on which the credit of the credit had been placed illegally by internal complicity. (Cherry on the cake at the Bank of Teachers).
5. underestimation of the constructed part ratified by the MAIF stopped on the slab of the ground floor, forgetting the whole part built above for the attic;
6. Cancellation of the judgment based on articles 1792 (absence of foundations) and following of the Civil Code that Maif diverted from the criminal jurisdiction; This cancellation illegally escaped the jurisdiction on appeal to be illegally entrusted to a non -magistrate merchant of the manufacturer's peer court;
7. Invention, without downstream of the member, thanks to an occasionally named cunning-partial-and consisting with the support of the MAIF to allow damage-work to appeal by leaving freedom to the Véreux manufacturer to flee (the only trader Requiring damage to the manufacturer). How to legally consider a confrontation between damage-to-work and an average French citizen without manufacturer who was able to escape his responsibilities concerning this absence of foundations?
It was important not to lose everything on appeal, due to the manufacturer's leak by the cunning of -partial -, because the TGI reimbursed special foundations and a demolition at the costs of the member of more than 40,0000 euros. On appeal, the TGI decision has disappeared from the debates;
8. Many unjustified judicial dismissals, but favorable to adversaries and supported by the passivity of the manager of the Maif (a requested audit has remained unanswered);
9. Save the manufacturer's property in a hiding place under another name, that of his wife under his young girl's name, before the end of the procedure to let the reparation guarantees and all professional goods in liquidation run away.
10. Accept without reacting that two MAIF members are treated differently in a doubtful discriminatory liquidation, while situations and defenders are identical.; But, in his case the MAIF had the manufacturer without foundations to defend against it.
11. Classification without follow -up during cassation due to the cunning of -partial -;
12. Two VAT on a single house weighing on a single member with an obligation of new thermal regulations, an increase in materials, the 2008 crisis ... These damages were impossible to assume by a single member who cannot In spite of all its efforts! Pay rents for 7 years in double mortgage!
Despite the advertisements promising confidence, promises of contact with a lawyer who answers you and a great deal of attention for the members never any comments or respect for the promise to turn to the prosecutors on this case.
Why did MAIF completely support the deep failure of this affair which started with two positive points (guarantee of perfect completion and reimbursement of credit)?
Why does she let her member carry alone the weight of her failure and the lack of professional motivation of the responsible manager?
Why did you obstruct the publication of the open letter intended for information in the journal Maif to ask if each member agreed to donate 20 cents to compensate for the theft of all his savings offered to fraudsters?
Why did she refuse a request for intervention of professional insurance relating to the serious faults of one of her managers for almost a year?
Why did Maif do nothing for this sum of more than 100,000 euros, still not reimbursed, not only served the construction of the house instead of serving in the financial support of a deception?
I ruined myself with a personal credit of 70,000 euros to try to save my mother's financial situation. I am in debt, but that was not enough to straighten the project and to cover the many non -predictable additional costs of this deception. I presumed my possibilities to save his Christmas 2018. Today I am obliged to negotiate the money I put aside for my retirement.
Do you find this normal and have a contribution of 20 cents per member has been exaggerated in view of the damage caused by the MAIF who harms all the members, without his knowledge, of course, since she refuses all Publication of open letter in his newspaper to inform them of the facts and that the last of his concerns is the member since she only wants customers. A total abandonment! What do you think of such a sacrifice of members for 18 years for the benefit of a crooked manufacturer who succeeded thanks to this indulgence in quietly pursuing his dubious activity? If the official bodies contacted find her a solution for reception she has nothing to do with them despite more than 50 years of contributions.
</v>
      </c>
    </row>
    <row r="409" ht="15.75" customHeight="1">
      <c r="A409" s="2">
        <v>4.0</v>
      </c>
      <c r="B409" s="2" t="s">
        <v>1236</v>
      </c>
      <c r="C409" s="2" t="s">
        <v>1237</v>
      </c>
      <c r="D409" s="2" t="s">
        <v>26</v>
      </c>
      <c r="E409" s="2" t="s">
        <v>21</v>
      </c>
      <c r="F409" s="2" t="s">
        <v>15</v>
      </c>
      <c r="G409" s="2" t="s">
        <v>1238</v>
      </c>
      <c r="H409" s="2" t="s">
        <v>386</v>
      </c>
      <c r="I409" s="2" t="str">
        <f>IFERROR(__xludf.DUMMYFUNCTION("GOOGLETRANSLATE(C409,""fr"",""en"")"),"Very satisfied with customer service and guarantees
Very satisfied with customer service and guarantees")</f>
        <v>Very satisfied with customer service and guarantees
Very satisfied with customer service and guarantees</v>
      </c>
    </row>
    <row r="410" ht="15.75" customHeight="1">
      <c r="A410" s="2">
        <v>3.0</v>
      </c>
      <c r="B410" s="2" t="s">
        <v>1239</v>
      </c>
      <c r="C410" s="2" t="s">
        <v>1240</v>
      </c>
      <c r="D410" s="2" t="s">
        <v>13</v>
      </c>
      <c r="E410" s="2" t="s">
        <v>14</v>
      </c>
      <c r="F410" s="2" t="s">
        <v>15</v>
      </c>
      <c r="G410" s="2" t="s">
        <v>1215</v>
      </c>
      <c r="H410" s="2" t="s">
        <v>17</v>
      </c>
      <c r="I410" s="2" t="str">
        <f>IFERROR(__xludf.DUMMYFUNCTION("GOOGLETRANSLATE(C410,""fr"",""en"")"),"Correct price, but not the best on the market, regular increase and difficulty reaching customer service by phone, but responsive by email, I am generally satisfied")</f>
        <v>Correct price, but not the best on the market, regular increase and difficulty reaching customer service by phone, but responsive by email, I am generally satisfied</v>
      </c>
    </row>
    <row r="411" ht="15.75" customHeight="1">
      <c r="A411" s="2">
        <v>4.0</v>
      </c>
      <c r="B411" s="2" t="s">
        <v>1241</v>
      </c>
      <c r="C411" s="2" t="s">
        <v>1242</v>
      </c>
      <c r="D411" s="2" t="s">
        <v>13</v>
      </c>
      <c r="E411" s="2" t="s">
        <v>14</v>
      </c>
      <c r="F411" s="2" t="s">
        <v>15</v>
      </c>
      <c r="G411" s="2" t="s">
        <v>1243</v>
      </c>
      <c r="H411" s="2" t="s">
        <v>60</v>
      </c>
      <c r="I411" s="2" t="str">
        <f>IFERROR(__xludf.DUMMYFUNCTION("GOOGLETRANSLATE(C411,""fr"",""en"")"),"Simple and practical. Attractive price for time, to see on time .... always better than Natixis.
The quote is done quickly, in a few minutes it is made")</f>
        <v>Simple and practical. Attractive price for time, to see on time .... always better than Natixis.
The quote is done quickly, in a few minutes it is made</v>
      </c>
    </row>
    <row r="412" ht="15.75" customHeight="1">
      <c r="A412" s="2">
        <v>4.0</v>
      </c>
      <c r="B412" s="2" t="s">
        <v>1244</v>
      </c>
      <c r="C412" s="2" t="s">
        <v>1245</v>
      </c>
      <c r="D412" s="2" t="s">
        <v>13</v>
      </c>
      <c r="E412" s="2" t="s">
        <v>14</v>
      </c>
      <c r="F412" s="2" t="s">
        <v>15</v>
      </c>
      <c r="G412" s="2" t="s">
        <v>1119</v>
      </c>
      <c r="H412" s="2" t="s">
        <v>17</v>
      </c>
      <c r="I412" s="2" t="str">
        <f>IFERROR(__xludf.DUMMYFUNCTION("GOOGLETRANSLATE(C412,""fr"",""en"")"),"I am satisfied with the service
The fares are correct apart for the deductible that I find a little high especially the broken ice as well as for the non -responsible damage otherwise the monthly price is very interesting")</f>
        <v>I am satisfied with the service
The fares are correct apart for the deductible that I find a little high especially the broken ice as well as for the non -responsible damage otherwise the monthly price is very interesting</v>
      </c>
    </row>
    <row r="413" ht="15.75" customHeight="1">
      <c r="A413" s="2">
        <v>1.0</v>
      </c>
      <c r="B413" s="2" t="s">
        <v>1246</v>
      </c>
      <c r="C413" s="2" t="s">
        <v>1247</v>
      </c>
      <c r="D413" s="2" t="s">
        <v>256</v>
      </c>
      <c r="E413" s="2" t="s">
        <v>14</v>
      </c>
      <c r="F413" s="2" t="s">
        <v>15</v>
      </c>
      <c r="G413" s="2" t="s">
        <v>1248</v>
      </c>
      <c r="H413" s="2" t="s">
        <v>774</v>
      </c>
      <c r="I413" s="2" t="str">
        <f>IFERROR(__xludf.DUMMYFUNCTION("GOOGLETRANSLATE(C413,""fr"",""en"")"),"Very poor quality in terms of APELS receptions, I am always told a manager will smash you, but it's me to remember
And especially in terms of the regulation of the indmnisation, he does not reimburse, or at least half, he is looking for the little animal"&amp;" by asking for non -existent documents even when we are in good standing, at the level of the contract. So be careful, read your contracts well
Very low value for money
Really disappointed, because I have 4 vehicles assured at home, for several years wi"&amp;"thout any disaster, and where I am a victim of flooding, it does not even reimburse me and in addition it guarantees my vehicles.")</f>
        <v>Very poor quality in terms of APELS receptions, I am always told a manager will smash you, but it's me to remember
And especially in terms of the regulation of the indmnisation, he does not reimburse, or at least half, he is looking for the little animal by asking for non -existent documents even when we are in good standing, at the level of the contract. So be careful, read your contracts well
Very low value for money
Really disappointed, because I have 4 vehicles assured at home, for several years without any disaster, and where I am a victim of flooding, it does not even reimburse me and in addition it guarantees my vehicles.</v>
      </c>
    </row>
    <row r="414" ht="15.75" customHeight="1">
      <c r="A414" s="2">
        <v>5.0</v>
      </c>
      <c r="B414" s="2" t="s">
        <v>1249</v>
      </c>
      <c r="C414" s="2" t="s">
        <v>1250</v>
      </c>
      <c r="D414" s="2" t="s">
        <v>256</v>
      </c>
      <c r="E414" s="2" t="s">
        <v>14</v>
      </c>
      <c r="F414" s="2" t="s">
        <v>15</v>
      </c>
      <c r="G414" s="2" t="s">
        <v>590</v>
      </c>
      <c r="H414" s="2" t="s">
        <v>46</v>
      </c>
      <c r="I414" s="2" t="str">
        <f>IFERROR(__xludf.DUMMYFUNCTION("GOOGLETRANSLATE(C414,""fr"",""en"")"),"Listening, it is rare enough to be said, my problem solved during the day ...
       Thank you for your information and your patience ...;)")</f>
        <v>Listening, it is rare enough to be said, my problem solved during the day ...
       Thank you for your information and your patience ...;)</v>
      </c>
    </row>
    <row r="415" ht="15.75" customHeight="1">
      <c r="A415" s="2">
        <v>5.0</v>
      </c>
      <c r="B415" s="2" t="s">
        <v>1251</v>
      </c>
      <c r="C415" s="2" t="s">
        <v>1252</v>
      </c>
      <c r="D415" s="2" t="s">
        <v>31</v>
      </c>
      <c r="E415" s="2" t="s">
        <v>14</v>
      </c>
      <c r="F415" s="2" t="s">
        <v>15</v>
      </c>
      <c r="G415" s="2" t="s">
        <v>690</v>
      </c>
      <c r="H415" s="2" t="s">
        <v>81</v>
      </c>
      <c r="I415" s="2" t="str">
        <f>IFERROR(__xludf.DUMMYFUNCTION("GOOGLETRANSLATE(C415,""fr"",""en"")"),"Very good insurance self -regulation fractional as we want then if broken ice repair with competent craftsman pay directly by the olive insurance
(except franchise) of course.
Nickel.")</f>
        <v>Very good insurance self -regulation fractional as we want then if broken ice repair with competent craftsman pay directly by the olive insurance
(except franchise) of course.
Nickel.</v>
      </c>
    </row>
    <row r="416" ht="15.75" customHeight="1">
      <c r="A416" s="2">
        <v>2.0</v>
      </c>
      <c r="B416" s="2" t="s">
        <v>1253</v>
      </c>
      <c r="C416" s="2" t="s">
        <v>1254</v>
      </c>
      <c r="D416" s="2" t="s">
        <v>361</v>
      </c>
      <c r="E416" s="2" t="s">
        <v>21</v>
      </c>
      <c r="F416" s="2" t="s">
        <v>15</v>
      </c>
      <c r="G416" s="2" t="s">
        <v>1255</v>
      </c>
      <c r="H416" s="2" t="s">
        <v>295</v>
      </c>
      <c r="I416" s="2" t="str">
        <f>IFERROR(__xludf.DUMMYFUNCTION("GOOGLETRANSLATE(C416,""fr"",""en"")"),"I haven't been at Mgen for 1 year. Despite the numerous requests and appeal. They are always connected to the Noemie link ... therefore I do not have remote transmission .... a shame! And they tell me that they can do nothing ...")</f>
        <v>I haven't been at Mgen for 1 year. Despite the numerous requests and appeal. They are always connected to the Noemie link ... therefore I do not have remote transmission .... a shame! And they tell me that they can do nothing ...</v>
      </c>
    </row>
    <row r="417" ht="15.75" customHeight="1">
      <c r="A417" s="2">
        <v>4.0</v>
      </c>
      <c r="B417" s="2" t="s">
        <v>1256</v>
      </c>
      <c r="C417" s="2" t="s">
        <v>1257</v>
      </c>
      <c r="D417" s="2" t="s">
        <v>31</v>
      </c>
      <c r="E417" s="2" t="s">
        <v>14</v>
      </c>
      <c r="F417" s="2" t="s">
        <v>15</v>
      </c>
      <c r="G417" s="2" t="s">
        <v>1184</v>
      </c>
      <c r="H417" s="2" t="s">
        <v>107</v>
      </c>
      <c r="I417" s="2" t="str">
        <f>IFERROR(__xludf.DUMMYFUNCTION("GOOGLETRANSLATE(C417,""fr"",""en"")"),"Very good service, easy to use site. The offers are clear and very interesting. Good value for money. I will recommend your services with pleasure.")</f>
        <v>Very good service, easy to use site. The offers are clear and very interesting. Good value for money. I will recommend your services with pleasure.</v>
      </c>
    </row>
    <row r="418" ht="15.75" customHeight="1">
      <c r="A418" s="2">
        <v>4.0</v>
      </c>
      <c r="B418" s="2" t="s">
        <v>1258</v>
      </c>
      <c r="C418" s="2" t="s">
        <v>1259</v>
      </c>
      <c r="D418" s="2" t="s">
        <v>57</v>
      </c>
      <c r="E418" s="2" t="s">
        <v>58</v>
      </c>
      <c r="F418" s="2" t="s">
        <v>15</v>
      </c>
      <c r="G418" s="2" t="s">
        <v>1243</v>
      </c>
      <c r="H418" s="2" t="s">
        <v>60</v>
      </c>
      <c r="I418" s="2" t="str">
        <f>IFERROR(__xludf.DUMMYFUNCTION("GOOGLETRANSLATE(C418,""fr"",""en"")"),"I am satisfied with your service and the prices suit me perfectly. Quick and clear reply in a good mind. Thank you cordially Philippe")</f>
        <v>I am satisfied with your service and the prices suit me perfectly. Quick and clear reply in a good mind. Thank you cordially Philippe</v>
      </c>
    </row>
    <row r="419" ht="15.75" customHeight="1">
      <c r="A419" s="2">
        <v>4.0</v>
      </c>
      <c r="B419" s="2" t="s">
        <v>1260</v>
      </c>
      <c r="C419" s="2" t="s">
        <v>1261</v>
      </c>
      <c r="D419" s="2" t="s">
        <v>222</v>
      </c>
      <c r="E419" s="2" t="s">
        <v>21</v>
      </c>
      <c r="F419" s="2" t="s">
        <v>15</v>
      </c>
      <c r="G419" s="2" t="s">
        <v>1262</v>
      </c>
      <c r="H419" s="2" t="s">
        <v>705</v>
      </c>
      <c r="I419" s="2" t="str">
        <f>IFERROR(__xludf.DUMMYFUNCTION("GOOGLETRANSLATE(C419,""fr"",""en"")"),"I am very satisfied with the service rendered. Very good information, patience and relevance with the customer. I recommend Santiane")</f>
        <v>I am very satisfied with the service rendered. Very good information, patience and relevance with the customer. I recommend Santiane</v>
      </c>
    </row>
    <row r="420" ht="15.75" customHeight="1">
      <c r="A420" s="2">
        <v>5.0</v>
      </c>
      <c r="B420" s="2" t="s">
        <v>1263</v>
      </c>
      <c r="C420" s="2" t="s">
        <v>1264</v>
      </c>
      <c r="D420" s="2" t="s">
        <v>26</v>
      </c>
      <c r="E420" s="2" t="s">
        <v>21</v>
      </c>
      <c r="F420" s="2" t="s">
        <v>15</v>
      </c>
      <c r="G420" s="2" t="s">
        <v>129</v>
      </c>
      <c r="H420" s="2" t="s">
        <v>130</v>
      </c>
      <c r="I420" s="2" t="str">
        <f>IFERROR(__xludf.DUMMYFUNCTION("GOOGLETRANSLATE(C420,""fr"",""en"")"),"A good mutual insurance company, I subscribed to it via a broker on you, which is listened to, Toue is well explained, the procedure of the Electronic signature The guarantee, they take care of the termination of the opposing mutual, nothing close, we can"&amp;" Join by email and by phone, for any request I communicate with a manager who is listening and answers my requests without delay. Cheer")</f>
        <v>A good mutual insurance company, I subscribed to it via a broker on you, which is listened to, Toue is well explained, the procedure of the Electronic signature The guarantee, they take care of the termination of the opposing mutual, nothing close, we can Join by email and by phone, for any request I communicate with a manager who is listening and answers my requests without delay. Cheer</v>
      </c>
    </row>
    <row r="421" ht="15.75" customHeight="1">
      <c r="A421" s="2">
        <v>4.0</v>
      </c>
      <c r="B421" s="2" t="s">
        <v>1265</v>
      </c>
      <c r="C421" s="2" t="s">
        <v>1266</v>
      </c>
      <c r="D421" s="2" t="s">
        <v>57</v>
      </c>
      <c r="E421" s="2" t="s">
        <v>58</v>
      </c>
      <c r="F421" s="2" t="s">
        <v>15</v>
      </c>
      <c r="G421" s="2" t="s">
        <v>1267</v>
      </c>
      <c r="H421" s="2" t="s">
        <v>60</v>
      </c>
      <c r="I421" s="2" t="str">
        <f>IFERROR(__xludf.DUMMYFUNCTION("GOOGLETRANSLATE(C421,""fr"",""en"")"),"I am completely satisfied with the AMV site
The prices are completely correct for a road -approved quad
The site is fast and simple
I recommend
")</f>
        <v>I am completely satisfied with the AMV site
The prices are completely correct for a road -approved quad
The site is fast and simple
I recommend
</v>
      </c>
    </row>
    <row r="422" ht="15.75" customHeight="1">
      <c r="A422" s="2">
        <v>1.0</v>
      </c>
      <c r="B422" s="2" t="s">
        <v>1268</v>
      </c>
      <c r="C422" s="2" t="s">
        <v>1269</v>
      </c>
      <c r="D422" s="2" t="s">
        <v>13</v>
      </c>
      <c r="E422" s="2" t="s">
        <v>14</v>
      </c>
      <c r="F422" s="2" t="s">
        <v>15</v>
      </c>
      <c r="G422" s="2" t="s">
        <v>1270</v>
      </c>
      <c r="H422" s="2" t="s">
        <v>971</v>
      </c>
      <c r="I422" s="2" t="str">
        <f>IFERROR(__xludf.DUMMYFUNCTION("GOOGLETRANSLATE(C422,""fr"",""en"")"),"The telephone service is deplorable no understanding, from hours and hours on the phone for futility
Rapid decrease in my coefficient This should have logically reduced my price because without claim for 3 years and I earn 10 euro per month in 3 years wi"&amp;"thout sinister
A real joke!
Commercial telephone service in France but customer service abroad! Ashamed the opposite will have been fairer")</f>
        <v>The telephone service is deplorable no understanding, from hours and hours on the phone for futility
Rapid decrease in my coefficient This should have logically reduced my price because without claim for 3 years and I earn 10 euro per month in 3 years without sinister
A real joke!
Commercial telephone service in France but customer service abroad! Ashamed the opposite will have been fairer</v>
      </c>
    </row>
    <row r="423" ht="15.75" customHeight="1">
      <c r="A423" s="2">
        <v>1.0</v>
      </c>
      <c r="B423" s="2" t="s">
        <v>1271</v>
      </c>
      <c r="C423" s="2" t="s">
        <v>1272</v>
      </c>
      <c r="D423" s="2" t="s">
        <v>84</v>
      </c>
      <c r="E423" s="2" t="s">
        <v>14</v>
      </c>
      <c r="F423" s="2" t="s">
        <v>15</v>
      </c>
      <c r="G423" s="2" t="s">
        <v>133</v>
      </c>
      <c r="H423" s="2" t="s">
        <v>107</v>
      </c>
      <c r="I423" s="2" t="str">
        <f>IFERROR(__xludf.DUMMYFUNCTION("GOOGLETRANSLATE(C423,""fr"",""en"")"),"Before it was good insurance and advisers listening to me I was several years now I can tell you about the compulsory options as the providents, it's good for the new steps for old ones who have bonuses 0., 50 and 15 For the good driving which we knew the"&amp;" old driver, passenger, car 0.50 and, this supplement of good driving which has no longer maintained for the drivers now")</f>
        <v>Before it was good insurance and advisers listening to me I was several years now I can tell you about the compulsory options as the providents, it's good for the new steps for old ones who have bonuses 0., 50 and 15 For the good driving which we knew the old driver, passenger, car 0.50 and, this supplement of good driving which has no longer maintained for the drivers now</v>
      </c>
    </row>
    <row r="424" ht="15.75" customHeight="1">
      <c r="A424" s="2">
        <v>5.0</v>
      </c>
      <c r="B424" s="2" t="s">
        <v>1273</v>
      </c>
      <c r="C424" s="2" t="s">
        <v>1274</v>
      </c>
      <c r="D424" s="2" t="s">
        <v>117</v>
      </c>
      <c r="E424" s="2" t="s">
        <v>14</v>
      </c>
      <c r="F424" s="2" t="s">
        <v>15</v>
      </c>
      <c r="G424" s="2" t="s">
        <v>50</v>
      </c>
      <c r="H424" s="2" t="s">
        <v>50</v>
      </c>
      <c r="I424" s="2" t="str">
        <f>IFERROR(__xludf.DUMMYFUNCTION("GOOGLETRANSLATE(C424,""fr"",""en"")"),"I have been satisfied with the services and contracts offered by the GMF for several years. I do not think of changing insurance thanks to the preferential rates that I am offered")</f>
        <v>I have been satisfied with the services and contracts offered by the GMF for several years. I do not think of changing insurance thanks to the preferential rates that I am offered</v>
      </c>
    </row>
    <row r="425" ht="15.75" customHeight="1">
      <c r="A425" s="2">
        <v>5.0</v>
      </c>
      <c r="B425" s="2" t="s">
        <v>1275</v>
      </c>
      <c r="C425" s="2" t="s">
        <v>1276</v>
      </c>
      <c r="D425" s="2" t="s">
        <v>57</v>
      </c>
      <c r="E425" s="2" t="s">
        <v>58</v>
      </c>
      <c r="F425" s="2" t="s">
        <v>15</v>
      </c>
      <c r="G425" s="2" t="s">
        <v>612</v>
      </c>
      <c r="H425" s="2" t="s">
        <v>76</v>
      </c>
      <c r="I425" s="2" t="str">
        <f>IFERROR(__xludf.DUMMYFUNCTION("GOOGLETRANSLATE(C425,""fr"",""en"")"),"Very satisfied with the price and the after -sales service. Reactive and attentive, I highly recommend for collectible vehicle, unbeatable. Clear conditions and no increase.")</f>
        <v>Very satisfied with the price and the after -sales service. Reactive and attentive, I highly recommend for collectible vehicle, unbeatable. Clear conditions and no increase.</v>
      </c>
    </row>
    <row r="426" ht="15.75" customHeight="1">
      <c r="A426" s="2">
        <v>2.0</v>
      </c>
      <c r="B426" s="2" t="s">
        <v>1277</v>
      </c>
      <c r="C426" s="2" t="s">
        <v>1278</v>
      </c>
      <c r="D426" s="2" t="s">
        <v>256</v>
      </c>
      <c r="E426" s="2" t="s">
        <v>103</v>
      </c>
      <c r="F426" s="2" t="s">
        <v>15</v>
      </c>
      <c r="G426" s="2" t="s">
        <v>1279</v>
      </c>
      <c r="H426" s="2" t="s">
        <v>81</v>
      </c>
      <c r="I426" s="2" t="str">
        <f>IFERROR(__xludf.DUMMYFUNCTION("GOOGLETRANSLATE(C426,""fr"",""en"")"),"Allianz, with you from A to Z ...... A: You subscribe, Z: you pay, in the middle there is nothing.
It takes them 3 months to change a RIB, terminate is a miracle.
There is different information between Paris (head office) and our local interlocutor. I"&amp;"n short, to flee ...")</f>
        <v>Allianz, with you from A to Z ...... A: You subscribe, Z: you pay, in the middle there is nothing.
It takes them 3 months to change a RIB, terminate is a miracle.
There is different information between Paris (head office) and our local interlocutor. In short, to flee ...</v>
      </c>
    </row>
    <row r="427" ht="15.75" customHeight="1">
      <c r="A427" s="2">
        <v>2.0</v>
      </c>
      <c r="B427" s="2" t="s">
        <v>1280</v>
      </c>
      <c r="C427" s="2" t="s">
        <v>1281</v>
      </c>
      <c r="D427" s="2" t="s">
        <v>404</v>
      </c>
      <c r="E427" s="2" t="s">
        <v>14</v>
      </c>
      <c r="F427" s="2" t="s">
        <v>15</v>
      </c>
      <c r="G427" s="2" t="s">
        <v>1282</v>
      </c>
      <c r="H427" s="2" t="s">
        <v>992</v>
      </c>
      <c r="I427" s="2" t="str">
        <f>IFERROR(__xludf.DUMMYFUNCTION("GOOGLETRANSLATE(C427,""fr"",""en"")"),"Insured at Eurofil for 7 years, they have terminated my auto insurance contract to me to the 1st loss responsible after 7 and a half years at home. Inadmissible !!! So be careful not to go to them if you don't want to be terminated on the 1st disaster! I "&amp;"am more than dissatisfaction and I will pass this message.")</f>
        <v>Insured at Eurofil for 7 years, they have terminated my auto insurance contract to me to the 1st loss responsible after 7 and a half years at home. Inadmissible !!! So be careful not to go to them if you don't want to be terminated on the 1st disaster! I am more than dissatisfaction and I will pass this message.</v>
      </c>
    </row>
    <row r="428" ht="15.75" customHeight="1">
      <c r="A428" s="2">
        <v>1.0</v>
      </c>
      <c r="B428" s="2" t="s">
        <v>1283</v>
      </c>
      <c r="C428" s="2" t="s">
        <v>1284</v>
      </c>
      <c r="D428" s="2" t="s">
        <v>256</v>
      </c>
      <c r="E428" s="2" t="s">
        <v>14</v>
      </c>
      <c r="F428" s="2" t="s">
        <v>15</v>
      </c>
      <c r="G428" s="2" t="s">
        <v>110</v>
      </c>
      <c r="H428" s="2" t="s">
        <v>111</v>
      </c>
      <c r="I428" s="2" t="str">
        <f>IFERROR(__xludf.DUMMYFUNCTION("GOOGLETRANSLATE(C428,""fr"",""en"")"),"Easy to subscribe, on the other hand, impossible to attach once the contract is subscribed. I find myself in an ubiquitous situation. My son has just had his license and for 15 days now I can't assure him because I can't reach Eallianz. I am forced to ter"&amp;"minate and go to another insurer to be able to ensure my son ...")</f>
        <v>Easy to subscribe, on the other hand, impossible to attach once the contract is subscribed. I find myself in an ubiquitous situation. My son has just had his license and for 15 days now I can't assure him because I can't reach Eallianz. I am forced to terminate and go to another insurer to be able to ensure my son ...</v>
      </c>
    </row>
    <row r="429" ht="15.75" customHeight="1">
      <c r="A429" s="2">
        <v>4.0</v>
      </c>
      <c r="B429" s="2" t="s">
        <v>1285</v>
      </c>
      <c r="C429" s="2" t="s">
        <v>1286</v>
      </c>
      <c r="D429" s="2" t="s">
        <v>13</v>
      </c>
      <c r="E429" s="2" t="s">
        <v>14</v>
      </c>
      <c r="F429" s="2" t="s">
        <v>15</v>
      </c>
      <c r="G429" s="2" t="s">
        <v>210</v>
      </c>
      <c r="H429" s="2" t="s">
        <v>50</v>
      </c>
      <c r="I429" s="2" t="str">
        <f>IFERROR(__xludf.DUMMYFUNCTION("GOOGLETRANSLATE(C429,""fr"",""en"")"),"Prices suit me they are according to my lowest research on the market.
I was also told a lot of good quality of service. I hope to be so satisfied.")</f>
        <v>Prices suit me they are according to my lowest research on the market.
I was also told a lot of good quality of service. I hope to be so satisfied.</v>
      </c>
    </row>
    <row r="430" ht="15.75" customHeight="1">
      <c r="A430" s="2">
        <v>4.0</v>
      </c>
      <c r="B430" s="2" t="s">
        <v>1287</v>
      </c>
      <c r="C430" s="2" t="s">
        <v>1288</v>
      </c>
      <c r="D430" s="2" t="s">
        <v>252</v>
      </c>
      <c r="E430" s="2" t="s">
        <v>21</v>
      </c>
      <c r="F430" s="2" t="s">
        <v>15</v>
      </c>
      <c r="G430" s="2" t="s">
        <v>375</v>
      </c>
      <c r="H430" s="2" t="s">
        <v>376</v>
      </c>
      <c r="I430" s="2" t="str">
        <f>IFERROR(__xludf.DUMMYFUNCTION("GOOGLETRANSLATE(C430,""fr"",""en"")"),"I do not understand all these negative opinions, for more than 40 years I have been a member of this mutual and I have never encountered problems, whether in terms of contacts, reimbursements or quotes. I wanted to see ""elsewhere"" sometimes to compare a"&amp;"nd each time I kept my mutual harmony contract, because ""quality/price"" relationship this mutual is at the top.")</f>
        <v>I do not understand all these negative opinions, for more than 40 years I have been a member of this mutual and I have never encountered problems, whether in terms of contacts, reimbursements or quotes. I wanted to see "elsewhere" sometimes to compare and each time I kept my mutual harmony contract, because "quality/price" relationship this mutual is at the top.</v>
      </c>
    </row>
    <row r="431" ht="15.75" customHeight="1">
      <c r="A431" s="2">
        <v>2.0</v>
      </c>
      <c r="B431" s="2" t="s">
        <v>1289</v>
      </c>
      <c r="C431" s="2" t="s">
        <v>1290</v>
      </c>
      <c r="D431" s="2" t="s">
        <v>404</v>
      </c>
      <c r="E431" s="2" t="s">
        <v>14</v>
      </c>
      <c r="F431" s="2" t="s">
        <v>15</v>
      </c>
      <c r="G431" s="2" t="s">
        <v>1291</v>
      </c>
      <c r="H431" s="2" t="s">
        <v>559</v>
      </c>
      <c r="I431" s="2" t="str">
        <f>IFERROR(__xludf.DUMMYFUNCTION("GOOGLETRANSLATE(C431,""fr"",""en"")"),"After having contacted Eurofil for a simple change of address, I am informed that my contract is resilled and that I will receive a recommended. Terminated for a change of address without explanation, with of course very expensive consequences at the next"&amp;" insurer (the advisor on the phone had claimed the opposite). I strongly advise against this insurer which hides behind the general conditions of insurance. And I read in the comments that I am far from being the only one to have known this situation with"&amp;" Eurofil ... Too bad")</f>
        <v>After having contacted Eurofil for a simple change of address, I am informed that my contract is resilled and that I will receive a recommended. Terminated for a change of address without explanation, with of course very expensive consequences at the next insurer (the advisor on the phone had claimed the opposite). I strongly advise against this insurer which hides behind the general conditions of insurance. And I read in the comments that I am far from being the only one to have known this situation with Eurofil ... Too bad</v>
      </c>
    </row>
    <row r="432" ht="15.75" customHeight="1">
      <c r="A432" s="2">
        <v>5.0</v>
      </c>
      <c r="B432" s="2" t="s">
        <v>1292</v>
      </c>
      <c r="C432" s="2" t="s">
        <v>1293</v>
      </c>
      <c r="D432" s="2" t="s">
        <v>13</v>
      </c>
      <c r="E432" s="2" t="s">
        <v>14</v>
      </c>
      <c r="F432" s="2" t="s">
        <v>15</v>
      </c>
      <c r="G432" s="2" t="s">
        <v>1294</v>
      </c>
      <c r="H432" s="2" t="s">
        <v>33</v>
      </c>
      <c r="I432" s="2" t="str">
        <f>IFERROR(__xludf.DUMMYFUNCTION("GOOGLETRANSLATE(C432,""fr"",""en"")"),"Very competitive on the insurance market.
Advisor easily reachable and of good advice.
You Drive is a significant source of savings.
I recommend")</f>
        <v>Very competitive on the insurance market.
Advisor easily reachable and of good advice.
You Drive is a significant source of savings.
I recommend</v>
      </c>
    </row>
    <row r="433" ht="15.75" customHeight="1">
      <c r="A433" s="2">
        <v>4.0</v>
      </c>
      <c r="B433" s="2" t="s">
        <v>1295</v>
      </c>
      <c r="C433" s="2" t="s">
        <v>1296</v>
      </c>
      <c r="D433" s="2" t="s">
        <v>13</v>
      </c>
      <c r="E433" s="2" t="s">
        <v>14</v>
      </c>
      <c r="F433" s="2" t="s">
        <v>15</v>
      </c>
      <c r="G433" s="2" t="s">
        <v>1297</v>
      </c>
      <c r="H433" s="2" t="s">
        <v>184</v>
      </c>
      <c r="I433" s="2" t="str">
        <f>IFERROR(__xludf.DUMMYFUNCTION("GOOGLETRANSLATE(C433,""fr"",""en"")"),"For my SLK vehicle, the Direct Insurance rate is half price compared to the postal bank with a € 0 deductible for the Ice Break")</f>
        <v>For my SLK vehicle, the Direct Insurance rate is half price compared to the postal bank with a € 0 deductible for the Ice Break</v>
      </c>
    </row>
    <row r="434" ht="15.75" customHeight="1">
      <c r="A434" s="2">
        <v>4.0</v>
      </c>
      <c r="B434" s="2" t="s">
        <v>1298</v>
      </c>
      <c r="C434" s="2" t="s">
        <v>1299</v>
      </c>
      <c r="D434" s="2" t="s">
        <v>79</v>
      </c>
      <c r="E434" s="2" t="s">
        <v>21</v>
      </c>
      <c r="F434" s="2" t="s">
        <v>15</v>
      </c>
      <c r="G434" s="2" t="s">
        <v>1300</v>
      </c>
      <c r="H434" s="2" t="s">
        <v>549</v>
      </c>
      <c r="I434" s="2" t="str">
        <f>IFERROR(__xludf.DUMMYFUNCTION("GOOGLETRANSLATE(C434,""fr"",""en"")"),"Very good mutual. Rapid reimbursements and notifications.")</f>
        <v>Very good mutual. Rapid reimbursements and notifications.</v>
      </c>
    </row>
    <row r="435" ht="15.75" customHeight="1">
      <c r="A435" s="2">
        <v>2.0</v>
      </c>
      <c r="B435" s="2" t="s">
        <v>1301</v>
      </c>
      <c r="C435" s="2" t="s">
        <v>1302</v>
      </c>
      <c r="D435" s="2" t="s">
        <v>26</v>
      </c>
      <c r="E435" s="2" t="s">
        <v>21</v>
      </c>
      <c r="F435" s="2" t="s">
        <v>15</v>
      </c>
      <c r="G435" s="2" t="s">
        <v>1303</v>
      </c>
      <c r="H435" s="2" t="s">
        <v>295</v>
      </c>
      <c r="I435" s="2" t="str">
        <f>IFERROR(__xludf.DUMMYFUNCTION("GOOGLETRANSLATE(C435,""fr"",""en"")"),"Almost impossible to terminate: the Chatel law is not applicable to them")</f>
        <v>Almost impossible to terminate: the Chatel law is not applicable to them</v>
      </c>
    </row>
    <row r="436" ht="15.75" customHeight="1">
      <c r="A436" s="2">
        <v>1.0</v>
      </c>
      <c r="B436" s="2" t="s">
        <v>1304</v>
      </c>
      <c r="C436" s="2" t="s">
        <v>1305</v>
      </c>
      <c r="D436" s="2" t="s">
        <v>222</v>
      </c>
      <c r="E436" s="2" t="s">
        <v>21</v>
      </c>
      <c r="F436" s="2" t="s">
        <v>15</v>
      </c>
      <c r="G436" s="2" t="s">
        <v>1306</v>
      </c>
      <c r="H436" s="2" t="s">
        <v>194</v>
      </c>
      <c r="I436" s="2" t="str">
        <f>IFERROR(__xludf.DUMMYFUNCTION("GOOGLETRANSLATE(C436,""fr"",""en"")"),"In October 2017 I had a Santian advisor who sold me an attractive mutual health insurance. City care + hospitalization. Malakoff MDEDERIC. And with, you are going to be happy, she said to me a ""bonus"" 'of 150 euros per day for 6 days in the event of an "&amp;"accident. I do not receive an email of the contract she tells me it will be done, do not worry, I will send you a form and you will enter your secret code to be able to sign, you can in any case withdraw if you change your mind .... Confident, I sign elec"&amp;"tronically without having any details of the contract. I! I found myself with a mutual insurance company only ensuring hospitalization and ""the famous bonus"" which is in fact an EPSIL provident insurance (I already have one at my insurer.) After around "&amp;"twenty blows and 19 emails I Finally obtained the withdrawal of the Malakoff mutual confirmed by email and by phone today, by Néoliane. Who tells me that on the other hand, for the foresight I must call Santian. I have been taken since January 05 of this "&amp;"accident prevention that I have never wanted and which was sold to me fraudulently. I have of course opposed.
I put this message on Néoliane and I put it back on Santiane because I think it is the same broker, and that one tells me to call the other.
Th"&amp;"is day 23rd call without coherent response.
")</f>
        <v>In October 2017 I had a Santian advisor who sold me an attractive mutual health insurance. City care + hospitalization. Malakoff MDEDERIC. And with, you are going to be happy, she said to me a "bonus" 'of 150 euros per day for 6 days in the event of an accident. I do not receive an email of the contract she tells me it will be done, do not worry, I will send you a form and you will enter your secret code to be able to sign, you can in any case withdraw if you change your mind .... Confident, I sign electronically without having any details of the contract. I! I found myself with a mutual insurance company only ensuring hospitalization and "the famous bonus" which is in fact an EPSIL provident insurance (I already have one at my insurer.) After around twenty blows and 19 emails I Finally obtained the withdrawal of the Malakoff mutual confirmed by email and by phone today, by Néoliane. Who tells me that on the other hand, for the foresight I must call Santian. I have been taken since January 05 of this accident prevention that I have never wanted and which was sold to me fraudulently. I have of course opposed.
I put this message on Néoliane and I put it back on Santiane because I think it is the same broker, and that one tells me to call the other.
This day 23rd call without coherent response.
</v>
      </c>
    </row>
    <row r="437" ht="15.75" customHeight="1">
      <c r="A437" s="2">
        <v>1.0</v>
      </c>
      <c r="B437" s="2" t="s">
        <v>1307</v>
      </c>
      <c r="C437" s="2" t="s">
        <v>1308</v>
      </c>
      <c r="D437" s="2" t="s">
        <v>304</v>
      </c>
      <c r="E437" s="2" t="s">
        <v>58</v>
      </c>
      <c r="F437" s="2" t="s">
        <v>15</v>
      </c>
      <c r="G437" s="2" t="s">
        <v>685</v>
      </c>
      <c r="H437" s="2" t="s">
        <v>549</v>
      </c>
      <c r="I437" s="2" t="str">
        <f>IFERROR(__xludf.DUMMYFUNCTION("GOOGLETRANSLATE(C437,""fr"",""en"")"),"Insured for over 25 years, no consideration of the customer, no telephone support still awaiting reimbursement since March (6 months) despite a revival in the offices.")</f>
        <v>Insured for over 25 years, no consideration of the customer, no telephone support still awaiting reimbursement since March (6 months) despite a revival in the offices.</v>
      </c>
    </row>
    <row r="438" ht="15.75" customHeight="1">
      <c r="A438" s="2">
        <v>5.0</v>
      </c>
      <c r="B438" s="2" t="s">
        <v>1309</v>
      </c>
      <c r="C438" s="2" t="s">
        <v>1310</v>
      </c>
      <c r="D438" s="2" t="s">
        <v>31</v>
      </c>
      <c r="E438" s="2" t="s">
        <v>14</v>
      </c>
      <c r="F438" s="2" t="s">
        <v>15</v>
      </c>
      <c r="G438" s="2" t="s">
        <v>107</v>
      </c>
      <c r="H438" s="2" t="s">
        <v>107</v>
      </c>
      <c r="I438" s="2" t="str">
        <f>IFERROR(__xludf.DUMMYFUNCTION("GOOGLETRANSLATE(C438,""fr"",""en"")"),"Hello I am Mr. Bensadok Sofiane I 9SUIS STATE OF THE SERVICE L Olivier Insurance 5/5 I will transmit the service to my work colleagues")</f>
        <v>Hello I am Mr. Bensadok Sofiane I 9SUIS STATE OF THE SERVICE L Olivier Insurance 5/5 I will transmit the service to my work colleagues</v>
      </c>
    </row>
    <row r="439" ht="15.75" customHeight="1">
      <c r="A439" s="2">
        <v>2.0</v>
      </c>
      <c r="B439" s="2" t="s">
        <v>1311</v>
      </c>
      <c r="C439" s="2" t="s">
        <v>1312</v>
      </c>
      <c r="D439" s="2" t="s">
        <v>102</v>
      </c>
      <c r="E439" s="2" t="s">
        <v>103</v>
      </c>
      <c r="F439" s="2" t="s">
        <v>15</v>
      </c>
      <c r="G439" s="2" t="s">
        <v>1313</v>
      </c>
      <c r="H439" s="2" t="s">
        <v>290</v>
      </c>
      <c r="I439" s="2" t="str">
        <f>IFERROR(__xludf.DUMMYFUNCTION("GOOGLETRANSLATE(C439,""fr"",""en"")"),"Despite a long loyalty of more than 15 years and no claimed home, we have radically changed an opinion on this insurance following a recent disorder appeared on our swimming pool, an indirect consequence of floods recognized in natural disasters in our to"&amp;"wn by decree published In the Olympic Games. This disorder appeared at the level of an old repair which did not withstand the rise of water induced by these heavy rain. MAIF has mandated an expert who did not try to analyze the quality of this old compens"&amp;"ation in the presence of the company that had made this work (no call for responsibility from this company), and noted that the 'Catastrophe decree focused only on the flooding character and not the induced consequences of the rise in hydrostatic pressure"&amp;"s.
We thought of our good situation and the small amount in play that Maif would quickly take care of this classic disaster that we are undergoing directly. But there was no listening or a commercial approach. Our contact has entrenched behind a hard pos"&amp;"ition of its management. Caught in ""sandwich"" on damage for which we have no responsibility, we are taking the decision to change my insurer today because we have lost all confidence in their customer relationships on the management of claims.")</f>
        <v>Despite a long loyalty of more than 15 years and no claimed home, we have radically changed an opinion on this insurance following a recent disorder appeared on our swimming pool, an indirect consequence of floods recognized in natural disasters in our town by decree published In the Olympic Games. This disorder appeared at the level of an old repair which did not withstand the rise of water induced by these heavy rain. MAIF has mandated an expert who did not try to analyze the quality of this old compensation in the presence of the company that had made this work (no call for responsibility from this company), and noted that the 'Catastrophe decree focused only on the flooding character and not the induced consequences of the rise in hydrostatic pressures.
We thought of our good situation and the small amount in play that Maif would quickly take care of this classic disaster that we are undergoing directly. But there was no listening or a commercial approach. Our contact has entrenched behind a hard position of its management. Caught in "sandwich" on damage for which we have no responsibility, we are taking the decision to change my insurer today because we have lost all confidence in their customer relationships on the management of claims.</v>
      </c>
    </row>
    <row r="440" ht="15.75" customHeight="1">
      <c r="A440" s="2">
        <v>4.0</v>
      </c>
      <c r="B440" s="2" t="s">
        <v>1314</v>
      </c>
      <c r="C440" s="2" t="s">
        <v>1315</v>
      </c>
      <c r="D440" s="2" t="s">
        <v>31</v>
      </c>
      <c r="E440" s="2" t="s">
        <v>14</v>
      </c>
      <c r="F440" s="2" t="s">
        <v>15</v>
      </c>
      <c r="G440" s="2" t="s">
        <v>1119</v>
      </c>
      <c r="H440" s="2" t="s">
        <v>17</v>
      </c>
      <c r="I440" s="2" t="str">
        <f>IFERROR(__xludf.DUMMYFUNCTION("GOOGLETRANSLATE(C440,""fr"",""en"")"),"I am satisfied with the service. Reception and advice during the quote proposal was very professional.
Competitive prices and accessible to young students
")</f>
        <v>I am satisfied with the service. Reception and advice during the quote proposal was very professional.
Competitive prices and accessible to young students
</v>
      </c>
    </row>
    <row r="441" ht="15.75" customHeight="1">
      <c r="A441" s="2">
        <v>1.0</v>
      </c>
      <c r="B441" s="2" t="s">
        <v>1316</v>
      </c>
      <c r="C441" s="2" t="s">
        <v>1317</v>
      </c>
      <c r="D441" s="2" t="s">
        <v>84</v>
      </c>
      <c r="E441" s="2" t="s">
        <v>14</v>
      </c>
      <c r="F441" s="2" t="s">
        <v>15</v>
      </c>
      <c r="G441" s="2" t="s">
        <v>1318</v>
      </c>
      <c r="H441" s="2" t="s">
        <v>415</v>
      </c>
      <c r="I441" s="2" t="str">
        <f>IFERROR(__xludf.DUMMYFUNCTION("GOOGLETRANSLATE(C441,""fr"",""en"")"),"Following an accident abroad with a deer therefore not responsible
I find myself in contact with foreign assistance where the head office must be located in Germany with incompetent staff but beyond all of this rude disrespectful and above all arrogant t"&amp;"hen for my part my mishap will serve as a lesson")</f>
        <v>Following an accident abroad with a deer therefore not responsible
I find myself in contact with foreign assistance where the head office must be located in Germany with incompetent staff but beyond all of this rude disrespectful and above all arrogant then for my part my mishap will serve as a lesson</v>
      </c>
    </row>
    <row r="442" ht="15.75" customHeight="1">
      <c r="A442" s="2">
        <v>4.0</v>
      </c>
      <c r="B442" s="2" t="s">
        <v>1319</v>
      </c>
      <c r="C442" s="2" t="s">
        <v>1320</v>
      </c>
      <c r="D442" s="2" t="s">
        <v>74</v>
      </c>
      <c r="E442" s="2" t="s">
        <v>58</v>
      </c>
      <c r="F442" s="2" t="s">
        <v>15</v>
      </c>
      <c r="G442" s="2" t="s">
        <v>66</v>
      </c>
      <c r="H442" s="2" t="s">
        <v>50</v>
      </c>
      <c r="I442" s="2" t="str">
        <f>IFERROR(__xludf.DUMMYFUNCTION("GOOGLETRANSLATE(C442,""fr"",""en"")"),"Very well thank you it was quick and I was lucky to have your insurance. I hope I wouldn't be disappointed. Thanking you and wishing you good luck")</f>
        <v>Very well thank you it was quick and I was lucky to have your insurance. I hope I wouldn't be disappointed. Thanking you and wishing you good luck</v>
      </c>
    </row>
    <row r="443" ht="15.75" customHeight="1">
      <c r="A443" s="2">
        <v>2.0</v>
      </c>
      <c r="B443" s="2" t="s">
        <v>1321</v>
      </c>
      <c r="C443" s="2" t="s">
        <v>1322</v>
      </c>
      <c r="D443" s="2" t="s">
        <v>496</v>
      </c>
      <c r="E443" s="2" t="s">
        <v>21</v>
      </c>
      <c r="F443" s="2" t="s">
        <v>15</v>
      </c>
      <c r="G443" s="2" t="s">
        <v>1323</v>
      </c>
      <c r="H443" s="2" t="s">
        <v>170</v>
      </c>
      <c r="I443" s="2" t="str">
        <f>IFERROR(__xludf.DUMMYFUNCTION("GOOGLETRANSLATE(C443,""fr"",""en"")"),"Once the contract is signed, your advisor is untouchable, no one online despite a call every day, and no response to emails!")</f>
        <v>Once the contract is signed, your advisor is untouchable, no one online despite a call every day, and no response to emails!</v>
      </c>
    </row>
    <row r="444" ht="15.75" customHeight="1">
      <c r="A444" s="2">
        <v>1.0</v>
      </c>
      <c r="B444" s="2" t="s">
        <v>1324</v>
      </c>
      <c r="C444" s="2" t="s">
        <v>1325</v>
      </c>
      <c r="D444" s="2" t="s">
        <v>450</v>
      </c>
      <c r="E444" s="2" t="s">
        <v>317</v>
      </c>
      <c r="F444" s="2" t="s">
        <v>15</v>
      </c>
      <c r="G444" s="2" t="s">
        <v>1326</v>
      </c>
      <c r="H444" s="2" t="s">
        <v>122</v>
      </c>
      <c r="I444" s="2" t="str">
        <f>IFERROR(__xludf.DUMMYFUNCTION("GOOGLETRANSLATE(C444,""fr"",""en"")"),"Very difficult to recover your money: everything is done so that we cannot contact the right contact and everything is a pretext to delay payment. I was the benefit of a life insurance contract. Recovering this money was long and tedious. In addition, fol"&amp;"lowing the trial of embezzlement of funds by the former leaders, the deceased insured person had brought civil action. The AFER association had to recover this money from these condemned leaders. She recovered part of this diverted money and did not donat"&amp;"e it to me. When we call the headquarters (0140822424), it is pretext that only the AFER association can answer us and that it can only be reachable by post (!).
While the AFER and GIE AFER association have the same domiciliation address and the same pre"&amp;"sident! They take us for pigeons.
Obviously I do not receive any response to my payment requests ...
Flee AFER!")</f>
        <v>Very difficult to recover your money: everything is done so that we cannot contact the right contact and everything is a pretext to delay payment. I was the benefit of a life insurance contract. Recovering this money was long and tedious. In addition, following the trial of embezzlement of funds by the former leaders, the deceased insured person had brought civil action. The AFER association had to recover this money from these condemned leaders. She recovered part of this diverted money and did not donate it to me. When we call the headquarters (0140822424), it is pretext that only the AFER association can answer us and that it can only be reachable by post (!).
While the AFER and GIE AFER association have the same domiciliation address and the same president! They take us for pigeons.
Obviously I do not receive any response to my payment requests ...
Flee AFER!</v>
      </c>
    </row>
    <row r="445" ht="15.75" customHeight="1">
      <c r="A445" s="2">
        <v>1.0</v>
      </c>
      <c r="B445" s="2" t="s">
        <v>1327</v>
      </c>
      <c r="C445" s="2" t="s">
        <v>1328</v>
      </c>
      <c r="D445" s="2" t="s">
        <v>182</v>
      </c>
      <c r="E445" s="2" t="s">
        <v>14</v>
      </c>
      <c r="F445" s="2" t="s">
        <v>15</v>
      </c>
      <c r="G445" s="2" t="s">
        <v>1329</v>
      </c>
      <c r="H445" s="2" t="s">
        <v>23</v>
      </c>
      <c r="I445" s="2" t="str">
        <f>IFERROR(__xludf.DUMMYFUNCTION("GOOGLETRANSLATE(C445,""fr"",""en"")"),"I was the victim of a car accident on 07/18/2020. A vehicle arrived in front of me, on my traffic lane. Assessment: HS vehicle, broken wrist and jaw fracture for my 17 -year -old son.
After having fought months with my AXA insurance so that they will cov"&amp;"er the guard costs, and despite the fact that they received the gendarmerie PV and filing of complaints, I am still waiting for confirmation of everyone's responsibilities and therefore reimbursement of my vehicle.
Customer service being not very profess"&amp;"ional. Indeed, at the start it was confirmed to me that the third party was not insured, that the warranty will take charge of the case.
Two months later, change: the third party was well assured! Conclusion We go back to zero. With each contact with the"&amp;" sinister service, I have to tell the whole story again.
At the bodily level, the contact was better at the start. Expertise took place in December. The compensation proposal is low given the physical consequences, especially for my son, who must keep a "&amp;"plate for life on his jaw and has constant pain.
We had asked for a doctor to assist us for the expertise. This provided us with a case law of May 2019 indicating that insurance must pay fully the costs of the advisory doctors to the insured. But AXA rep"&amp;"lied that they only pay a package of 790 euros (invoices for my son and I were total of 1820EUR). I am not satisfied with customer follow -up.
A week ago that I asked for the details of the costing of compensation. No return !
How is it that since July "&amp;"2020, the driver of the opposing party has still not been heard, see, found!
My vehicle has still not been reimbursed to me: I had to advance funds to buy a car.
I have always set my contributions. I am not wrongly (oral confirmation of the advisor foll"&amp;"owing receipt of the gendarmerie PV) and I always wait!
A customer who is not responsible for what is happening to him should be reassured supported and correctly compensated by his insurance (this is the principle, right?)
Be assured yes, but it should"&amp;" not happen to you !!!
")</f>
        <v>I was the victim of a car accident on 07/18/2020. A vehicle arrived in front of me, on my traffic lane. Assessment: HS vehicle, broken wrist and jaw fracture for my 17 -year -old son.
After having fought months with my AXA insurance so that they will cover the guard costs, and despite the fact that they received the gendarmerie PV and filing of complaints, I am still waiting for confirmation of everyone's responsibilities and therefore reimbursement of my vehicle.
Customer service being not very professional. Indeed, at the start it was confirmed to me that the third party was not insured, that the warranty will take charge of the case.
Two months later, change: the third party was well assured! Conclusion We go back to zero. With each contact with the sinister service, I have to tell the whole story again.
At the bodily level, the contact was better at the start. Expertise took place in December. The compensation proposal is low given the physical consequences, especially for my son, who must keep a plate for life on his jaw and has constant pain.
We had asked for a doctor to assist us for the expertise. This provided us with a case law of May 2019 indicating that insurance must pay fully the costs of the advisory doctors to the insured. But AXA replied that they only pay a package of 790 euros (invoices for my son and I were total of 1820EUR). I am not satisfied with customer follow -up.
A week ago that I asked for the details of the costing of compensation. No return !
How is it that since July 2020, the driver of the opposing party has still not been heard, see, found!
My vehicle has still not been reimbursed to me: I had to advance funds to buy a car.
I have always set my contributions. I am not wrongly (oral confirmation of the advisor following receipt of the gendarmerie PV) and I always wait!
A customer who is not responsible for what is happening to him should be reassured supported and correctly compensated by his insurance (this is the principle, right?)
Be assured yes, but it should not happen to you !!!
</v>
      </c>
    </row>
    <row r="446" ht="15.75" customHeight="1">
      <c r="A446" s="2">
        <v>1.0</v>
      </c>
      <c r="B446" s="2" t="s">
        <v>1330</v>
      </c>
      <c r="C446" s="2" t="s">
        <v>1331</v>
      </c>
      <c r="D446" s="2" t="s">
        <v>31</v>
      </c>
      <c r="E446" s="2" t="s">
        <v>14</v>
      </c>
      <c r="F446" s="2" t="s">
        <v>15</v>
      </c>
      <c r="G446" s="2" t="s">
        <v>1332</v>
      </c>
      <c r="H446" s="2" t="s">
        <v>516</v>
      </c>
      <c r="I446" s="2" t="str">
        <f>IFERROR(__xludf.DUMMYFUNCTION("GOOGLETRANSLATE(C446,""fr"",""en"")"),"Increase of more than 25% of my car insurance premium, which thus increases from 407 euros to the subscription to 521 euros for the second year to come.
However, I have had no accidents or disaster for 7 years.
On what basis, on which index do you refer"&amp;" to justify such an increase ????
I thought that the olive assurance was freezing its prices in 2017 and increased only its former customers weakly to retain them.
Please send me the text or the index to justify this mind -blowing increase of more than "&amp;"25%.")</f>
        <v>Increase of more than 25% of my car insurance premium, which thus increases from 407 euros to the subscription to 521 euros for the second year to come.
However, I have had no accidents or disaster for 7 years.
On what basis, on which index do you refer to justify such an increase ????
I thought that the olive assurance was freezing its prices in 2017 and increased only its former customers weakly to retain them.
Please send me the text or the index to justify this mind -blowing increase of more than 25%.</v>
      </c>
    </row>
    <row r="447" ht="15.75" customHeight="1">
      <c r="A447" s="2">
        <v>2.0</v>
      </c>
      <c r="B447" s="2" t="s">
        <v>1333</v>
      </c>
      <c r="C447" s="2" t="s">
        <v>1334</v>
      </c>
      <c r="D447" s="2" t="s">
        <v>117</v>
      </c>
      <c r="E447" s="2" t="s">
        <v>14</v>
      </c>
      <c r="F447" s="2" t="s">
        <v>15</v>
      </c>
      <c r="G447" s="2" t="s">
        <v>1162</v>
      </c>
      <c r="H447" s="2" t="s">
        <v>130</v>
      </c>
      <c r="I447" s="2" t="str">
        <f>IFERROR(__xludf.DUMMYFUNCTION("GOOGLETRANSLATE(C447,""fr"",""en"")"),"Everything is fine until we criticize a false promise
Telephone harassment without taking into account if you are busy working or not, then ultimately the subscription ban for mood incompatibility. Service complaint that stiffens the same thing by respon"&amp;"ding next to it, the unacceptable attitude of a single agent goes by the way, that does not bother anyone exclusion or harassment ...
So anniversary termination. For surely human we will iron ...")</f>
        <v>Everything is fine until we criticize a false promise
Telephone harassment without taking into account if you are busy working or not, then ultimately the subscription ban for mood incompatibility. Service complaint that stiffens the same thing by responding next to it, the unacceptable attitude of a single agent goes by the way, that does not bother anyone exclusion or harassment ...
So anniversary termination. For surely human we will iron ...</v>
      </c>
    </row>
    <row r="448" ht="15.75" customHeight="1">
      <c r="A448" s="2">
        <v>3.0</v>
      </c>
      <c r="B448" s="2" t="s">
        <v>1335</v>
      </c>
      <c r="C448" s="2" t="s">
        <v>1336</v>
      </c>
      <c r="D448" s="2" t="s">
        <v>128</v>
      </c>
      <c r="E448" s="2" t="s">
        <v>14</v>
      </c>
      <c r="F448" s="2" t="s">
        <v>15</v>
      </c>
      <c r="G448" s="2" t="s">
        <v>549</v>
      </c>
      <c r="H448" s="2" t="s">
        <v>549</v>
      </c>
      <c r="I448" s="2" t="str">
        <f>IFERROR(__xludf.DUMMYFUNCTION("GOOGLETRANSLATE(C448,""fr"",""en"")"),"It was good insurance that allowed me to help out my car quickly during a breakdown.")</f>
        <v>It was good insurance that allowed me to help out my car quickly during a breakdown.</v>
      </c>
    </row>
    <row r="449" ht="15.75" customHeight="1">
      <c r="A449" s="2">
        <v>1.0</v>
      </c>
      <c r="B449" s="2" t="s">
        <v>1337</v>
      </c>
      <c r="C449" s="2" t="s">
        <v>1338</v>
      </c>
      <c r="D449" s="2" t="s">
        <v>942</v>
      </c>
      <c r="E449" s="2" t="s">
        <v>317</v>
      </c>
      <c r="F449" s="2" t="s">
        <v>15</v>
      </c>
      <c r="G449" s="2" t="s">
        <v>1339</v>
      </c>
      <c r="H449" s="2" t="s">
        <v>609</v>
      </c>
      <c r="I449" s="2" t="str">
        <f>IFERROR(__xludf.DUMMYFUNCTION("GOOGLETRANSLATE(C449,""fr"",""en"")"),"Very bad service, following the death of my mother, we were contacted by the succession service which asks us for the contact of our notary, it has been several weeks that we have no more news and that the service strolls us in service in Service more tha"&amp;"n 35 minutes on the phone with interlocutors who contradict each other each time, more than 4 different phone numbers, to say that they cannot tell us anything. Our situation is blocked and they have no consideration for their late loyal customers.
He we"&amp;" even replied that we can take a lawyer that it would not change anything for them, it shows a certain big group with the solid kidneys ...
")</f>
        <v>Very bad service, following the death of my mother, we were contacted by the succession service which asks us for the contact of our notary, it has been several weeks that we have no more news and that the service strolls us in service in Service more than 35 minutes on the phone with interlocutors who contradict each other each time, more than 4 different phone numbers, to say that they cannot tell us anything. Our situation is blocked and they have no consideration for their late loyal customers.
He we even replied that we can take a lawyer that it would not change anything for them, it shows a certain big group with the solid kidneys ...
</v>
      </c>
    </row>
    <row r="450" ht="15.75" customHeight="1">
      <c r="A450" s="2">
        <v>4.0</v>
      </c>
      <c r="B450" s="2" t="s">
        <v>1340</v>
      </c>
      <c r="C450" s="2" t="s">
        <v>1341</v>
      </c>
      <c r="D450" s="2" t="s">
        <v>31</v>
      </c>
      <c r="E450" s="2" t="s">
        <v>14</v>
      </c>
      <c r="F450" s="2" t="s">
        <v>15</v>
      </c>
      <c r="G450" s="2" t="s">
        <v>543</v>
      </c>
      <c r="H450" s="2" t="s">
        <v>17</v>
      </c>
      <c r="I450" s="2" t="str">
        <f>IFERROR(__xludf.DUMMYFUNCTION("GOOGLETRANSLATE(C450,""fr"",""en"")"),"I am satisfied with the service.
The prices suit me.
The formalities are simple, the site is practical and friendly.
Cordially,
Louis Touret.")</f>
        <v>I am satisfied with the service.
The prices suit me.
The formalities are simple, the site is practical and friendly.
Cordially,
Louis Touret.</v>
      </c>
    </row>
    <row r="451" ht="15.75" customHeight="1">
      <c r="A451" s="2">
        <v>4.0</v>
      </c>
      <c r="B451" s="2" t="s">
        <v>1342</v>
      </c>
      <c r="C451" s="2" t="s">
        <v>1343</v>
      </c>
      <c r="D451" s="2" t="s">
        <v>84</v>
      </c>
      <c r="E451" s="2" t="s">
        <v>14</v>
      </c>
      <c r="F451" s="2" t="s">
        <v>15</v>
      </c>
      <c r="G451" s="2" t="s">
        <v>1344</v>
      </c>
      <c r="H451" s="2" t="s">
        <v>17</v>
      </c>
      <c r="I451" s="2" t="str">
        <f>IFERROR(__xludf.DUMMYFUNCTION("GOOGLETRANSLATE(C451,""fr"",""en"")"),"Before satisfied but suite import vehicle from GB Francisation in 4 months but terminated by the seat because not fast enough
Applied the 2 months without taking into account the information transmitted locally or the fact that 3 other vehicles insured a"&amp;"t home")</f>
        <v>Before satisfied but suite import vehicle from GB Francisation in 4 months but terminated by the seat because not fast enough
Applied the 2 months without taking into account the information transmitted locally or the fact that 3 other vehicles insured at home</v>
      </c>
    </row>
    <row r="452" ht="15.75" customHeight="1">
      <c r="A452" s="2">
        <v>1.0</v>
      </c>
      <c r="B452" s="2" t="s">
        <v>1345</v>
      </c>
      <c r="C452" s="2" t="s">
        <v>1346</v>
      </c>
      <c r="D452" s="2" t="s">
        <v>13</v>
      </c>
      <c r="E452" s="2" t="s">
        <v>14</v>
      </c>
      <c r="F452" s="2" t="s">
        <v>15</v>
      </c>
      <c r="G452" s="2" t="s">
        <v>883</v>
      </c>
      <c r="H452" s="2" t="s">
        <v>33</v>
      </c>
      <c r="I452" s="2" t="str">
        <f>IFERROR(__xludf.DUMMYFUNCTION("GOOGLETRANSLATE(C452,""fr"",""en"")"),"Management of absurd customers and only aimed at making money and not to help their customers in a disaster. You systematically seek to maximize the penalty of your customers to raise the premiums.")</f>
        <v>Management of absurd customers and only aimed at making money and not to help their customers in a disaster. You systematically seek to maximize the penalty of your customers to raise the premiums.</v>
      </c>
    </row>
    <row r="453" ht="15.75" customHeight="1">
      <c r="A453" s="2">
        <v>1.0</v>
      </c>
      <c r="B453" s="2" t="s">
        <v>1347</v>
      </c>
      <c r="C453" s="2" t="s">
        <v>1348</v>
      </c>
      <c r="D453" s="2" t="s">
        <v>117</v>
      </c>
      <c r="E453" s="2" t="s">
        <v>103</v>
      </c>
      <c r="F453" s="2" t="s">
        <v>15</v>
      </c>
      <c r="G453" s="2" t="s">
        <v>695</v>
      </c>
      <c r="H453" s="2" t="s">
        <v>81</v>
      </c>
      <c r="I453" s="2" t="str">
        <f>IFERROR(__xludf.DUMMYFUNCTION("GOOGLETRANSLATE(C453,""fr"",""en"")"),"Go your way !!! No compensation in the event of burglary ... jewelry is not taken into account in the amount of compensation ... But of course it is well known that burglars are interested in dishes and not in gold ! Frankly, there is no point in paying i"&amp;"nsurance every month to have nothing in the event of a disaster. Really go to another insurer.")</f>
        <v>Go your way !!! No compensation in the event of burglary ... jewelry is not taken into account in the amount of compensation ... But of course it is well known that burglars are interested in dishes and not in gold ! Frankly, there is no point in paying insurance every month to have nothing in the event of a disaster. Really go to another insurer.</v>
      </c>
    </row>
    <row r="454" ht="15.75" customHeight="1">
      <c r="A454" s="2">
        <v>5.0</v>
      </c>
      <c r="B454" s="2" t="s">
        <v>1349</v>
      </c>
      <c r="C454" s="2" t="s">
        <v>1350</v>
      </c>
      <c r="D454" s="2" t="s">
        <v>240</v>
      </c>
      <c r="E454" s="2" t="s">
        <v>241</v>
      </c>
      <c r="F454" s="2" t="s">
        <v>15</v>
      </c>
      <c r="G454" s="2" t="s">
        <v>50</v>
      </c>
      <c r="H454" s="2" t="s">
        <v>50</v>
      </c>
      <c r="I454" s="2" t="str">
        <f>IFERROR(__xludf.DUMMYFUNCTION("GOOGLETRANSLATE(C454,""fr"",""en"")"),"I am satisfied with the service in accordance with my expectations
The service is very fast and allows you to have a competitive offer and quickly
Thank you Zen Up for the service")</f>
        <v>I am satisfied with the service in accordance with my expectations
The service is very fast and allows you to have a competitive offer and quickly
Thank you Zen Up for the service</v>
      </c>
    </row>
    <row r="455" ht="15.75" customHeight="1">
      <c r="A455" s="2">
        <v>1.0</v>
      </c>
      <c r="B455" s="2" t="s">
        <v>1351</v>
      </c>
      <c r="C455" s="2" t="s">
        <v>1352</v>
      </c>
      <c r="D455" s="2" t="s">
        <v>136</v>
      </c>
      <c r="E455" s="2" t="s">
        <v>14</v>
      </c>
      <c r="F455" s="2" t="s">
        <v>15</v>
      </c>
      <c r="G455" s="2" t="s">
        <v>1353</v>
      </c>
      <c r="H455" s="2" t="s">
        <v>1024</v>
      </c>
      <c r="I455" s="2" t="str">
        <f>IFERROR(__xludf.DUMMYFUNCTION("GOOGLETRANSLATE(C455,""fr"",""en"")"),"When I see the ""negative"" comments on Pacifica, I laugh !!!!! How do the insured do to be so stupid ????? Pacifica is a subsidiary of agricultural credit (or agricultural credit to the last news is a bank !!!!) A bank is not an insurer and vice versa !!"&amp;"! Would you go to buy your bread at the butcher ???? Is there a MACIF (or Maaf?) Ticket distributor?). To want everything, we destroy everything!")</f>
        <v>When I see the "negative" comments on Pacifica, I laugh !!!!! How do the insured do to be so stupid ????? Pacifica is a subsidiary of agricultural credit (or agricultural credit to the last news is a bank !!!!) A bank is not an insurer and vice versa !!! Would you go to buy your bread at the butcher ???? Is there a MACIF (or Maaf?) Ticket distributor?). To want everything, we destroy everything!</v>
      </c>
    </row>
    <row r="456" ht="15.75" customHeight="1">
      <c r="A456" s="2">
        <v>5.0</v>
      </c>
      <c r="B456" s="2" t="s">
        <v>1354</v>
      </c>
      <c r="C456" s="2" t="s">
        <v>1355</v>
      </c>
      <c r="D456" s="2" t="s">
        <v>13</v>
      </c>
      <c r="E456" s="2" t="s">
        <v>14</v>
      </c>
      <c r="F456" s="2" t="s">
        <v>15</v>
      </c>
      <c r="G456" s="2" t="s">
        <v>1111</v>
      </c>
      <c r="H456" s="2" t="s">
        <v>60</v>
      </c>
      <c r="I456" s="2" t="str">
        <f>IFERROR(__xludf.DUMMYFUNCTION("GOOGLETRANSLATE(C456,""fr"",""en"")"),"I am satisfied with the services
 Prices suit me
 I recommend
Simple fast efficient.
Online payment
I no longer add anything knowing.")</f>
        <v>I am satisfied with the services
 Prices suit me
 I recommend
Simple fast efficient.
Online payment
I no longer add anything knowing.</v>
      </c>
    </row>
    <row r="457" ht="15.75" customHeight="1">
      <c r="A457" s="2">
        <v>1.0</v>
      </c>
      <c r="B457" s="2" t="s">
        <v>1356</v>
      </c>
      <c r="C457" s="2" t="s">
        <v>1357</v>
      </c>
      <c r="D457" s="2" t="s">
        <v>256</v>
      </c>
      <c r="E457" s="2" t="s">
        <v>14</v>
      </c>
      <c r="F457" s="2" t="s">
        <v>15</v>
      </c>
      <c r="G457" s="2" t="s">
        <v>63</v>
      </c>
      <c r="H457" s="2" t="s">
        <v>50</v>
      </c>
      <c r="I457" s="2" t="str">
        <f>IFERROR(__xludf.DUMMYFUNCTION("GOOGLETRANSLATE(C457,""fr"",""en"")"),"Allianz Legal Protection of disconcerting incompetence.
We have two PJ contracts at Allianz, one with my name the other in the name of my spouse.
We are implicated by a co -owner, my spouse's file was taken care of after 3 refusals but mine which turns "&amp;"out to be exactly the same with the same documents provided, no.
They are magic at Allianz")</f>
        <v>Allianz Legal Protection of disconcerting incompetence.
We have two PJ contracts at Allianz, one with my name the other in the name of my spouse.
We are implicated by a co -owner, my spouse's file was taken care of after 3 refusals but mine which turns out to be exactly the same with the same documents provided, no.
They are magic at Allianz</v>
      </c>
    </row>
    <row r="458" ht="15.75" customHeight="1">
      <c r="A458" s="2">
        <v>1.0</v>
      </c>
      <c r="B458" s="2" t="s">
        <v>1358</v>
      </c>
      <c r="C458" s="2" t="s">
        <v>1359</v>
      </c>
      <c r="D458" s="2" t="s">
        <v>222</v>
      </c>
      <c r="E458" s="2" t="s">
        <v>21</v>
      </c>
      <c r="F458" s="2" t="s">
        <v>15</v>
      </c>
      <c r="G458" s="2" t="s">
        <v>729</v>
      </c>
      <c r="H458" s="2" t="s">
        <v>107</v>
      </c>
      <c r="I458" s="2" t="str">
        <f>IFERROR(__xludf.DUMMYFUNCTION("GOOGLETRANSLATE(C458,""fr"",""en"")"),"Refunds for care to request in October and only reimbursed in May of the following year. And I try to terminate since January and asked for me has just been received in July and a month ago, termination ask following a business mutual therefore I pay € 64"&amp;"0 for anything knowing that everything Care since January has not been reimbursed. They keep asking me for the certificates that I provide, it is where refusals or no response. Mutual to flee, each advisor goes from its small excuse and stroll with each c"&amp;"all.")</f>
        <v>Refunds for care to request in October and only reimbursed in May of the following year. And I try to terminate since January and asked for me has just been received in July and a month ago, termination ask following a business mutual therefore I pay € 640 for anything knowing that everything Care since January has not been reimbursed. They keep asking me for the certificates that I provide, it is where refusals or no response. Mutual to flee, each advisor goes from its small excuse and stroll with each call.</v>
      </c>
    </row>
    <row r="459" ht="15.75" customHeight="1">
      <c r="A459" s="2">
        <v>4.0</v>
      </c>
      <c r="B459" s="2" t="s">
        <v>1360</v>
      </c>
      <c r="C459" s="2" t="s">
        <v>1361</v>
      </c>
      <c r="D459" s="2" t="s">
        <v>31</v>
      </c>
      <c r="E459" s="2" t="s">
        <v>14</v>
      </c>
      <c r="F459" s="2" t="s">
        <v>15</v>
      </c>
      <c r="G459" s="2" t="s">
        <v>744</v>
      </c>
      <c r="H459" s="2" t="s">
        <v>33</v>
      </c>
      <c r="I459" s="2" t="str">
        <f>IFERROR(__xludf.DUMMYFUNCTION("GOOGLETRANSLATE(C459,""fr"",""en"")"),"Processing of the file and very fast validation attractive price diversified offer to adapt to all the very good service needs I highly recommend")</f>
        <v>Processing of the file and very fast validation attractive price diversified offer to adapt to all the very good service needs I highly recommend</v>
      </c>
    </row>
    <row r="460" ht="15.75" customHeight="1">
      <c r="A460" s="2">
        <v>1.0</v>
      </c>
      <c r="B460" s="2" t="s">
        <v>1362</v>
      </c>
      <c r="C460" s="2" t="s">
        <v>1363</v>
      </c>
      <c r="D460" s="2" t="s">
        <v>102</v>
      </c>
      <c r="E460" s="2" t="s">
        <v>14</v>
      </c>
      <c r="F460" s="2" t="s">
        <v>15</v>
      </c>
      <c r="G460" s="2" t="s">
        <v>1364</v>
      </c>
      <c r="H460" s="2" t="s">
        <v>39</v>
      </c>
      <c r="I460" s="2" t="str">
        <f>IFERROR(__xludf.DUMMYFUNCTION("GOOGLETRANSLATE(C460,""fr"",""en"")"),"Maif says he is a militant insurer finally it's the Pffou ad! It's a mess because they have no scruples to turn you if you have the misfortune to declare a little claim too much! You know the ""people"" who triples it that gives doors that breaks the bump"&amp;"er in the parking lots that leave without leaving a phone number.
Well the militant insurers they saw you yes to good hearing hi!")</f>
        <v>Maif says he is a militant insurer finally it's the Pffou ad! It's a mess because they have no scruples to turn you if you have the misfortune to declare a little claim too much! You know the "people" who triples it that gives doors that breaks the bumper in the parking lots that leave without leaving a phone number.
Well the militant insurers they saw you yes to good hearing hi!</v>
      </c>
    </row>
    <row r="461" ht="15.75" customHeight="1">
      <c r="A461" s="2">
        <v>1.0</v>
      </c>
      <c r="B461" s="2" t="s">
        <v>1365</v>
      </c>
      <c r="C461" s="2" t="s">
        <v>1366</v>
      </c>
      <c r="D461" s="2" t="s">
        <v>31</v>
      </c>
      <c r="E461" s="2" t="s">
        <v>14</v>
      </c>
      <c r="F461" s="2" t="s">
        <v>15</v>
      </c>
      <c r="G461" s="2" t="s">
        <v>1367</v>
      </c>
      <c r="H461" s="2" t="s">
        <v>781</v>
      </c>
      <c r="I461" s="2" t="str">
        <f>IFERROR(__xludf.DUMMYFUNCTION("GOOGLETRANSLATE(C461,""fr"",""en"")"),"Accident deemed responsible, I refer to the new document.
So new observation with the third party (which I took 1 month is half to do)
He tells me that he was well received the documents but that we must remember 1 month after because these holidays.
I"&amp;" remind us today he tells me that he lost the document.
So to redo the documents again
It's been more than a year that the file is underway so I had to repair my Frai is to take the penalty.
At the same time I get an email on telling myself that seei"&amp;"ng that I am currently in the penalty of the accident he resilses me the insurance ....
Always paying for so never had any problem at all.
Too bad 0 star does not exist ............")</f>
        <v>Accident deemed responsible, I refer to the new document.
So new observation with the third party (which I took 1 month is half to do)
He tells me that he was well received the documents but that we must remember 1 month after because these holidays.
I remind us today he tells me that he lost the document.
So to redo the documents again
It's been more than a year that the file is underway so I had to repair my Frai is to take the penalty.
At the same time I get an email on telling myself that seeing that I am currently in the penalty of the accident he resilses me the insurance ....
Always paying for so never had any problem at all.
Too bad 0 star does not exist ............</v>
      </c>
    </row>
    <row r="462" ht="15.75" customHeight="1">
      <c r="A462" s="2">
        <v>2.0</v>
      </c>
      <c r="B462" s="2" t="s">
        <v>1368</v>
      </c>
      <c r="C462" s="2" t="s">
        <v>1369</v>
      </c>
      <c r="D462" s="2" t="s">
        <v>1370</v>
      </c>
      <c r="E462" s="2" t="s">
        <v>462</v>
      </c>
      <c r="F462" s="2" t="s">
        <v>15</v>
      </c>
      <c r="G462" s="2" t="s">
        <v>1371</v>
      </c>
      <c r="H462" s="2" t="s">
        <v>194</v>
      </c>
      <c r="I462" s="2" t="str">
        <f>IFERROR(__xludf.DUMMYFUNCTION("GOOGLETRANSLATE(C462,""fr"",""en"")"),"I find it a good mutual but with fairly high costs")</f>
        <v>I find it a good mutual but with fairly high costs</v>
      </c>
    </row>
    <row r="463" ht="15.75" customHeight="1">
      <c r="A463" s="2">
        <v>5.0</v>
      </c>
      <c r="B463" s="2" t="s">
        <v>1372</v>
      </c>
      <c r="C463" s="2" t="s">
        <v>1373</v>
      </c>
      <c r="D463" s="2" t="s">
        <v>31</v>
      </c>
      <c r="E463" s="2" t="s">
        <v>14</v>
      </c>
      <c r="F463" s="2" t="s">
        <v>15</v>
      </c>
      <c r="G463" s="2" t="s">
        <v>1374</v>
      </c>
      <c r="H463" s="2" t="s">
        <v>60</v>
      </c>
      <c r="I463" s="2" t="str">
        <f>IFERROR(__xludf.DUMMYFUNCTION("GOOGLETRANSLATE(C463,""fr"",""en"")"),"Very satisfied first insurance of my vehicle reasonable price I recommend this insurance thank you the olive assurance it is the top of the top do not hesitate")</f>
        <v>Very satisfied first insurance of my vehicle reasonable price I recommend this insurance thank you the olive assurance it is the top of the top do not hesitate</v>
      </c>
    </row>
    <row r="464" ht="15.75" customHeight="1">
      <c r="A464" s="2">
        <v>2.0</v>
      </c>
      <c r="B464" s="2" t="s">
        <v>1375</v>
      </c>
      <c r="C464" s="2" t="s">
        <v>1376</v>
      </c>
      <c r="D464" s="2" t="s">
        <v>31</v>
      </c>
      <c r="E464" s="2" t="s">
        <v>14</v>
      </c>
      <c r="F464" s="2" t="s">
        <v>15</v>
      </c>
      <c r="G464" s="2" t="s">
        <v>1377</v>
      </c>
      <c r="H464" s="2" t="s">
        <v>39</v>
      </c>
      <c r="I464" s="2" t="str">
        <f>IFERROR(__xludf.DUMMYFUNCTION("GOOGLETRANSLATE(C464,""fr"",""en"")"),"I am satisfied with the price, however, very very zero and zero customer service listening to the customer despite several reminders! I had the impression during my last APL to have disturbed this person for information on my contract")</f>
        <v>I am satisfied with the price, however, very very zero and zero customer service listening to the customer despite several reminders! I had the impression during my last APL to have disturbed this person for information on my contract</v>
      </c>
    </row>
    <row r="465" ht="15.75" customHeight="1">
      <c r="A465" s="2">
        <v>3.0</v>
      </c>
      <c r="B465" s="2" t="s">
        <v>1378</v>
      </c>
      <c r="C465" s="2" t="s">
        <v>1379</v>
      </c>
      <c r="D465" s="2" t="s">
        <v>26</v>
      </c>
      <c r="E465" s="2" t="s">
        <v>21</v>
      </c>
      <c r="F465" s="2" t="s">
        <v>15</v>
      </c>
      <c r="G465" s="2" t="s">
        <v>1380</v>
      </c>
      <c r="H465" s="2" t="s">
        <v>1024</v>
      </c>
      <c r="I465" s="2" t="str">
        <f>IFERROR(__xludf.DUMMYFUNCTION("GOOGLETRANSLATE(C465,""fr"",""en"")"),"I have subscribed to an insurance by Tel. I think to put a trapped, I would like to cancel it, is there a person to help me because I can't reach them thank you")</f>
        <v>I have subscribed to an insurance by Tel. I think to put a trapped, I would like to cancel it, is there a person to help me because I can't reach them thank you</v>
      </c>
    </row>
    <row r="466" ht="15.75" customHeight="1">
      <c r="A466" s="2">
        <v>2.0</v>
      </c>
      <c r="B466" s="2" t="s">
        <v>1381</v>
      </c>
      <c r="C466" s="2" t="s">
        <v>1382</v>
      </c>
      <c r="D466" s="2" t="s">
        <v>168</v>
      </c>
      <c r="E466" s="2" t="s">
        <v>103</v>
      </c>
      <c r="F466" s="2" t="s">
        <v>15</v>
      </c>
      <c r="G466" s="2" t="s">
        <v>1383</v>
      </c>
      <c r="H466" s="2" t="s">
        <v>532</v>
      </c>
      <c r="I466" s="2" t="str">
        <f>IFERROR(__xludf.DUMMYFUNCTION("GOOGLETRANSLATE(C466,""fr"",""en"")"),"Drought not taken care of despite prefectural decree in 2019: ""The natural disaster decree to which you refer covers the period from 07/01/2018 to 12/31/2018.
However, after studying your file it turns out that your damage is previous, the cracks would "&amp;"be
appeared in 2015.
Indeed, you made a statement in 2017 concerning cracks on your fence wall
And your house in connection with the drought of the year 2015.
With regard to identical disorders, the drought of the year 2018 cannot be considered as
th"&amp;"e decisive cause.
It is therefore impossible for us to give a favorable continuation to your request. ""
Thanks WHO ? In 2017 the prefecture did not accept drought despite the water restrictions in summer, I cannot afford to rebuild every 2 years. If I "&amp;"had known I would have resilled 2 years ago. I am disgusted.
In active research of other insurance after 10 years at home.
")</f>
        <v>Drought not taken care of despite prefectural decree in 2019: "The natural disaster decree to which you refer covers the period from 07/01/2018 to 12/31/2018.
However, after studying your file it turns out that your damage is previous, the cracks would be
appeared in 2015.
Indeed, you made a statement in 2017 concerning cracks on your fence wall
And your house in connection with the drought of the year 2015.
With regard to identical disorders, the drought of the year 2018 cannot be considered as
the decisive cause.
It is therefore impossible for us to give a favorable continuation to your request. "
Thanks WHO ? In 2017 the prefecture did not accept drought despite the water restrictions in summer, I cannot afford to rebuild every 2 years. If I had known I would have resilled 2 years ago. I am disgusted.
In active research of other insurance after 10 years at home.
</v>
      </c>
    </row>
    <row r="467" ht="15.75" customHeight="1">
      <c r="A467" s="2">
        <v>1.0</v>
      </c>
      <c r="B467" s="2" t="s">
        <v>1384</v>
      </c>
      <c r="C467" s="2" t="s">
        <v>1385</v>
      </c>
      <c r="D467" s="2" t="s">
        <v>256</v>
      </c>
      <c r="E467" s="2" t="s">
        <v>317</v>
      </c>
      <c r="F467" s="2" t="s">
        <v>15</v>
      </c>
      <c r="G467" s="2" t="s">
        <v>1386</v>
      </c>
      <c r="H467" s="2" t="s">
        <v>356</v>
      </c>
      <c r="I467" s="2" t="str">
        <f>IFERROR(__xludf.DUMMYFUNCTION("GOOGLETRANSLATE(C467,""fr"",""en"")"),"To flee: no advice, no explanation even on Allianz products even by waiting 6 months. The only answer obtained from our so-called advisor ""I have to find out""")</f>
        <v>To flee: no advice, no explanation even on Allianz products even by waiting 6 months. The only answer obtained from our so-called advisor "I have to find out"</v>
      </c>
    </row>
    <row r="468" ht="15.75" customHeight="1">
      <c r="A468" s="2">
        <v>4.0</v>
      </c>
      <c r="B468" s="2" t="s">
        <v>1387</v>
      </c>
      <c r="C468" s="2" t="s">
        <v>1388</v>
      </c>
      <c r="D468" s="2" t="s">
        <v>13</v>
      </c>
      <c r="E468" s="2" t="s">
        <v>14</v>
      </c>
      <c r="F468" s="2" t="s">
        <v>15</v>
      </c>
      <c r="G468" s="2" t="s">
        <v>1389</v>
      </c>
      <c r="H468" s="2" t="s">
        <v>290</v>
      </c>
      <c r="I468" s="2" t="str">
        <f>IFERROR(__xludf.DUMMYFUNCTION("GOOGLETRANSLATE(C468,""fr"",""en"")"),"Interesting rates response quick response several options to choose, the choice is impeccable !! The quote is clear compared to other companies! Thank you.")</f>
        <v>Interesting rates response quick response several options to choose, the choice is impeccable !! The quote is clear compared to other companies! Thank you.</v>
      </c>
    </row>
    <row r="469" ht="15.75" customHeight="1">
      <c r="A469" s="2">
        <v>1.0</v>
      </c>
      <c r="B469" s="2" t="s">
        <v>1390</v>
      </c>
      <c r="C469" s="2" t="s">
        <v>1391</v>
      </c>
      <c r="D469" s="2" t="s">
        <v>136</v>
      </c>
      <c r="E469" s="2" t="s">
        <v>14</v>
      </c>
      <c r="F469" s="2" t="s">
        <v>15</v>
      </c>
      <c r="G469" s="2" t="s">
        <v>1392</v>
      </c>
      <c r="H469" s="2" t="s">
        <v>138</v>
      </c>
      <c r="I469" s="2" t="str">
        <f>IFERROR(__xludf.DUMMYFUNCTION("GOOGLETRANSLATE(C469,""fr"",""en"")"),"Run away
No communication between CA agents and insurance ...
Refusal to apply the right bonus.
Instead of repaying, they take you !!!
Fortunately I have never had a claim other than a break in ice, because I am very afraid of their incompetence.")</f>
        <v>Run away
No communication between CA agents and insurance ...
Refusal to apply the right bonus.
Instead of repaying, they take you !!!
Fortunately I have never had a claim other than a break in ice, because I am very afraid of their incompetence.</v>
      </c>
    </row>
    <row r="470" ht="15.75" customHeight="1">
      <c r="A470" s="2">
        <v>5.0</v>
      </c>
      <c r="B470" s="2" t="s">
        <v>1393</v>
      </c>
      <c r="C470" s="2" t="s">
        <v>1394</v>
      </c>
      <c r="D470" s="2" t="s">
        <v>57</v>
      </c>
      <c r="E470" s="2" t="s">
        <v>58</v>
      </c>
      <c r="F470" s="2" t="s">
        <v>15</v>
      </c>
      <c r="G470" s="2" t="s">
        <v>535</v>
      </c>
      <c r="H470" s="2" t="s">
        <v>107</v>
      </c>
      <c r="I470" s="2" t="str">
        <f>IFERROR(__xludf.DUMMYFUNCTION("GOOGLETRANSLATE(C470,""fr"",""en"")"),"A clear, fast and efficient site. The prices are good, with lots of options and we are insured in a few minutes. I recommend this insurance to which I have taken out several contracts over the years.")</f>
        <v>A clear, fast and efficient site. The prices are good, with lots of options and we are insured in a few minutes. I recommend this insurance to which I have taken out several contracts over the years.</v>
      </c>
    </row>
    <row r="471" ht="15.75" customHeight="1">
      <c r="A471" s="2">
        <v>1.0</v>
      </c>
      <c r="B471" s="2" t="s">
        <v>1395</v>
      </c>
      <c r="C471" s="2" t="s">
        <v>1396</v>
      </c>
      <c r="D471" s="2" t="s">
        <v>117</v>
      </c>
      <c r="E471" s="2" t="s">
        <v>14</v>
      </c>
      <c r="F471" s="2" t="s">
        <v>15</v>
      </c>
      <c r="G471" s="2" t="s">
        <v>1397</v>
      </c>
      <c r="H471" s="2" t="s">
        <v>194</v>
      </c>
      <c r="I471" s="2" t="str">
        <f>IFERROR(__xludf.DUMMYFUNCTION("GOOGLETRANSLATE(C471,""fr"",""en"")"),"Having changed a year ago I attack at the cost of my monthly insurance and decides to change being assimilated civil servant! After a flight of 4 wheels and equipment I realize that everything was not taken care of what was the case with my old insurance "&amp;"and I had however asked that the contract was the same !!! So the price could actually be less expensive! Yet I have subscribed to the whole risk! So I thought that everything would be in charge and there I discover that our stroller and our cozy will not"&amp;" be reimbursed !!! During repairs I am lent me a vehicle because mine was towed with costs at my expense !!! I collect the loan vehicle and once again there is a deductible of 850 € if we have the slightest problem and of course if we want to avoid this w"&amp;"e must pay 20 € per day !!!")</f>
        <v>Having changed a year ago I attack at the cost of my monthly insurance and decides to change being assimilated civil servant! After a flight of 4 wheels and equipment I realize that everything was not taken care of what was the case with my old insurance and I had however asked that the contract was the same !!! So the price could actually be less expensive! Yet I have subscribed to the whole risk! So I thought that everything would be in charge and there I discover that our stroller and our cozy will not be reimbursed !!! During repairs I am lent me a vehicle because mine was towed with costs at my expense !!! I collect the loan vehicle and once again there is a deductible of 850 € if we have the slightest problem and of course if we want to avoid this we must pay 20 € per day !!!</v>
      </c>
    </row>
    <row r="472" ht="15.75" customHeight="1">
      <c r="A472" s="2">
        <v>2.0</v>
      </c>
      <c r="B472" s="2" t="s">
        <v>1398</v>
      </c>
      <c r="C472" s="2" t="s">
        <v>1399</v>
      </c>
      <c r="D472" s="2" t="s">
        <v>252</v>
      </c>
      <c r="E472" s="2" t="s">
        <v>21</v>
      </c>
      <c r="F472" s="2" t="s">
        <v>15</v>
      </c>
      <c r="G472" s="2" t="s">
        <v>1400</v>
      </c>
      <c r="H472" s="2" t="s">
        <v>249</v>
      </c>
      <c r="I472" s="2" t="str">
        <f>IFERROR(__xludf.DUMMYFUNCTION("GOOGLETRANSLATE(C472,""fr"",""en"")"),"This mutual insurance company was imposed on us by my wife's employer around 2010. We received in mid-December 2018 a letter of retroactive termination on the date of 01/10/2018 because so-called an association in Nevers named ""A home ""No longer existed"&amp;" and therefore his former employees could no longer be affiliated .... I fell on the phone (platform then agency of Nevers) on obtuse people who have never listened when I am repeated to them that we were in the Loiret and that my wife never worked for th"&amp;"is association ... New file filled filled up and returned to mid December in despair then passage to our agency in Montargis and today still no mutual, no news and no excuses from them ..... to flee")</f>
        <v>This mutual insurance company was imposed on us by my wife's employer around 2010. We received in mid-December 2018 a letter of retroactive termination on the date of 01/10/2018 because so-called an association in Nevers named "A home "No longer existed and therefore his former employees could no longer be affiliated .... I fell on the phone (platform then agency of Nevers) on obtuse people who have never listened when I am repeated to them that we were in the Loiret and that my wife never worked for this association ... New file filled filled up and returned to mid December in despair then passage to our agency in Montargis and today still no mutual, no news and no excuses from them ..... to flee</v>
      </c>
    </row>
    <row r="473" ht="15.75" customHeight="1">
      <c r="A473" s="2">
        <v>2.0</v>
      </c>
      <c r="B473" s="2" t="s">
        <v>1401</v>
      </c>
      <c r="C473" s="2" t="s">
        <v>1402</v>
      </c>
      <c r="D473" s="2" t="s">
        <v>13</v>
      </c>
      <c r="E473" s="2" t="s">
        <v>14</v>
      </c>
      <c r="F473" s="2" t="s">
        <v>15</v>
      </c>
      <c r="G473" s="2" t="s">
        <v>1403</v>
      </c>
      <c r="H473" s="2" t="s">
        <v>386</v>
      </c>
      <c r="I473" s="2" t="str">
        <f>IFERROR(__xludf.DUMMYFUNCTION("GOOGLETRANSLATE(C473,""fr"",""en"")"),"I am assured for the break of ice, I have my windshield replaced following a shock and there surprised not supported. So saying that it is not included in my contract. So for I have a deductible to pay if it is not in my contract?")</f>
        <v>I am assured for the break of ice, I have my windshield replaced following a shock and there surprised not supported. So saying that it is not included in my contract. So for I have a deductible to pay if it is not in my contract?</v>
      </c>
    </row>
    <row r="474" ht="15.75" customHeight="1">
      <c r="A474" s="2">
        <v>2.0</v>
      </c>
      <c r="B474" s="2" t="s">
        <v>1404</v>
      </c>
      <c r="C474" s="2" t="s">
        <v>1405</v>
      </c>
      <c r="D474" s="2" t="s">
        <v>26</v>
      </c>
      <c r="E474" s="2" t="s">
        <v>21</v>
      </c>
      <c r="F474" s="2" t="s">
        <v>15</v>
      </c>
      <c r="G474" s="2" t="s">
        <v>1406</v>
      </c>
      <c r="H474" s="2" t="s">
        <v>23</v>
      </c>
      <c r="I474" s="2" t="str">
        <f>IFERROR(__xludf.DUMMYFUNCTION("GOOGLETRANSLATE(C474,""fr"",""en"")"),"I am starting to regret having subscribed, at the beginning of the year, with this insurance through a broker, of course that we can no longer join. No answer to the questions asked. Refunds do not follow.")</f>
        <v>I am starting to regret having subscribed, at the beginning of the year, with this insurance through a broker, of course that we can no longer join. No answer to the questions asked. Refunds do not follow.</v>
      </c>
    </row>
    <row r="475" ht="15.75" customHeight="1">
      <c r="A475" s="2">
        <v>1.0</v>
      </c>
      <c r="B475" s="2" t="s">
        <v>1407</v>
      </c>
      <c r="C475" s="2" t="s">
        <v>1408</v>
      </c>
      <c r="D475" s="2" t="s">
        <v>496</v>
      </c>
      <c r="E475" s="2" t="s">
        <v>21</v>
      </c>
      <c r="F475" s="2" t="s">
        <v>15</v>
      </c>
      <c r="G475" s="2" t="s">
        <v>1409</v>
      </c>
      <c r="H475" s="2" t="s">
        <v>170</v>
      </c>
      <c r="I475" s="2" t="str">
        <f>IFERROR(__xludf.DUMMYFUNCTION("GOOGLETRANSLATE(C475,""fr"",""en"")"),"Eillory health insurance termination! Obvious bad faith, do not subscribe to them! After sending a termination letter in November 2016 to which I did not have an answer by post (supposedly a voice message). They continued to take me 140 euros per month fo"&amp;"r 1 year by pretending that my letter of request for termination was not correct when I was washed by following their own advice !!! To follow, I will keep you posted.")</f>
        <v>Eillory health insurance termination! Obvious bad faith, do not subscribe to them! After sending a termination letter in November 2016 to which I did not have an answer by post (supposedly a voice message). They continued to take me 140 euros per month for 1 year by pretending that my letter of request for termination was not correct when I was washed by following their own advice !!! To follow, I will keep you posted.</v>
      </c>
    </row>
    <row r="476" ht="15.75" customHeight="1">
      <c r="A476" s="2">
        <v>4.0</v>
      </c>
      <c r="B476" s="2" t="s">
        <v>1410</v>
      </c>
      <c r="C476" s="2" t="s">
        <v>1411</v>
      </c>
      <c r="D476" s="2" t="s">
        <v>222</v>
      </c>
      <c r="E476" s="2" t="s">
        <v>21</v>
      </c>
      <c r="F476" s="2" t="s">
        <v>15</v>
      </c>
      <c r="G476" s="2" t="s">
        <v>858</v>
      </c>
      <c r="H476" s="2" t="s">
        <v>60</v>
      </c>
      <c r="I476" s="2" t="str">
        <f>IFERROR(__xludf.DUMMYFUNCTION("GOOGLETRANSLATE(C476,""fr"",""en"")"),"Hello;
I just joined Santiane, for the moment I am very satisfied, there is nothing to say at the customer service level, moreover I just had Nesrine on the phone I thank her a lot for her welcome, she replied To all my concerns and my questions, she acc"&amp;"ompanied me well until the end of my approach and answered all my questions then I thank her and wish her a good continuation.
Regards Ms. Touati")</f>
        <v>Hello;
I just joined Santiane, for the moment I am very satisfied, there is nothing to say at the customer service level, moreover I just had Nesrine on the phone I thank her a lot for her welcome, she replied To all my concerns and my questions, she accompanied me well until the end of my approach and answered all my questions then I thank her and wish her a good continuation.
Regards Ms. Touati</v>
      </c>
    </row>
    <row r="477" ht="15.75" customHeight="1">
      <c r="A477" s="2">
        <v>2.0</v>
      </c>
      <c r="B477" s="2" t="s">
        <v>1412</v>
      </c>
      <c r="C477" s="2" t="s">
        <v>1413</v>
      </c>
      <c r="D477" s="2" t="s">
        <v>69</v>
      </c>
      <c r="E477" s="2" t="s">
        <v>37</v>
      </c>
      <c r="F477" s="2" t="s">
        <v>15</v>
      </c>
      <c r="G477" s="2" t="s">
        <v>1414</v>
      </c>
      <c r="H477" s="2" t="s">
        <v>516</v>
      </c>
      <c r="I477" s="2" t="str">
        <f>IFERROR(__xludf.DUMMYFUNCTION("GOOGLETRANSLATE(C477,""fr"",""en"")"),"Since the subscription my dissatisfaction has continued to grow. But my last experience completely disgusted me with this insurance.
Indeed I was refused a reimbursement because some people of this insurance judged that the veterinary act (withdrawal of "&amp;"a testicle stuck in the abdomen and being able to degenerate in cancer) was an act of ""comfort""
They did not understand the difference between preventive and comfort ....!
But the worst is that the customer relations advisor told me that if it was a t"&amp;"umor that was present, there the refund could be made .....!")</f>
        <v>Since the subscription my dissatisfaction has continued to grow. But my last experience completely disgusted me with this insurance.
Indeed I was refused a reimbursement because some people of this insurance judged that the veterinary act (withdrawal of a testicle stuck in the abdomen and being able to degenerate in cancer) was an act of "comfort"
They did not understand the difference between preventive and comfort ....!
But the worst is that the customer relations advisor told me that if it was a tumor that was present, there the refund could be made .....!</v>
      </c>
    </row>
    <row r="478" ht="15.75" customHeight="1">
      <c r="A478" s="2">
        <v>1.0</v>
      </c>
      <c r="B478" s="2" t="s">
        <v>1415</v>
      </c>
      <c r="C478" s="2" t="s">
        <v>1416</v>
      </c>
      <c r="D478" s="2" t="s">
        <v>256</v>
      </c>
      <c r="E478" s="2" t="s">
        <v>317</v>
      </c>
      <c r="F478" s="2" t="s">
        <v>15</v>
      </c>
      <c r="G478" s="2" t="s">
        <v>1417</v>
      </c>
      <c r="H478" s="2" t="s">
        <v>111</v>
      </c>
      <c r="I478" s="2" t="str">
        <f>IFERROR(__xludf.DUMMYFUNCTION("GOOGLETRANSLATE(C478,""fr"",""en"")"),"I have just made an urgent buy -back of life insurance, a buyout requested by email from my ""advisor"" on March 9, in order to avoid what I feared, a dizzying fall in Allianz investments;
Impossible to go to their site where in principle everything is p"&amp;"ossible and my good advisor had to send my email and my request to the diplomatic bag of the diligence which passed not far: result 4 days of lost;
After multiple calls Tel + emails including at the CEO, Jacques Richier, nothing did it, I only came acros"&amp;"s interlocutors and trices who had the IQ of a windsurfing;
The Strasbourg management center communicated to me false info on the value and effective date of the buyout (in short, all false on the whole line, not a pinpin to catch up with the other), a r"&amp;"eal obstacle course to recover his cash.
All these tied people, responsible for their neuron and directors of their pants have slowly hastened that he made me lose a lot of money.
I am on trial with them and maybe the earth pot ..... !!!
I summarize :
"&amp;"
1 _ Bad advisor,
2 _ bad placements
3 _ No follow -up, everyone sleeps, and they had to make a hell of sleep in March, April and May
4 _ Bad faith of the Allianz tribe
5 _ Total incompetence characterized by all these hidden deries behind their scree"&amp;"ns which have a very good salary from the investments of people who have worked all their lives in a real job where we do not use keyboard touches by responding: it is not possible, see our conditions or chépâ
For me Allianz = total fiasco
I do not even"&amp;" hope that the ""telework"" due to the covid allows the big boss, if there is one, to realize that there are lots of unnecessary and harmful employees from which he could separate because he is probably to put in the same bag;
Let all these people know t"&amp;"hat if they have no customers, they no longer exist.
I of course put the bubble, zero pointed.
")</f>
        <v>I have just made an urgent buy -back of life insurance, a buyout requested by email from my "advisor" on March 9, in order to avoid what I feared, a dizzying fall in Allianz investments;
Impossible to go to their site where in principle everything is possible and my good advisor had to send my email and my request to the diplomatic bag of the diligence which passed not far: result 4 days of lost;
After multiple calls Tel + emails including at the CEO, Jacques Richier, nothing did it, I only came across interlocutors and trices who had the IQ of a windsurfing;
The Strasbourg management center communicated to me false info on the value and effective date of the buyout (in short, all false on the whole line, not a pinpin to catch up with the other), a real obstacle course to recover his cash.
All these tied people, responsible for their neuron and directors of their pants have slowly hastened that he made me lose a lot of money.
I am on trial with them and maybe the earth pot ..... !!!
I summarize :
1 _ Bad advisor,
2 _ bad placements
3 _ No follow -up, everyone sleeps, and they had to make a hell of sleep in March, April and May
4 _ Bad faith of the Allianz tribe
5 _ Total incompetence characterized by all these hidden deries behind their screens which have a very good salary from the investments of people who have worked all their lives in a real job where we do not use keyboard touches by responding: it is not possible, see our conditions or chépâ
For me Allianz = total fiasco
I do not even hope that the "telework" due to the covid allows the big boss, if there is one, to realize that there are lots of unnecessary and harmful employees from which he could separate because he is probably to put in the same bag;
Let all these people know that if they have no customers, they no longer exist.
I of course put the bubble, zero pointed.
</v>
      </c>
    </row>
    <row r="479" ht="15.75" customHeight="1">
      <c r="A479" s="2">
        <v>1.0</v>
      </c>
      <c r="B479" s="2" t="s">
        <v>1418</v>
      </c>
      <c r="C479" s="2" t="s">
        <v>1419</v>
      </c>
      <c r="D479" s="2" t="s">
        <v>361</v>
      </c>
      <c r="E479" s="2" t="s">
        <v>21</v>
      </c>
      <c r="F479" s="2" t="s">
        <v>15</v>
      </c>
      <c r="G479" s="2" t="s">
        <v>1420</v>
      </c>
      <c r="H479" s="2" t="s">
        <v>774</v>
      </c>
      <c r="I479" s="2" t="str">
        <f>IFERROR(__xludf.DUMMYFUNCTION("GOOGLETRANSLATE(C479,""fr"",""en"")"),"If you are not in the public service, go your way!
Indeed, your quote transmissions remain on hold as long as possible ...
Example: quote exceeding anesthesiologist transmitted on 24/11 for hospitalization on 30/11. No response on 30/11: time too short "&amp;"(dixit)!
4 calls to get an answer by email and still nothing!
Anyway, much too expensive contributions for minimal services!
In fact, your subscription is used to compensate for the contributions of public service members!
In addition, the speakers on"&amp;" the phone are very unlikely and understanding!
This is like the public service ....
")</f>
        <v>If you are not in the public service, go your way!
Indeed, your quote transmissions remain on hold as long as possible ...
Example: quote exceeding anesthesiologist transmitted on 24/11 for hospitalization on 30/11. No response on 30/11: time too short (dixit)!
4 calls to get an answer by email and still nothing!
Anyway, much too expensive contributions for minimal services!
In fact, your subscription is used to compensate for the contributions of public service members!
In addition, the speakers on the phone are very unlikely and understanding!
This is like the public service ....
</v>
      </c>
    </row>
    <row r="480" ht="15.75" customHeight="1">
      <c r="A480" s="2">
        <v>1.0</v>
      </c>
      <c r="B480" s="2" t="s">
        <v>1421</v>
      </c>
      <c r="C480" s="2" t="s">
        <v>1422</v>
      </c>
      <c r="D480" s="2" t="s">
        <v>136</v>
      </c>
      <c r="E480" s="2" t="s">
        <v>103</v>
      </c>
      <c r="F480" s="2" t="s">
        <v>15</v>
      </c>
      <c r="G480" s="2" t="s">
        <v>1423</v>
      </c>
      <c r="H480" s="2" t="s">
        <v>107</v>
      </c>
      <c r="I480" s="2" t="str">
        <f>IFERROR(__xludf.DUMMYFUNCTION("GOOGLETRANSLATE(C480,""fr"",""en"")"),"Really very angry with this insurance. Water damage at home, water has been cut for more than three weeks but each time I am asked to wait to send me a person for repair .... shameful !!!")</f>
        <v>Really very angry with this insurance. Water damage at home, water has been cut for more than three weeks but each time I am asked to wait to send me a person for repair .... shameful !!!</v>
      </c>
    </row>
    <row r="481" ht="15.75" customHeight="1">
      <c r="A481" s="2">
        <v>5.0</v>
      </c>
      <c r="B481" s="2" t="s">
        <v>1424</v>
      </c>
      <c r="C481" s="2" t="s">
        <v>1425</v>
      </c>
      <c r="D481" s="2" t="s">
        <v>13</v>
      </c>
      <c r="E481" s="2" t="s">
        <v>14</v>
      </c>
      <c r="F481" s="2" t="s">
        <v>15</v>
      </c>
      <c r="G481" s="2" t="s">
        <v>1426</v>
      </c>
      <c r="H481" s="2" t="s">
        <v>17</v>
      </c>
      <c r="I481" s="2" t="str">
        <f>IFERROR(__xludf.DUMMYFUNCTION("GOOGLETRANSLATE(C481,""fr"",""en"")"),"Impeccable quality/price nothing to complain about that the site and the communications tools are to work but frankly very satisfied overall.
")</f>
        <v>Impeccable quality/price nothing to complain about that the site and the communications tools are to work but frankly very satisfied overall.
</v>
      </c>
    </row>
    <row r="482" ht="15.75" customHeight="1">
      <c r="A482" s="2">
        <v>4.0</v>
      </c>
      <c r="B482" s="2" t="s">
        <v>1427</v>
      </c>
      <c r="C482" s="2" t="s">
        <v>1428</v>
      </c>
      <c r="D482" s="2" t="s">
        <v>13</v>
      </c>
      <c r="E482" s="2" t="s">
        <v>14</v>
      </c>
      <c r="F482" s="2" t="s">
        <v>15</v>
      </c>
      <c r="G482" s="2" t="s">
        <v>154</v>
      </c>
      <c r="H482" s="2" t="s">
        <v>33</v>
      </c>
      <c r="I482" s="2" t="str">
        <f>IFERROR(__xludf.DUMMYFUNCTION("GOOGLETRANSLATE(C482,""fr"",""en"")"),"Well
A little weird the entry of bank details
And we have a doubt if we do not want to have a double levy because the request for IBAN contact details and payment by bank card")</f>
        <v>Well
A little weird the entry of bank details
And we have a doubt if we do not want to have a double levy because the request for IBAN contact details and payment by bank card</v>
      </c>
    </row>
    <row r="483" ht="15.75" customHeight="1">
      <c r="A483" s="2">
        <v>5.0</v>
      </c>
      <c r="B483" s="2" t="s">
        <v>1429</v>
      </c>
      <c r="C483" s="2" t="s">
        <v>1430</v>
      </c>
      <c r="D483" s="2" t="s">
        <v>240</v>
      </c>
      <c r="E483" s="2" t="s">
        <v>241</v>
      </c>
      <c r="F483" s="2" t="s">
        <v>15</v>
      </c>
      <c r="G483" s="2" t="s">
        <v>183</v>
      </c>
      <c r="H483" s="2" t="s">
        <v>184</v>
      </c>
      <c r="I483" s="2" t="str">
        <f>IFERROR(__xludf.DUMMYFUNCTION("GOOGLETRANSLATE(C483,""fr"",""en"")"),"Satisfied, fast and inexpensive ... Too bad the contract will start 8 months after the expected date ...
The advisor is at the top !! I recommend nevertheless")</f>
        <v>Satisfied, fast and inexpensive ... Too bad the contract will start 8 months after the expected date ...
The advisor is at the top !! I recommend nevertheless</v>
      </c>
    </row>
    <row r="484" ht="15.75" customHeight="1">
      <c r="A484" s="2">
        <v>3.0</v>
      </c>
      <c r="B484" s="2" t="s">
        <v>1431</v>
      </c>
      <c r="C484" s="2" t="s">
        <v>1432</v>
      </c>
      <c r="D484" s="2" t="s">
        <v>31</v>
      </c>
      <c r="E484" s="2" t="s">
        <v>14</v>
      </c>
      <c r="F484" s="2" t="s">
        <v>15</v>
      </c>
      <c r="G484" s="2" t="s">
        <v>114</v>
      </c>
      <c r="H484" s="2" t="s">
        <v>50</v>
      </c>
      <c r="I484" s="2" t="str">
        <f>IFERROR(__xludf.DUMMYFUNCTION("GOOGLETRANSLATE(C484,""fr"",""en"")"),"Very good insurance I am satisfied with the telephone reception as well as the contract and the speed with which I received my insurance contract")</f>
        <v>Very good insurance I am satisfied with the telephone reception as well as the contract and the speed with which I received my insurance contract</v>
      </c>
    </row>
    <row r="485" ht="15.75" customHeight="1">
      <c r="A485" s="2">
        <v>4.0</v>
      </c>
      <c r="B485" s="2" t="s">
        <v>1433</v>
      </c>
      <c r="C485" s="2" t="s">
        <v>1434</v>
      </c>
      <c r="D485" s="2" t="s">
        <v>31</v>
      </c>
      <c r="E485" s="2" t="s">
        <v>14</v>
      </c>
      <c r="F485" s="2" t="s">
        <v>15</v>
      </c>
      <c r="G485" s="2" t="s">
        <v>1119</v>
      </c>
      <c r="H485" s="2" t="s">
        <v>17</v>
      </c>
      <c r="I485" s="2" t="str">
        <f>IFERROR(__xludf.DUMMYFUNCTION("GOOGLETRANSLATE(C485,""fr"",""en"")"),"An error is produced during my agency transfer (Hamon law) which poses a real problem, this puts my safety in suspension ... steps to do in addition which is a waste of time and energy. A problem that financially is complicated because I have two insuranc"&amp;"e")</f>
        <v>An error is produced during my agency transfer (Hamon law) which poses a real problem, this puts my safety in suspension ... steps to do in addition which is a waste of time and energy. A problem that financially is complicated because I have two insurance</v>
      </c>
    </row>
    <row r="486" ht="15.75" customHeight="1">
      <c r="A486" s="2">
        <v>1.0</v>
      </c>
      <c r="B486" s="2" t="s">
        <v>1435</v>
      </c>
      <c r="C486" s="2" t="s">
        <v>1436</v>
      </c>
      <c r="D486" s="2" t="s">
        <v>136</v>
      </c>
      <c r="E486" s="2" t="s">
        <v>103</v>
      </c>
      <c r="F486" s="2" t="s">
        <v>15</v>
      </c>
      <c r="G486" s="2" t="s">
        <v>372</v>
      </c>
      <c r="H486" s="2" t="s">
        <v>54</v>
      </c>
      <c r="I486" s="2" t="str">
        <f>IFERROR(__xludf.DUMMYFUNCTION("GOOGLETRANSLATE(C486,""fr"",""en"")"),"Unreachable claim service on weekends. Impossible to reach an operator today on Monday either, despite 7 calls. No possibility either by internet form. Yet a service 7 days a week and 24 hours a day is announced on promotional media!")</f>
        <v>Unreachable claim service on weekends. Impossible to reach an operator today on Monday either, despite 7 calls. No possibility either by internet form. Yet a service 7 days a week and 24 hours a day is announced on promotional media!</v>
      </c>
    </row>
    <row r="487" ht="15.75" customHeight="1">
      <c r="A487" s="2">
        <v>4.0</v>
      </c>
      <c r="B487" s="2" t="s">
        <v>1437</v>
      </c>
      <c r="C487" s="2" t="s">
        <v>1438</v>
      </c>
      <c r="D487" s="2" t="s">
        <v>31</v>
      </c>
      <c r="E487" s="2" t="s">
        <v>14</v>
      </c>
      <c r="F487" s="2" t="s">
        <v>15</v>
      </c>
      <c r="G487" s="2" t="s">
        <v>1032</v>
      </c>
      <c r="H487" s="2" t="s">
        <v>76</v>
      </c>
      <c r="I487" s="2" t="str">
        <f>IFERROR(__xludf.DUMMYFUNCTION("GOOGLETRANSLATE(C487,""fr"",""en"")"),"I am satisfied with the service and I appreciate having interlocutors who understand and speak French perfectly. I also wanted to highlight the empathy of your operators.")</f>
        <v>I am satisfied with the service and I appreciate having interlocutors who understand and speak French perfectly. I also wanted to highlight the empathy of your operators.</v>
      </c>
    </row>
    <row r="488" ht="15.75" customHeight="1">
      <c r="A488" s="2">
        <v>2.0</v>
      </c>
      <c r="B488" s="2" t="s">
        <v>1439</v>
      </c>
      <c r="C488" s="2" t="s">
        <v>1440</v>
      </c>
      <c r="D488" s="2" t="s">
        <v>84</v>
      </c>
      <c r="E488" s="2" t="s">
        <v>103</v>
      </c>
      <c r="F488" s="2" t="s">
        <v>15</v>
      </c>
      <c r="G488" s="2" t="s">
        <v>1441</v>
      </c>
      <c r="H488" s="2" t="s">
        <v>54</v>
      </c>
      <c r="I488" s="2" t="str">
        <f>IFERROR(__xludf.DUMMYFUNCTION("GOOGLETRANSLATE(C488,""fr"",""en"")"),"Insurance to flee absolutely !!!
Go your way!
Owner of a house, I come home from work and find a crack on a window of a fixed chassis over the entire length.
The crack is only on the outer glass of a high -end double glazing aluminum carpentry pose"&amp;"d by professionals.
My joinery was installed in March 2021 and we are in October 2021 ...
Advisor to the phone requires a defect ... carpentry mounted for 7 months ... and a 15 -aid of joinery in the house 0 defects ...
She talks to me about ther"&amp;"mal shock ... we live in the south ... posed in March ... and we are only in October ... so the temperatures at the moment are around 20 ° in medium and medium exceed 40 ° in the sun in summer.
I hope that today's joinery supports temperature differenc"&amp;"es ...
I call Of course my carpenter who refutes the criminal because she would have appeared immediately or within 2 months of ... or at the time when the summer sun is shining on it ...
In short, all the arguments of the advisor swept away ... Bei"&amp;"ng in good faith we therefore ask for the passage of an expert ...
But no...
In addition, in recent times the town hall of our town has circulated information by email on burglary attempts.
So we are waiting to see their conclusions ... Hoping th"&amp;"at logic and reason prevail ...
Otherwise we will see elsewhere.
For those who ask the question ... Macif or not ... do not have ... go your way.
I'm only talking about an ice cream ... so I don't even dare imagine if it had been more serious ..."&amp;"
According to the outcome I will thank Mr. Hamon for his law which allows everyone to terminate his insurance contract.
A good hearing ....")</f>
        <v>Insurance to flee absolutely !!!
Go your way!
Owner of a house, I come home from work and find a crack on a window of a fixed chassis over the entire length.
The crack is only on the outer glass of a high -end double glazing aluminum carpentry posed by professionals.
My joinery was installed in March 2021 and we are in October 2021 ...
Advisor to the phone requires a defect ... carpentry mounted for 7 months ... and a 15 -aid of joinery in the house 0 defects ...
She talks to me about thermal shock ... we live in the south ... posed in March ... and we are only in October ... so the temperatures at the moment are around 20 ° in medium and medium exceed 40 ° in the sun in summer.
I hope that today's joinery supports temperature differences ...
I call Of course my carpenter who refutes the criminal because she would have appeared immediately or within 2 months of ... or at the time when the summer sun is shining on it ...
In short, all the arguments of the advisor swept away ... Being in good faith we therefore ask for the passage of an expert ...
But no...
In addition, in recent times the town hall of our town has circulated information by email on burglary attempts.
So we are waiting to see their conclusions ... Hoping that logic and reason prevail ...
Otherwise we will see elsewhere.
For those who ask the question ... Macif or not ... do not have ... go your way.
I'm only talking about an ice cream ... so I don't even dare imagine if it had been more serious ...
According to the outcome I will thank Mr. Hamon for his law which allows everyone to terminate his insurance contract.
A good hearing ....</v>
      </c>
    </row>
    <row r="489" ht="15.75" customHeight="1">
      <c r="A489" s="2">
        <v>5.0</v>
      </c>
      <c r="B489" s="2" t="s">
        <v>1442</v>
      </c>
      <c r="C489" s="2" t="s">
        <v>1443</v>
      </c>
      <c r="D489" s="2" t="s">
        <v>31</v>
      </c>
      <c r="E489" s="2" t="s">
        <v>14</v>
      </c>
      <c r="F489" s="2" t="s">
        <v>15</v>
      </c>
      <c r="G489" s="2" t="s">
        <v>1444</v>
      </c>
      <c r="H489" s="2" t="s">
        <v>54</v>
      </c>
      <c r="I489" s="2" t="str">
        <f>IFERROR(__xludf.DUMMYFUNCTION("GOOGLETRANSLATE(C489,""fr"",""en"")"),"I am satisfied with customer service, there is good communication and it is very clear and precise. It is the only insurance that accepts young drivers with less than 3 years of license and this with a little more powerful car than a basic car.")</f>
        <v>I am satisfied with customer service, there is good communication and it is very clear and precise. It is the only insurance that accepts young drivers with less than 3 years of license and this with a little more powerful car than a basic car.</v>
      </c>
    </row>
    <row r="490" ht="15.75" customHeight="1">
      <c r="A490" s="2">
        <v>1.0</v>
      </c>
      <c r="B490" s="2" t="s">
        <v>1445</v>
      </c>
      <c r="C490" s="2" t="s">
        <v>1446</v>
      </c>
      <c r="D490" s="2" t="s">
        <v>1052</v>
      </c>
      <c r="E490" s="2" t="s">
        <v>317</v>
      </c>
      <c r="F490" s="2" t="s">
        <v>15</v>
      </c>
      <c r="G490" s="2" t="s">
        <v>1447</v>
      </c>
      <c r="H490" s="2" t="s">
        <v>549</v>
      </c>
      <c r="I490" s="2" t="str">
        <f>IFERROR(__xludf.DUMMYFUNCTION("GOOGLETRANSLATE(C490,""fr"",""en"")"),"I advise all people supposed to do not subscribe to them because the obstacle course awaits you in the event of death and it is not even so to be able to receive capital. I have never seen an insurance company doing this , it's worse than scandalous, you "&amp;"have to close this company and alert the authorities of these ignoble behaviors, I am shocked that it still exists today")</f>
        <v>I advise all people supposed to do not subscribe to them because the obstacle course awaits you in the event of death and it is not even so to be able to receive capital. I have never seen an insurance company doing this , it's worse than scandalous, you have to close this company and alert the authorities of these ignoble behaviors, I am shocked that it still exists today</v>
      </c>
    </row>
    <row r="491" ht="15.75" customHeight="1">
      <c r="A491" s="2">
        <v>5.0</v>
      </c>
      <c r="B491" s="2" t="s">
        <v>1448</v>
      </c>
      <c r="C491" s="2" t="s">
        <v>1449</v>
      </c>
      <c r="D491" s="2" t="s">
        <v>31</v>
      </c>
      <c r="E491" s="2" t="s">
        <v>14</v>
      </c>
      <c r="F491" s="2" t="s">
        <v>15</v>
      </c>
      <c r="G491" s="2" t="s">
        <v>1450</v>
      </c>
      <c r="H491" s="2" t="s">
        <v>33</v>
      </c>
      <c r="I491" s="2" t="str">
        <f>IFERROR(__xludf.DUMMYFUNCTION("GOOGLETRANSLATE(C491,""fr"",""en"")"),"I am satisfied with the speed and management of my contract, simple effective perfect for me and my situation! I recommend this insurance! Thank you")</f>
        <v>I am satisfied with the speed and management of my contract, simple effective perfect for me and my situation! I recommend this insurance! Thank you</v>
      </c>
    </row>
    <row r="492" ht="15.75" customHeight="1">
      <c r="A492" s="2">
        <v>2.0</v>
      </c>
      <c r="B492" s="2" t="s">
        <v>1451</v>
      </c>
      <c r="C492" s="2" t="s">
        <v>1452</v>
      </c>
      <c r="D492" s="2" t="s">
        <v>256</v>
      </c>
      <c r="E492" s="2" t="s">
        <v>14</v>
      </c>
      <c r="F492" s="2" t="s">
        <v>15</v>
      </c>
      <c r="G492" s="2" t="s">
        <v>1043</v>
      </c>
      <c r="H492" s="2" t="s">
        <v>130</v>
      </c>
      <c r="I492" s="2" t="str">
        <f>IFERROR(__xludf.DUMMYFUNCTION("GOOGLETRANSLATE(C492,""fr"",""en"")"),"Registration file presented complete. Acceptance by them, contribution collected + fees in addition ..., green card received, therefore up -to -date file.
 After 3 days of insurance, warn me that he will end the warranty,
Reason invoked: you still have "&amp;"not provided all the essential elements for the establishment of your final police ...?
In fact they do not find the administrative power of my vehicle in their database ...! They wrote it to me.
Reimburses me, but by the way, hold me on the days insure"&amp;"d and the case costs, while I am in no way responsible for this fence. Therefore I end up with the vehicle without insurance ... Nice, I dare not consider a flight or fire at this time, for a new car!
Do not respond to my reimbursement complaint of cours"&amp;"e.
Insurance to flee.")</f>
        <v>Registration file presented complete. Acceptance by them, contribution collected + fees in addition ..., green card received, therefore up -to -date file.
 After 3 days of insurance, warn me that he will end the warranty,
Reason invoked: you still have not provided all the essential elements for the establishment of your final police ...?
In fact they do not find the administrative power of my vehicle in their database ...! They wrote it to me.
Reimburses me, but by the way, hold me on the days insured and the case costs, while I am in no way responsible for this fence. Therefore I end up with the vehicle without insurance ... Nice, I dare not consider a flight or fire at this time, for a new car!
Do not respond to my reimbursement complaint of course.
Insurance to flee.</v>
      </c>
    </row>
    <row r="493" ht="15.75" customHeight="1">
      <c r="A493" s="2">
        <v>5.0</v>
      </c>
      <c r="B493" s="2" t="s">
        <v>1453</v>
      </c>
      <c r="C493" s="2" t="s">
        <v>1454</v>
      </c>
      <c r="D493" s="2" t="s">
        <v>31</v>
      </c>
      <c r="E493" s="2" t="s">
        <v>14</v>
      </c>
      <c r="F493" s="2" t="s">
        <v>15</v>
      </c>
      <c r="G493" s="2" t="s">
        <v>1455</v>
      </c>
      <c r="H493" s="2" t="s">
        <v>46</v>
      </c>
      <c r="I493" s="2" t="str">
        <f>IFERROR(__xludf.DUMMYFUNCTION("GOOGLETRANSLATE(C493,""fr"",""en"")"),"Satisfied with the service, very attractive price and complete formula thank you the olive assurance I recommend to all my loved ones to go there without any hesitation.")</f>
        <v>Satisfied with the service, very attractive price and complete formula thank you the olive assurance I recommend to all my loved ones to go there without any hesitation.</v>
      </c>
    </row>
    <row r="494" ht="15.75" customHeight="1">
      <c r="A494" s="2">
        <v>2.0</v>
      </c>
      <c r="B494" s="2" t="s">
        <v>1456</v>
      </c>
      <c r="C494" s="2" t="s">
        <v>1457</v>
      </c>
      <c r="D494" s="2" t="s">
        <v>404</v>
      </c>
      <c r="E494" s="2" t="s">
        <v>14</v>
      </c>
      <c r="F494" s="2" t="s">
        <v>15</v>
      </c>
      <c r="G494" s="2" t="s">
        <v>543</v>
      </c>
      <c r="H494" s="2" t="s">
        <v>17</v>
      </c>
      <c r="I494" s="2" t="str">
        <f>IFERROR(__xludf.DUMMYFUNCTION("GOOGLETRANSLATE(C494,""fr"",""en"")"),"My profile: 50% bonus. All my points. Never an accident in wrong. I try a change of insurer in favor of Aviva Eurofil following an attractive quote.
1st step: flow of 100 euros per mandatory credit card Good ok admit.
2nd step once the 1st has been carr"&amp;"ied out: obligation to put a separate sample in place. Obviously nothing indicates it upstream. Good re ok re admit.
3rd step: Produce the documents requested, namely: a driver's history, a registration certificate and a car history. No worries about the"&amp;" first two documents. But no car history (used vehicle acquired).
I try the hotline: Unsurprisingly, it is an answering machine who turns in a loop. I waited 3 times 1/2 hour without ever having anyone in the end.
I send a letter via the site to ask to "&amp;"be contacted: I receive a recommended 6 days later informing that I have not been insured for a good week (!) ...
Thank you for letting me roll a few days without insurance ... champions. Of course 100 euros lost. No contact possible. High level ...")</f>
        <v>My profile: 50% bonus. All my points. Never an accident in wrong. I try a change of insurer in favor of Aviva Eurofil following an attractive quote.
1st step: flow of 100 euros per mandatory credit card Good ok admit.
2nd step once the 1st has been carried out: obligation to put a separate sample in place. Obviously nothing indicates it upstream. Good re ok re admit.
3rd step: Produce the documents requested, namely: a driver's history, a registration certificate and a car history. No worries about the first two documents. But no car history (used vehicle acquired).
I try the hotline: Unsurprisingly, it is an answering machine who turns in a loop. I waited 3 times 1/2 hour without ever having anyone in the end.
I send a letter via the site to ask to be contacted: I receive a recommended 6 days later informing that I have not been insured for a good week (!) ...
Thank you for letting me roll a few days without insurance ... champions. Of course 100 euros lost. No contact possible. High level ...</v>
      </c>
    </row>
    <row r="495" ht="15.75" customHeight="1">
      <c r="A495" s="2">
        <v>3.0</v>
      </c>
      <c r="B495" s="2" t="s">
        <v>1458</v>
      </c>
      <c r="C495" s="2" t="s">
        <v>1459</v>
      </c>
      <c r="D495" s="2" t="s">
        <v>74</v>
      </c>
      <c r="E495" s="2" t="s">
        <v>58</v>
      </c>
      <c r="F495" s="2" t="s">
        <v>15</v>
      </c>
      <c r="G495" s="2" t="s">
        <v>133</v>
      </c>
      <c r="H495" s="2" t="s">
        <v>107</v>
      </c>
      <c r="I495" s="2" t="str">
        <f>IFERROR(__xludf.DUMMYFUNCTION("GOOGLETRANSLATE(C495,""fr"",""en"")"),"I am satisfied with the service, services and offers suitable.
The price remains slightly a little high, but overall it meets my expectations.")</f>
        <v>I am satisfied with the service, services and offers suitable.
The price remains slightly a little high, but overall it meets my expectations.</v>
      </c>
    </row>
    <row r="496" ht="15.75" customHeight="1">
      <c r="A496" s="2">
        <v>1.0</v>
      </c>
      <c r="B496" s="2" t="s">
        <v>1460</v>
      </c>
      <c r="C496" s="2" t="s">
        <v>1461</v>
      </c>
      <c r="D496" s="2" t="s">
        <v>324</v>
      </c>
      <c r="E496" s="2" t="s">
        <v>103</v>
      </c>
      <c r="F496" s="2" t="s">
        <v>15</v>
      </c>
      <c r="G496" s="2" t="s">
        <v>1462</v>
      </c>
      <c r="H496" s="2" t="s">
        <v>632</v>
      </c>
      <c r="I496" s="2" t="str">
        <f>IFERROR(__xludf.DUMMYFUNCTION("GOOGLETRANSLATE(C496,""fr"",""en"")"),"Lattleable insurer, it's been more than 4 months that I have a dispute with my neighbor, his hedge overflows with me and I have worries to go back and especially my campsite, the jurisdiction of this company is zero, it does nothing , the agency tells me "&amp;"of the baratin, for two weeks I have restarts but no answer, or if I am not satisfied to take a lawyer at my expense, and possibly to see another company, I am a 50 of bonus customers (without Sinister for 40 years, I pay my contributions, but it is not t"&amp;"heir problems, the manager makes me understand that I am a piss off, if I had a big disaster I am very afraid, therefore as I am not No problem, maximum bonus, regulation OK, I contact another Sté. Advice avoid Groupama,")</f>
        <v>Lattleable insurer, it's been more than 4 months that I have a dispute with my neighbor, his hedge overflows with me and I have worries to go back and especially my campsite, the jurisdiction of this company is zero, it does nothing , the agency tells me of the baratin, for two weeks I have restarts but no answer, or if I am not satisfied to take a lawyer at my expense, and possibly to see another company, I am a 50 of bonus customers (without Sinister for 40 years, I pay my contributions, but it is not their problems, the manager makes me understand that I am a piss off, if I had a big disaster I am very afraid, therefore as I am not No problem, maximum bonus, regulation OK, I contact another Sté. Advice avoid Groupama,</v>
      </c>
    </row>
    <row r="497" ht="15.75" customHeight="1">
      <c r="A497" s="2">
        <v>1.0</v>
      </c>
      <c r="B497" s="2" t="s">
        <v>1463</v>
      </c>
      <c r="C497" s="2" t="s">
        <v>1464</v>
      </c>
      <c r="D497" s="2" t="s">
        <v>117</v>
      </c>
      <c r="E497" s="2" t="s">
        <v>14</v>
      </c>
      <c r="F497" s="2" t="s">
        <v>15</v>
      </c>
      <c r="G497" s="2" t="s">
        <v>1465</v>
      </c>
      <c r="H497" s="2" t="s">
        <v>356</v>
      </c>
      <c r="I497" s="2" t="str">
        <f>IFERROR(__xludf.DUMMYFUNCTION("GOOGLETRANSLATE(C497,""fr"",""en"")"),"Insurance to flee
The GMF has terminated my car insurance for 3 claims not responsible in 2 years, a break of ice while I am in a bonus. The advisor offered me a joker contract: 400 € more per year on the subscription in their pocket. I terminated all my"&amp;" contracts: auto, home, accident of life, PJ and I save in others.
No regrets to have left them")</f>
        <v>Insurance to flee
The GMF has terminated my car insurance for 3 claims not responsible in 2 years, a break of ice while I am in a bonus. The advisor offered me a joker contract: 400 € more per year on the subscription in their pocket. I terminated all my contracts: auto, home, accident of life, PJ and I save in others.
No regrets to have left them</v>
      </c>
    </row>
    <row r="498" ht="15.75" customHeight="1">
      <c r="A498" s="2">
        <v>3.0</v>
      </c>
      <c r="B498" s="2" t="s">
        <v>1466</v>
      </c>
      <c r="C498" s="2" t="s">
        <v>1467</v>
      </c>
      <c r="D498" s="2" t="s">
        <v>252</v>
      </c>
      <c r="E498" s="2" t="s">
        <v>21</v>
      </c>
      <c r="F498" s="2" t="s">
        <v>15</v>
      </c>
      <c r="G498" s="2" t="s">
        <v>1468</v>
      </c>
      <c r="H498" s="2" t="s">
        <v>194</v>
      </c>
      <c r="I498" s="2" t="str">
        <f>IFERROR(__xludf.DUMMYFUNCTION("GOOGLETRANSLATE(C498,""fr"",""en"")"),"Hello, contract errors during the annual renewal, renewed contracts but changed without notice of agreement of the member, platform Tel unable to respond precisely, are content to ""go back"" not to advise")</f>
        <v>Hello, contract errors during the annual renewal, renewed contracts but changed without notice of agreement of the member, platform Tel unable to respond precisely, are content to "go back" not to advise</v>
      </c>
    </row>
    <row r="499" ht="15.75" customHeight="1">
      <c r="A499" s="2">
        <v>5.0</v>
      </c>
      <c r="B499" s="2" t="s">
        <v>1469</v>
      </c>
      <c r="C499" s="2" t="s">
        <v>1470</v>
      </c>
      <c r="D499" s="2" t="s">
        <v>13</v>
      </c>
      <c r="E499" s="2" t="s">
        <v>14</v>
      </c>
      <c r="F499" s="2" t="s">
        <v>15</v>
      </c>
      <c r="G499" s="2" t="s">
        <v>605</v>
      </c>
      <c r="H499" s="2" t="s">
        <v>60</v>
      </c>
      <c r="I499" s="2" t="str">
        <f>IFERROR(__xludf.DUMMYFUNCTION("GOOGLETRANSLATE(C499,""fr"",""en"")"),"Satisfied and quickly implemented I recommend. The price is top after comparing other insurance. To see over time now !!!!!")</f>
        <v>Satisfied and quickly implemented I recommend. The price is top after comparing other insurance. To see over time now !!!!!</v>
      </c>
    </row>
    <row r="500" ht="15.75" customHeight="1">
      <c r="A500" s="2">
        <v>5.0</v>
      </c>
      <c r="B500" s="2" t="s">
        <v>1471</v>
      </c>
      <c r="C500" s="2" t="s">
        <v>1472</v>
      </c>
      <c r="D500" s="2" t="s">
        <v>13</v>
      </c>
      <c r="E500" s="2" t="s">
        <v>14</v>
      </c>
      <c r="F500" s="2" t="s">
        <v>15</v>
      </c>
      <c r="G500" s="2" t="s">
        <v>901</v>
      </c>
      <c r="H500" s="2" t="s">
        <v>17</v>
      </c>
      <c r="I500" s="2" t="str">
        <f>IFERROR(__xludf.DUMMYFUNCTION("GOOGLETRANSLATE(C500,""fr"",""en"")"),"Everything is good but I wanted to pay by bank card on the phone
Super the idea of ​​the connected case
Very practical to subscribe
Thank you for the service!")</f>
        <v>Everything is good but I wanted to pay by bank card on the phone
Super the idea of ​​the connected case
Very practical to subscribe
Thank you for the service!</v>
      </c>
    </row>
    <row r="501" ht="15.75" customHeight="1">
      <c r="A501" s="2">
        <v>5.0</v>
      </c>
      <c r="B501" s="2" t="s">
        <v>1473</v>
      </c>
      <c r="C501" s="2" t="s">
        <v>1474</v>
      </c>
      <c r="D501" s="2" t="s">
        <v>136</v>
      </c>
      <c r="E501" s="2" t="s">
        <v>103</v>
      </c>
      <c r="F501" s="2" t="s">
        <v>15</v>
      </c>
      <c r="G501" s="2" t="s">
        <v>1475</v>
      </c>
      <c r="H501" s="2" t="s">
        <v>54</v>
      </c>
      <c r="I501" s="2" t="str">
        <f>IFERROR(__xludf.DUMMYFUNCTION("GOOGLETRANSLATE(C501,""fr"",""en"")"),"Personally, we had to do to a very human person, very conscientious therefore very effective! As I share my feelings with you, the problem is not yet quite resolved but I am perfectly convinced that it will be inceceeds shortly! By using legal means and w"&amp;"hen you have to do with a person who supports you perfectly, endowed, moreover, in a way of being benevolent, in principle, the result should be positive? We thank Pacifica, strongly! I compare you to the team of Julien Courbet, it is an understatement to"&amp;" say !!!")</f>
        <v>Personally, we had to do to a very human person, very conscientious therefore very effective! As I share my feelings with you, the problem is not yet quite resolved but I am perfectly convinced that it will be inceceeds shortly! By using legal means and when you have to do with a person who supports you perfectly, endowed, moreover, in a way of being benevolent, in principle, the result should be positive? We thank Pacifica, strongly! I compare you to the team of Julien Courbet, it is an understatement to say !!!</v>
      </c>
    </row>
    <row r="502" ht="15.75" customHeight="1">
      <c r="A502" s="2">
        <v>2.0</v>
      </c>
      <c r="B502" s="2" t="s">
        <v>1476</v>
      </c>
      <c r="C502" s="2" t="s">
        <v>1477</v>
      </c>
      <c r="D502" s="2" t="s">
        <v>1478</v>
      </c>
      <c r="E502" s="2" t="s">
        <v>241</v>
      </c>
      <c r="F502" s="2" t="s">
        <v>15</v>
      </c>
      <c r="G502" s="2" t="s">
        <v>1479</v>
      </c>
      <c r="H502" s="2" t="s">
        <v>509</v>
      </c>
      <c r="I502" s="2" t="str">
        <f>IFERROR(__xludf.DUMMYFUNCTION("GOOGLETRANSLATE(C502,""fr"",""en"")"),"Unpleasant customer service
Extremely long processing time! No effort is made to accelerate the processing of files. Unable to give deadlines. Avoid imperatively")</f>
        <v>Unpleasant customer service
Extremely long processing time! No effort is made to accelerate the processing of files. Unable to give deadlines. Avoid imperatively</v>
      </c>
    </row>
    <row r="503" ht="15.75" customHeight="1">
      <c r="A503" s="2">
        <v>1.0</v>
      </c>
      <c r="B503" s="2" t="s">
        <v>1480</v>
      </c>
      <c r="C503" s="2" t="s">
        <v>1481</v>
      </c>
      <c r="D503" s="2" t="s">
        <v>84</v>
      </c>
      <c r="E503" s="2" t="s">
        <v>14</v>
      </c>
      <c r="F503" s="2" t="s">
        <v>15</v>
      </c>
      <c r="G503" s="2" t="s">
        <v>336</v>
      </c>
      <c r="H503" s="2" t="s">
        <v>23</v>
      </c>
      <c r="I503" s="2" t="str">
        <f>IFERROR(__xludf.DUMMYFUNCTION("GOOGLETRANSLATE(C503,""fr"",""en"")"),"A star because it is impossible to put less ...
Cumulative hours on the phone to simply reverse the main and secondary drivers on two car insurance contracts.
About twenty different customer advisers in all, we explain, we re -explain, we re red explain"&amp;"ed everything from the start each time ... unbearable as this waiting music that we hear for long minutes every question Posed!
I have never seen that in any insurance! Simply incredible!
Only positive point, living once makes you aware of what the "&amp;"mediocrity of a service and customer listening is!
")</f>
        <v>A star because it is impossible to put less ...
Cumulative hours on the phone to simply reverse the main and secondary drivers on two car insurance contracts.
About twenty different customer advisers in all, we explain, we re -explain, we re red explained everything from the start each time ... unbearable as this waiting music that we hear for long minutes every question Posed!
I have never seen that in any insurance! Simply incredible!
Only positive point, living once makes you aware of what the mediocrity of a service and customer listening is!
</v>
      </c>
    </row>
    <row r="504" ht="15.75" customHeight="1">
      <c r="A504" s="2">
        <v>2.0</v>
      </c>
      <c r="B504" s="2" t="s">
        <v>1482</v>
      </c>
      <c r="C504" s="2" t="s">
        <v>1483</v>
      </c>
      <c r="D504" s="2" t="s">
        <v>1484</v>
      </c>
      <c r="E504" s="2" t="s">
        <v>241</v>
      </c>
      <c r="F504" s="2" t="s">
        <v>15</v>
      </c>
      <c r="G504" s="2" t="s">
        <v>1485</v>
      </c>
      <c r="H504" s="2" t="s">
        <v>1486</v>
      </c>
      <c r="I504" s="2" t="str">
        <f>IFERROR(__xludf.DUMMYFUNCTION("GOOGLETRANSLATE(C504,""fr"",""en"")"),"I contacted Magnolia as part of the Hamon law for a change of insurance, the prices indicated were very attractive.
Unfortunately behind this does not follow, I pay since March 2019 2 contributions for the same loan from 2 different entities ... I asked "&amp;"for the cancellation of the contract in July, still nothing, you have to restart them constantly.
2 deleters wrongly listed in early July, they do not know why, and of course still no answer for or solution for the moment ... to flee!")</f>
        <v>I contacted Magnolia as part of the Hamon law for a change of insurance, the prices indicated were very attractive.
Unfortunately behind this does not follow, I pay since March 2019 2 contributions for the same loan from 2 different entities ... I asked for the cancellation of the contract in July, still nothing, you have to restart them constantly.
2 deleters wrongly listed in early July, they do not know why, and of course still no answer for or solution for the moment ... to flee!</v>
      </c>
    </row>
    <row r="505" ht="15.75" customHeight="1">
      <c r="A505" s="2">
        <v>4.0</v>
      </c>
      <c r="B505" s="2" t="s">
        <v>1487</v>
      </c>
      <c r="C505" s="2" t="s">
        <v>1488</v>
      </c>
      <c r="D505" s="2" t="s">
        <v>13</v>
      </c>
      <c r="E505" s="2" t="s">
        <v>14</v>
      </c>
      <c r="F505" s="2" t="s">
        <v>15</v>
      </c>
      <c r="G505" s="2" t="s">
        <v>1489</v>
      </c>
      <c r="H505" s="2" t="s">
        <v>23</v>
      </c>
      <c r="I505" s="2" t="str">
        <f>IFERROR(__xludf.DUMMYFUNCTION("GOOGLETRANSLATE(C505,""fr"",""en"")"),"Competitive prices, pleasant and sympathetic customer service, administrative follow -up too restrictive and not in accordance with the content of the elements communicated for obtaining a quote and then for confirmation of the contract.")</f>
        <v>Competitive prices, pleasant and sympathetic customer service, administrative follow -up too restrictive and not in accordance with the content of the elements communicated for obtaining a quote and then for confirmation of the contract.</v>
      </c>
    </row>
    <row r="506" ht="15.75" customHeight="1">
      <c r="A506" s="2">
        <v>5.0</v>
      </c>
      <c r="B506" s="2" t="s">
        <v>1490</v>
      </c>
      <c r="C506" s="2" t="s">
        <v>1491</v>
      </c>
      <c r="D506" s="2" t="s">
        <v>13</v>
      </c>
      <c r="E506" s="2" t="s">
        <v>14</v>
      </c>
      <c r="F506" s="2" t="s">
        <v>15</v>
      </c>
      <c r="G506" s="2" t="s">
        <v>210</v>
      </c>
      <c r="H506" s="2" t="s">
        <v>50</v>
      </c>
      <c r="I506" s="2" t="str">
        <f>IFERROR(__xludf.DUMMYFUNCTION("GOOGLETRANSLATE(C506,""fr"",""en"")"),"Unbeatable prices, with equivalent guarantees we were able to divide the subscription by two.
Very well done and fluid site until the subscription.
To recommend.
")</f>
        <v>Unbeatable prices, with equivalent guarantees we were able to divide the subscription by two.
Very well done and fluid site until the subscription.
To recommend.
</v>
      </c>
    </row>
    <row r="507" ht="15.75" customHeight="1">
      <c r="A507" s="2">
        <v>1.0</v>
      </c>
      <c r="B507" s="2" t="s">
        <v>1492</v>
      </c>
      <c r="C507" s="2" t="s">
        <v>1493</v>
      </c>
      <c r="D507" s="2" t="s">
        <v>31</v>
      </c>
      <c r="E507" s="2" t="s">
        <v>14</v>
      </c>
      <c r="F507" s="2" t="s">
        <v>15</v>
      </c>
      <c r="G507" s="2" t="s">
        <v>1494</v>
      </c>
      <c r="H507" s="2" t="s">
        <v>632</v>
      </c>
      <c r="I507" s="2" t="str">
        <f>IFERROR(__xludf.DUMMYFUNCTION("GOOGLETRANSLATE(C507,""fr"",""en"")"),"Company to be avoided at all costs. No follow -up. only respond with automatic emails with each time annoyed response deadlines. For my part, I had a non -responsible accident in January 2017 and I still await to date 17/7/2017 the care of this accident, "&amp;"despite however many emails and registered letter. These people are not careful. I am forced to grasp the local jurisdiction.")</f>
        <v>Company to be avoided at all costs. No follow -up. only respond with automatic emails with each time annoyed response deadlines. For my part, I had a non -responsible accident in January 2017 and I still await to date 17/7/2017 the care of this accident, despite however many emails and registered letter. These people are not careful. I am forced to grasp the local jurisdiction.</v>
      </c>
    </row>
    <row r="508" ht="15.75" customHeight="1">
      <c r="A508" s="2">
        <v>4.0</v>
      </c>
      <c r="B508" s="2" t="s">
        <v>1495</v>
      </c>
      <c r="C508" s="2" t="s">
        <v>1496</v>
      </c>
      <c r="D508" s="2" t="s">
        <v>13</v>
      </c>
      <c r="E508" s="2" t="s">
        <v>14</v>
      </c>
      <c r="F508" s="2" t="s">
        <v>15</v>
      </c>
      <c r="G508" s="2" t="s">
        <v>1497</v>
      </c>
      <c r="H508" s="2" t="s">
        <v>60</v>
      </c>
      <c r="I508" s="2" t="str">
        <f>IFERROR(__xludf.DUMMYFUNCTION("GOOGLETRANSLATE(C508,""fr"",""en"")"),"Very good professional and available teleoperator. Bravo for your Call-Center, multi-channel! Good customer experience (CX).
You are listening to your customers even at late hours.")</f>
        <v>Very good professional and available teleoperator. Bravo for your Call-Center, multi-channel! Good customer experience (CX).
You are listening to your customers even at late hours.</v>
      </c>
    </row>
    <row r="509" ht="15.75" customHeight="1">
      <c r="A509" s="2">
        <v>4.0</v>
      </c>
      <c r="B509" s="2" t="s">
        <v>1498</v>
      </c>
      <c r="C509" s="2" t="s">
        <v>1499</v>
      </c>
      <c r="D509" s="2" t="s">
        <v>13</v>
      </c>
      <c r="E509" s="2" t="s">
        <v>14</v>
      </c>
      <c r="F509" s="2" t="s">
        <v>15</v>
      </c>
      <c r="G509" s="2" t="s">
        <v>1500</v>
      </c>
      <c r="H509" s="2" t="s">
        <v>33</v>
      </c>
      <c r="I509" s="2" t="str">
        <f>IFERROR(__xludf.DUMMYFUNCTION("GOOGLETRANSLATE(C509,""fr"",""en"")"),"I am satisfied with the Direct Insurance services. But nevertheless during our event in November 2020, when our house suffered a disaster, our vehicle keys remained in the house, and we were forced to redo the keys concerning the Dacia Lodgy we were able "&amp;"to transport it to the concessionaire to allow the identification of keys; But concerning the Fiat Ducato it was more delicate.")</f>
        <v>I am satisfied with the Direct Insurance services. But nevertheless during our event in November 2020, when our house suffered a disaster, our vehicle keys remained in the house, and we were forced to redo the keys concerning the Dacia Lodgy we were able to transport it to the concessionaire to allow the identification of keys; But concerning the Fiat Ducato it was more delicate.</v>
      </c>
    </row>
    <row r="510" ht="15.75" customHeight="1">
      <c r="A510" s="2">
        <v>5.0</v>
      </c>
      <c r="B510" s="2" t="s">
        <v>1501</v>
      </c>
      <c r="C510" s="2" t="s">
        <v>1502</v>
      </c>
      <c r="D510" s="2" t="s">
        <v>31</v>
      </c>
      <c r="E510" s="2" t="s">
        <v>14</v>
      </c>
      <c r="F510" s="2" t="s">
        <v>15</v>
      </c>
      <c r="G510" s="2" t="s">
        <v>365</v>
      </c>
      <c r="H510" s="2" t="s">
        <v>54</v>
      </c>
      <c r="I510" s="2" t="str">
        <f>IFERROR(__xludf.DUMMYFUNCTION("GOOGLETRANSLATE(C510,""fr"",""en"")"),"The prices are very interesting after seeing over time. The advisor I had was very kind and attentive. She knew how to answer my questions")</f>
        <v>The prices are very interesting after seeing over time. The advisor I had was very kind and attentive. She knew how to answer my questions</v>
      </c>
    </row>
    <row r="511" ht="15.75" customHeight="1">
      <c r="A511" s="2">
        <v>1.0</v>
      </c>
      <c r="B511" s="2" t="s">
        <v>1503</v>
      </c>
      <c r="C511" s="2" t="s">
        <v>1504</v>
      </c>
      <c r="D511" s="2" t="s">
        <v>1052</v>
      </c>
      <c r="E511" s="2" t="s">
        <v>317</v>
      </c>
      <c r="F511" s="2" t="s">
        <v>15</v>
      </c>
      <c r="G511" s="2" t="s">
        <v>1505</v>
      </c>
      <c r="H511" s="2" t="s">
        <v>376</v>
      </c>
      <c r="I511" s="2" t="str">
        <f>IFERROR(__xludf.DUMMYFUNCTION("GOOGLETRANSLATE(C511,""fr"",""en"")"),"In order to transform my life insurance into a life annuity, I have never been able to obtain the number of samples at source by Swiss Life (having an approximate idea of ​​the rest to live), no answer! I therefore plan to withdraw all of my life insuranc"&amp;"e, but I am advised to be assisted! , this company has changed now it shows contempt for its customers")</f>
        <v>In order to transform my life insurance into a life annuity, I have never been able to obtain the number of samples at source by Swiss Life (having an approximate idea of ​​the rest to live), no answer! I therefore plan to withdraw all of my life insurance, but I am advised to be assisted! , this company has changed now it shows contempt for its customers</v>
      </c>
    </row>
    <row r="512" ht="15.75" customHeight="1">
      <c r="A512" s="2">
        <v>2.0</v>
      </c>
      <c r="B512" s="2" t="s">
        <v>1506</v>
      </c>
      <c r="C512" s="2" t="s">
        <v>1507</v>
      </c>
      <c r="D512" s="2" t="s">
        <v>1508</v>
      </c>
      <c r="E512" s="2" t="s">
        <v>241</v>
      </c>
      <c r="F512" s="2" t="s">
        <v>15</v>
      </c>
      <c r="G512" s="2" t="s">
        <v>1509</v>
      </c>
      <c r="H512" s="2" t="s">
        <v>142</v>
      </c>
      <c r="I512" s="2" t="str">
        <f>IFERROR(__xludf.DUMMYFUNCTION("GOOGLETRANSLATE(C512,""fr"",""en"")"),"At the level of the Generali price is more than competitive!
But when compensating following a long work stoppage, the galley begins. Staff (in bad faith can be) do not read the documents we send correctly. A big delay in the payment of monthly payments "&amp;"when finally the file is validated (after more than 6 months of exchange of email, calls and mail).
You really have to contact them regularly to follow the advance because they were even able to send a compensation check to another bank in a city located"&amp;" more than 200km from mine and the counselor had the cheek to tell me On the phone that Generali did not make this kind of error, that the staff was completely competent.
Please note the expert doctor chosen for expertise makes the rain and the good weat"&amp;"her! As it is paid by Generali and the purpose of insurance is not to compensate you, he declares to you fit to work although the doctors of Social Security and the departmental medical committee say the opposite.")</f>
        <v>At the level of the Generali price is more than competitive!
But when compensating following a long work stoppage, the galley begins. Staff (in bad faith can be) do not read the documents we send correctly. A big delay in the payment of monthly payments when finally the file is validated (after more than 6 months of exchange of email, calls and mail).
You really have to contact them regularly to follow the advance because they were even able to send a compensation check to another bank in a city located more than 200km from mine and the counselor had the cheek to tell me On the phone that Generali did not make this kind of error, that the staff was completely competent.
Please note the expert doctor chosen for expertise makes the rain and the good weather! As it is paid by Generali and the purpose of insurance is not to compensate you, he declares to you fit to work although the doctors of Social Security and the departmental medical committee say the opposite.</v>
      </c>
    </row>
    <row r="513" ht="15.75" customHeight="1">
      <c r="A513" s="2">
        <v>1.0</v>
      </c>
      <c r="B513" s="2" t="s">
        <v>1510</v>
      </c>
      <c r="C513" s="2" t="s">
        <v>1511</v>
      </c>
      <c r="D513" s="2" t="s">
        <v>1508</v>
      </c>
      <c r="E513" s="2" t="s">
        <v>317</v>
      </c>
      <c r="F513" s="2" t="s">
        <v>15</v>
      </c>
      <c r="G513" s="2" t="s">
        <v>1262</v>
      </c>
      <c r="H513" s="2" t="s">
        <v>705</v>
      </c>
      <c r="I513" s="2" t="str">
        <f>IFERROR(__xludf.DUMMYFUNCTION("GOOGLETRANSLATE(C513,""fr"",""en"")"),"Hello everyone following the death of my father at the end of January, I contact general for the two life insurance, an advisor moves I give him all the documents ask he made up a certificate of acquittal of the law paid to the tax department I send it On"&amp;" 03/18/2019 to the advisor he put it back to the service concerned on 03/21/2019 so complete file. On 04/21/2019 No news from Generali I phone to ask them when I am settled, have not answered me very pleasantly. And let me know that they are delayed and t"&amp;"hat he does not know when I touch these life insurance. Fortunately, my father is no longer there to hear that. But he just lost an important customer. I would not advise Generali to my customers.")</f>
        <v>Hello everyone following the death of my father at the end of January, I contact general for the two life insurance, an advisor moves I give him all the documents ask he made up a certificate of acquittal of the law paid to the tax department I send it On 03/18/2019 to the advisor he put it back to the service concerned on 03/21/2019 so complete file. On 04/21/2019 No news from Generali I phone to ask them when I am settled, have not answered me very pleasantly. And let me know that they are delayed and that he does not know when I touch these life insurance. Fortunately, my father is no longer there to hear that. But he just lost an important customer. I would not advise Generali to my customers.</v>
      </c>
    </row>
    <row r="514" ht="15.75" customHeight="1">
      <c r="A514" s="2">
        <v>1.0</v>
      </c>
      <c r="B514" s="2" t="s">
        <v>1512</v>
      </c>
      <c r="C514" s="2" t="s">
        <v>1513</v>
      </c>
      <c r="D514" s="2" t="s">
        <v>13</v>
      </c>
      <c r="E514" s="2" t="s">
        <v>14</v>
      </c>
      <c r="F514" s="2" t="s">
        <v>15</v>
      </c>
      <c r="G514" s="2" t="s">
        <v>395</v>
      </c>
      <c r="H514" s="2" t="s">
        <v>33</v>
      </c>
      <c r="I514" s="2" t="str">
        <f>IFERROR(__xludf.DUMMYFUNCTION("GOOGLETRANSLATE(C514,""fr"",""en"")"),"The prices only increase effortlessly despite a lower accidentology rate in 2020, and I am waiting for the bonus of 2021! I download my bonus certificate and I go to Leocare")</f>
        <v>The prices only increase effortlessly despite a lower accidentology rate in 2020, and I am waiting for the bonus of 2021! I download my bonus certificate and I go to Leocare</v>
      </c>
    </row>
    <row r="515" ht="15.75" customHeight="1">
      <c r="A515" s="2">
        <v>1.0</v>
      </c>
      <c r="B515" s="2" t="s">
        <v>1514</v>
      </c>
      <c r="C515" s="2" t="s">
        <v>1515</v>
      </c>
      <c r="D515" s="2" t="s">
        <v>102</v>
      </c>
      <c r="E515" s="2" t="s">
        <v>14</v>
      </c>
      <c r="F515" s="2" t="s">
        <v>15</v>
      </c>
      <c r="G515" s="2" t="s">
        <v>1516</v>
      </c>
      <c r="H515" s="2" t="s">
        <v>81</v>
      </c>
      <c r="I515" s="2" t="str">
        <f>IFERROR(__xludf.DUMMYFUNCTION("GOOGLETRANSLATE(C515,""fr"",""en"")"),"Very ill -treatment of claims by this insurer. 2 examples to expand this comment. 1/La MAIF offers reconditioned parts for repairing vehicles, it is a good idea but the result is that the car is still awaiting repair since March 2019 because the mechanic "&amp;"does not find the room! 2/Declaration of a claim in October 2019, treated in August 2020 without any explanation. Everything is done by email, no advisor calls you and impossible to join the complaint service. Where is the concept of militant insurer is l"&amp;"ocated?")</f>
        <v>Very ill -treatment of claims by this insurer. 2 examples to expand this comment. 1/La MAIF offers reconditioned parts for repairing vehicles, it is a good idea but the result is that the car is still awaiting repair since March 2019 because the mechanic does not find the room! 2/Declaration of a claim in October 2019, treated in August 2020 without any explanation. Everything is done by email, no advisor calls you and impossible to join the complaint service. Where is the concept of militant insurer is located?</v>
      </c>
    </row>
    <row r="516" ht="15.75" customHeight="1">
      <c r="A516" s="2">
        <v>5.0</v>
      </c>
      <c r="B516" s="2" t="s">
        <v>1517</v>
      </c>
      <c r="C516" s="2" t="s">
        <v>1518</v>
      </c>
      <c r="D516" s="2" t="s">
        <v>102</v>
      </c>
      <c r="E516" s="2" t="s">
        <v>14</v>
      </c>
      <c r="F516" s="2" t="s">
        <v>15</v>
      </c>
      <c r="G516" s="2" t="s">
        <v>1500</v>
      </c>
      <c r="H516" s="2" t="s">
        <v>33</v>
      </c>
      <c r="I516" s="2" t="str">
        <f>IFERROR(__xludf.DUMMYFUNCTION("GOOGLETRANSLATE(C516,""fr"",""en"")"),"Excellent insurance. We are always received with great kindness and understanding. Great responsiveness to files. 8 Merci to all MAIF staff")</f>
        <v>Excellent insurance. We are always received with great kindness and understanding. Great responsiveness to files. 8 Merci to all MAIF staff</v>
      </c>
    </row>
    <row r="517" ht="15.75" customHeight="1">
      <c r="A517" s="2">
        <v>1.0</v>
      </c>
      <c r="B517" s="2" t="s">
        <v>1519</v>
      </c>
      <c r="C517" s="2" t="s">
        <v>1520</v>
      </c>
      <c r="D517" s="2" t="s">
        <v>26</v>
      </c>
      <c r="E517" s="2" t="s">
        <v>21</v>
      </c>
      <c r="F517" s="2" t="s">
        <v>15</v>
      </c>
      <c r="G517" s="2" t="s">
        <v>1081</v>
      </c>
      <c r="H517" s="2" t="s">
        <v>60</v>
      </c>
      <c r="I517" s="2" t="str">
        <f>IFERROR(__xludf.DUMMYFUNCTION("GOOGLETRANSLATE(C517,""fr"",""en"")"),"I do not recommend these ""mutuals"" which will not follow your files as soon as you have signed.
I never managed to be reimbursed for 1 year, and that did not worry them on the contrary ...
Be careful, some contracts plan to get fired as soon as you ar"&amp;"e too old")</f>
        <v>I do not recommend these "mutuals" which will not follow your files as soon as you have signed.
I never managed to be reimbursed for 1 year, and that did not worry them on the contrary ...
Be careful, some contracts plan to get fired as soon as you are too old</v>
      </c>
    </row>
    <row r="518" ht="15.75" customHeight="1">
      <c r="A518" s="2">
        <v>5.0</v>
      </c>
      <c r="B518" s="2" t="s">
        <v>1521</v>
      </c>
      <c r="C518" s="2" t="s">
        <v>1522</v>
      </c>
      <c r="D518" s="2" t="s">
        <v>74</v>
      </c>
      <c r="E518" s="2" t="s">
        <v>58</v>
      </c>
      <c r="F518" s="2" t="s">
        <v>15</v>
      </c>
      <c r="G518" s="2" t="s">
        <v>1027</v>
      </c>
      <c r="H518" s="2" t="s">
        <v>50</v>
      </c>
      <c r="I518" s="2" t="str">
        <f>IFERROR(__xludf.DUMMYFUNCTION("GOOGLETRANSLATE(C518,""fr"",""en"")"),"I am satisfied with the prices and fluidity of the pages. The whole is clear and effective.
I would recommend April Moto with me.
thank you for your efficiency")</f>
        <v>I am satisfied with the prices and fluidity of the pages. The whole is clear and effective.
I would recommend April Moto with me.
thank you for your efficiency</v>
      </c>
    </row>
    <row r="519" ht="15.75" customHeight="1">
      <c r="A519" s="2">
        <v>2.0</v>
      </c>
      <c r="B519" s="2" t="s">
        <v>1523</v>
      </c>
      <c r="C519" s="2" t="s">
        <v>1524</v>
      </c>
      <c r="D519" s="2" t="s">
        <v>252</v>
      </c>
      <c r="E519" s="2" t="s">
        <v>21</v>
      </c>
      <c r="F519" s="2" t="s">
        <v>15</v>
      </c>
      <c r="G519" s="2" t="s">
        <v>133</v>
      </c>
      <c r="H519" s="2" t="s">
        <v>107</v>
      </c>
      <c r="I519" s="2" t="str">
        <f>IFERROR(__xludf.DUMMYFUNCTION("GOOGLETRANSLATE(C519,""fr"",""en"")"),"In level 2 disability with 2 ALDs, I called on the social pole Harmonie for an important thing remains to be linked to a equipment for the spine. Harmonie made me fill in a file and wait 3 months to answer me that they did not take care of this additional"&amp;" cost. However, I agreed to modify my contract for better care, of course by paying more! This is the morality of this insurer ...")</f>
        <v>In level 2 disability with 2 ALDs, I called on the social pole Harmonie for an important thing remains to be linked to a equipment for the spine. Harmonie made me fill in a file and wait 3 months to answer me that they did not take care of this additional cost. However, I agreed to modify my contract for better care, of course by paying more! This is the morality of this insurer ...</v>
      </c>
    </row>
    <row r="520" ht="15.75" customHeight="1">
      <c r="A520" s="2">
        <v>1.0</v>
      </c>
      <c r="B520" s="2" t="s">
        <v>1525</v>
      </c>
      <c r="C520" s="2" t="s">
        <v>1526</v>
      </c>
      <c r="D520" s="2" t="s">
        <v>31</v>
      </c>
      <c r="E520" s="2" t="s">
        <v>14</v>
      </c>
      <c r="F520" s="2" t="s">
        <v>15</v>
      </c>
      <c r="G520" s="2" t="s">
        <v>1527</v>
      </c>
      <c r="H520" s="2" t="s">
        <v>17</v>
      </c>
      <c r="I520" s="2" t="str">
        <f>IFERROR(__xludf.DUMMYFUNCTION("GOOGLETRANSLATE(C520,""fr"",""en"")"),"Your advisor by price excl. Tax and not in TTC I am not a professional customer during the call phone he very well asked professional or personal I answered personal so I do not understand why he comes out of HT I would like a Additional reduction car -10"&amp;"% I find its minimal price thank you in advance good reception")</f>
        <v>Your advisor by price excl. Tax and not in TTC I am not a professional customer during the call phone he very well asked professional or personal I answered personal so I do not understand why he comes out of HT I would like a Additional reduction car -10% I find its minimal price thank you in advance good reception</v>
      </c>
    </row>
    <row r="521" ht="15.75" customHeight="1">
      <c r="A521" s="2">
        <v>2.0</v>
      </c>
      <c r="B521" s="2" t="s">
        <v>1528</v>
      </c>
      <c r="C521" s="2" t="s">
        <v>1529</v>
      </c>
      <c r="D521" s="2" t="s">
        <v>102</v>
      </c>
      <c r="E521" s="2" t="s">
        <v>103</v>
      </c>
      <c r="F521" s="2" t="s">
        <v>15</v>
      </c>
      <c r="G521" s="2" t="s">
        <v>1530</v>
      </c>
      <c r="H521" s="2" t="s">
        <v>415</v>
      </c>
      <c r="I521" s="2" t="str">
        <f>IFERROR(__xludf.DUMMYFUNCTION("GOOGLETRANSLATE(C521,""fr"",""en"")"),"Very disapointed ! Until then I was a delighted member except that I had a water damage at home and then a second. MAIF was able to be very reactive, on the 1st claim the work was taken care of by another insurer. The work has been done but in a more than"&amp;" unacceptable way I therefore complained because I consider that as a member the least of things is to be interested in your customers especially when you are told as serious. Answer provided was basically going to complain elsewhere since it was not the "&amp;"maif which compensated. It really shocked me and I find this lack of consideration unacceptable a link between insurer could have been made internally. More, it lacks coordination between the advisers because another called me for another problem for whic"&amp;"h I am not even responsible and I want to make me pay a deductible for a window that I have not broken after many complaints and complaints I abandon I am used to explain the same thing ... my decision is made I terminate all my contracts and I go elsewhe"&amp;"re 2020 not for lack of satisfaction but in principle. A little concern and kindness has never killed anyone!")</f>
        <v>Very disapointed ! Until then I was a delighted member except that I had a water damage at home and then a second. MAIF was able to be very reactive, on the 1st claim the work was taken care of by another insurer. The work has been done but in a more than unacceptable way I therefore complained because I consider that as a member the least of things is to be interested in your customers especially when you are told as serious. Answer provided was basically going to complain elsewhere since it was not the maif which compensated. It really shocked me and I find this lack of consideration unacceptable a link between insurer could have been made internally. More, it lacks coordination between the advisers because another called me for another problem for which I am not even responsible and I want to make me pay a deductible for a window that I have not broken after many complaints and complaints I abandon I am used to explain the same thing ... my decision is made I terminate all my contracts and I go elsewhere 2020 not for lack of satisfaction but in principle. A little concern and kindness has never killed anyone!</v>
      </c>
    </row>
    <row r="522" ht="15.75" customHeight="1">
      <c r="A522" s="2">
        <v>4.0</v>
      </c>
      <c r="B522" s="2" t="s">
        <v>1531</v>
      </c>
      <c r="C522" s="2" t="s">
        <v>1532</v>
      </c>
      <c r="D522" s="2" t="s">
        <v>74</v>
      </c>
      <c r="E522" s="2" t="s">
        <v>58</v>
      </c>
      <c r="F522" s="2" t="s">
        <v>15</v>
      </c>
      <c r="G522" s="2" t="s">
        <v>277</v>
      </c>
      <c r="H522" s="2" t="s">
        <v>76</v>
      </c>
      <c r="I522" s="2" t="str">
        <f>IFERROR(__xludf.DUMMYFUNCTION("GOOGLETRANSLATE(C522,""fr"",""en"")"),"Very satisfied with your insurance it was quick and easy even for the super price thank you for your service I will be your customer and you have always my insurance")</f>
        <v>Very satisfied with your insurance it was quick and easy even for the super price thank you for your service I will be your customer and you have always my insurance</v>
      </c>
    </row>
    <row r="523" ht="15.75" customHeight="1">
      <c r="A523" s="2">
        <v>1.0</v>
      </c>
      <c r="B523" s="2" t="s">
        <v>1533</v>
      </c>
      <c r="C523" s="2" t="s">
        <v>1534</v>
      </c>
      <c r="D523" s="2" t="s">
        <v>168</v>
      </c>
      <c r="E523" s="2" t="s">
        <v>14</v>
      </c>
      <c r="F523" s="2" t="s">
        <v>15</v>
      </c>
      <c r="G523" s="2" t="s">
        <v>382</v>
      </c>
      <c r="H523" s="2" t="s">
        <v>142</v>
      </c>
      <c r="I523" s="2" t="str">
        <f>IFERROR(__xludf.DUMMYFUNCTION("GOOGLETRANSLATE(C523,""fr"",""en"")"),"Auto contract terminated after 5 non -responsible claims including 2 ice breaks over the past 5 years. It is not that the MAAF but the insurance code and the Hamon law which I am not satisfied.")</f>
        <v>Auto contract terminated after 5 non -responsible claims including 2 ice breaks over the past 5 years. It is not that the MAAF but the insurance code and the Hamon law which I am not satisfied.</v>
      </c>
    </row>
    <row r="524" ht="15.75" customHeight="1">
      <c r="A524" s="2">
        <v>4.0</v>
      </c>
      <c r="B524" s="2" t="s">
        <v>1535</v>
      </c>
      <c r="C524" s="2" t="s">
        <v>1536</v>
      </c>
      <c r="D524" s="2" t="s">
        <v>117</v>
      </c>
      <c r="E524" s="2" t="s">
        <v>14</v>
      </c>
      <c r="F524" s="2" t="s">
        <v>15</v>
      </c>
      <c r="G524" s="2" t="s">
        <v>1187</v>
      </c>
      <c r="H524" s="2" t="s">
        <v>33</v>
      </c>
      <c r="I524" s="2" t="str">
        <f>IFERROR(__xludf.DUMMYFUNCTION("GOOGLETRANSLATE(C524,""fr"",""en"")"),"I am satisfied with the services set up for customers. Online services makes life easier and allows speed and is very effective.
Regards,")</f>
        <v>I am satisfied with the services set up for customers. Online services makes life easier and allows speed and is very effective.
Regards,</v>
      </c>
    </row>
    <row r="525" ht="15.75" customHeight="1">
      <c r="A525" s="2">
        <v>3.0</v>
      </c>
      <c r="B525" s="2" t="s">
        <v>1537</v>
      </c>
      <c r="C525" s="2" t="s">
        <v>1538</v>
      </c>
      <c r="D525" s="2" t="s">
        <v>222</v>
      </c>
      <c r="E525" s="2" t="s">
        <v>21</v>
      </c>
      <c r="F525" s="2" t="s">
        <v>15</v>
      </c>
      <c r="G525" s="2" t="s">
        <v>1539</v>
      </c>
      <c r="H525" s="2" t="s">
        <v>549</v>
      </c>
      <c r="I525" s="2" t="str">
        <f>IFERROR(__xludf.DUMMYFUNCTION("GOOGLETRANSLATE(C525,""fr"",""en"")"),"My questions were dealt with by the advisor Gwendal calling himself. Kind and very good welcome. Good listening to the advisor who apprehended my problem well and provided the answers that met my expectations.")</f>
        <v>My questions were dealt with by the advisor Gwendal calling himself. Kind and very good welcome. Good listening to the advisor who apprehended my problem well and provided the answers that met my expectations.</v>
      </c>
    </row>
    <row r="526" ht="15.75" customHeight="1">
      <c r="A526" s="2">
        <v>3.0</v>
      </c>
      <c r="B526" s="2" t="s">
        <v>1540</v>
      </c>
      <c r="C526" s="2" t="s">
        <v>1541</v>
      </c>
      <c r="D526" s="2" t="s">
        <v>13</v>
      </c>
      <c r="E526" s="2" t="s">
        <v>14</v>
      </c>
      <c r="F526" s="2" t="s">
        <v>15</v>
      </c>
      <c r="G526" s="2" t="s">
        <v>763</v>
      </c>
      <c r="H526" s="2" t="s">
        <v>107</v>
      </c>
      <c r="I526" s="2" t="str">
        <f>IFERROR(__xludf.DUMMYFUNCTION("GOOGLETRANSLATE(C526,""fr"",""en"")"),"Satisfied in general.
I find that prices have increased for a few years
When we call, we are well received and oriented. No worries about it")</f>
        <v>Satisfied in general.
I find that prices have increased for a few years
When we call, we are well received and oriented. No worries about it</v>
      </c>
    </row>
    <row r="527" ht="15.75" customHeight="1">
      <c r="A527" s="2">
        <v>5.0</v>
      </c>
      <c r="B527" s="2" t="s">
        <v>1542</v>
      </c>
      <c r="C527" s="2" t="s">
        <v>1543</v>
      </c>
      <c r="D527" s="2" t="s">
        <v>31</v>
      </c>
      <c r="E527" s="2" t="s">
        <v>14</v>
      </c>
      <c r="F527" s="2" t="s">
        <v>15</v>
      </c>
      <c r="G527" s="2" t="s">
        <v>1344</v>
      </c>
      <c r="H527" s="2" t="s">
        <v>17</v>
      </c>
      <c r="I527" s="2" t="str">
        <f>IFERROR(__xludf.DUMMYFUNCTION("GOOGLETRANSLATE(C527,""fr"",""en"")"),"I have been several vehicles there for several years and for the moment nothing to complain about, contact via powerful and efficient Facebook, price always placed. In short, very recommendable insurance.")</f>
        <v>I have been several vehicles there for several years and for the moment nothing to complain about, contact via powerful and efficient Facebook, price always placed. In short, very recommendable insurance.</v>
      </c>
    </row>
    <row r="528" ht="15.75" customHeight="1">
      <c r="A528" s="2">
        <v>3.0</v>
      </c>
      <c r="B528" s="2" t="s">
        <v>1544</v>
      </c>
      <c r="C528" s="2" t="s">
        <v>1545</v>
      </c>
      <c r="D528" s="2" t="s">
        <v>1052</v>
      </c>
      <c r="E528" s="2" t="s">
        <v>317</v>
      </c>
      <c r="F528" s="2" t="s">
        <v>15</v>
      </c>
      <c r="G528" s="2" t="s">
        <v>1546</v>
      </c>
      <c r="H528" s="2" t="s">
        <v>1096</v>
      </c>
      <c r="I528" s="2" t="str">
        <f>IFERROR(__xludf.DUMMYFUNCTION("GOOGLETRANSLATE(C528,""fr"",""en"")"),"As part of the succession of a loved one, despite a registered letter addressed to Swisslife by the notary accompanied by the required documents (act of notoriety, death certificate ...) and 4 emails from me to the address given by the Swisslife moderator"&amp;"s saying to write on this site at ServiceCnr@swisslife.fr, I have no answer ... I wrote a new email this day indicating that I just have to enter the ACPR for that things are moving forward .....
It is impossible for me to connect to the other site menti"&amp;"oned by Swisslife moderators here since it refers to a customer site and I am not directly ...
It is a shame to have to happen one for a brand that I thought effective .... The death dates from 3 and a half years!")</f>
        <v>As part of the succession of a loved one, despite a registered letter addressed to Swisslife by the notary accompanied by the required documents (act of notoriety, death certificate ...) and 4 emails from me to the address given by the Swisslife moderators saying to write on this site at ServiceCnr@swisslife.fr, I have no answer ... I wrote a new email this day indicating that I just have to enter the ACPR for that things are moving forward .....
It is impossible for me to connect to the other site mentioned by Swisslife moderators here since it refers to a customer site and I am not directly ...
It is a shame to have to happen one for a brand that I thought effective .... The death dates from 3 and a half years!</v>
      </c>
    </row>
    <row r="529" ht="15.75" customHeight="1">
      <c r="A529" s="2">
        <v>2.0</v>
      </c>
      <c r="B529" s="2" t="s">
        <v>1547</v>
      </c>
      <c r="C529" s="2" t="s">
        <v>1548</v>
      </c>
      <c r="D529" s="2" t="s">
        <v>26</v>
      </c>
      <c r="E529" s="2" t="s">
        <v>21</v>
      </c>
      <c r="F529" s="2" t="s">
        <v>15</v>
      </c>
      <c r="G529" s="2" t="s">
        <v>1549</v>
      </c>
      <c r="H529" s="2" t="s">
        <v>142</v>
      </c>
      <c r="I529" s="2" t="str">
        <f>IFERROR(__xludf.DUMMYFUNCTION("GOOGLETRANSLATE(C529,""fr"",""en"")"),"Nothing extraordinary in the service, whose price is still aligned with the market average. On the other hand, you must not need an interlocutor. Unreachable without the patience being put to the test.")</f>
        <v>Nothing extraordinary in the service, whose price is still aligned with the market average. On the other hand, you must not need an interlocutor. Unreachable without the patience being put to the test.</v>
      </c>
    </row>
    <row r="530" ht="15.75" customHeight="1">
      <c r="A530" s="2">
        <v>2.0</v>
      </c>
      <c r="B530" s="2" t="s">
        <v>1550</v>
      </c>
      <c r="C530" s="2" t="s">
        <v>1551</v>
      </c>
      <c r="D530" s="2" t="s">
        <v>13</v>
      </c>
      <c r="E530" s="2" t="s">
        <v>14</v>
      </c>
      <c r="F530" s="2" t="s">
        <v>15</v>
      </c>
      <c r="G530" s="2" t="s">
        <v>1552</v>
      </c>
      <c r="H530" s="2" t="s">
        <v>532</v>
      </c>
      <c r="I530" s="2" t="str">
        <f>IFERROR(__xludf.DUMMYFUNCTION("GOOGLETRANSLATE(C530,""fr"",""en"")"),"Direct Insurance makes a call price the first year
The second year the subscription increases by 20%
The price can remain interesting but it is not very good for retaining ...
Of course customer service does not respond, I wonder the increase for the s"&amp;"econd year")</f>
        <v>Direct Insurance makes a call price the first year
The second year the subscription increases by 20%
The price can remain interesting but it is not very good for retaining ...
Of course customer service does not respond, I wonder the increase for the second year</v>
      </c>
    </row>
    <row r="531" ht="15.75" customHeight="1">
      <c r="A531" s="2">
        <v>4.0</v>
      </c>
      <c r="B531" s="2" t="s">
        <v>1553</v>
      </c>
      <c r="C531" s="2" t="s">
        <v>1554</v>
      </c>
      <c r="D531" s="2" t="s">
        <v>117</v>
      </c>
      <c r="E531" s="2" t="s">
        <v>14</v>
      </c>
      <c r="F531" s="2" t="s">
        <v>15</v>
      </c>
      <c r="G531" s="2" t="s">
        <v>325</v>
      </c>
      <c r="H531" s="2" t="s">
        <v>60</v>
      </c>
      <c r="I531" s="2" t="str">
        <f>IFERROR(__xludf.DUMMYFUNCTION("GOOGLETRANSLATE(C531,""fr"",""en"")"),"Hello Miss, Sir,
I have been insured at GMF since 1970, without a claim involving my responsibility. Compensation on the amount of my insurance in particular auto will be pleasantly accepted.
Welcome back to vacation, cordial greetings
Serge La"&amp;"combe")</f>
        <v>Hello Miss, Sir,
I have been insured at GMF since 1970, without a claim involving my responsibility. Compensation on the amount of my insurance in particular auto will be pleasantly accepted.
Welcome back to vacation, cordial greetings
Serge Lacombe</v>
      </c>
    </row>
    <row r="532" ht="15.75" customHeight="1">
      <c r="A532" s="2">
        <v>1.0</v>
      </c>
      <c r="B532" s="2" t="s">
        <v>1555</v>
      </c>
      <c r="C532" s="2" t="s">
        <v>1556</v>
      </c>
      <c r="D532" s="2" t="s">
        <v>316</v>
      </c>
      <c r="E532" s="2" t="s">
        <v>317</v>
      </c>
      <c r="F532" s="2" t="s">
        <v>15</v>
      </c>
      <c r="G532" s="2" t="s">
        <v>1557</v>
      </c>
      <c r="H532" s="2" t="s">
        <v>194</v>
      </c>
      <c r="I532" s="2" t="str">
        <f>IFERROR(__xludf.DUMMYFUNCTION("GOOGLETRANSLATE(C532,""fr"",""en"")"),"The processing of files is anarchic and calamitous. We ask you constantly documents, we lose the documents, they only receive half of the attachments in an email! ???!
There is no point in calling them: ""specialists"" (as the voice server says) do not h"&amp;"ave access to the mailbox and cannot confirm the reception of emails or even search for email. On the other hand, they are very competent to recall and claim the document you have just sent to the said email not found ... in short: flee!")</f>
        <v>The processing of files is anarchic and calamitous. We ask you constantly documents, we lose the documents, they only receive half of the attachments in an email! ???!
There is no point in calling them: "specialists" (as the voice server says) do not have access to the mailbox and cannot confirm the reception of emails or even search for email. On the other hand, they are very competent to recall and claim the document you have just sent to the said email not found ... in short: flee!</v>
      </c>
    </row>
    <row r="533" ht="15.75" customHeight="1">
      <c r="A533" s="2">
        <v>2.0</v>
      </c>
      <c r="B533" s="2" t="s">
        <v>1558</v>
      </c>
      <c r="C533" s="2" t="s">
        <v>1559</v>
      </c>
      <c r="D533" s="2" t="s">
        <v>128</v>
      </c>
      <c r="E533" s="2" t="s">
        <v>103</v>
      </c>
      <c r="F533" s="2" t="s">
        <v>15</v>
      </c>
      <c r="G533" s="2" t="s">
        <v>1560</v>
      </c>
      <c r="H533" s="2" t="s">
        <v>249</v>
      </c>
      <c r="I533" s="2" t="str">
        <f>IFERROR(__xludf.DUMMYFUNCTION("GOOGLETRANSLATE(C533,""fr"",""en"")"),"Hello, Telephone customer service next to the plaque and unhappy, I do not recommend, when we have to reimburse you there is no one anymore .. we wait non -stop on the phone to have someone.")</f>
        <v>Hello, Telephone customer service next to the plaque and unhappy, I do not recommend, when we have to reimburse you there is no one anymore .. we wait non -stop on the phone to have someone.</v>
      </c>
    </row>
    <row r="534" ht="15.75" customHeight="1">
      <c r="A534" s="2">
        <v>1.0</v>
      </c>
      <c r="B534" s="2" t="s">
        <v>1561</v>
      </c>
      <c r="C534" s="2" t="s">
        <v>1562</v>
      </c>
      <c r="D534" s="2" t="s">
        <v>168</v>
      </c>
      <c r="E534" s="2" t="s">
        <v>103</v>
      </c>
      <c r="F534" s="2" t="s">
        <v>15</v>
      </c>
      <c r="G534" s="2" t="s">
        <v>1563</v>
      </c>
      <c r="H534" s="2" t="s">
        <v>234</v>
      </c>
      <c r="I534" s="2" t="str">
        <f>IFERROR(__xludf.DUMMYFUNCTION("GOOGLETRANSLATE(C534,""fr"",""en"")"),"The insurer capable of terminating you without warning, who actually leaves you not guaranteed because it is not damn to call on a poorly rated address and which brings you to an agency to announce with a smile that you cannot No longer subscribe to them "&amp;"and that you are blacklisted for 2 years (on the basis of the declarative, it is not an obligation but that makes them happy) and that suddenly no normal insurer will want you.")</f>
        <v>The insurer capable of terminating you without warning, who actually leaves you not guaranteed because it is not damn to call on a poorly rated address and which brings you to an agency to announce with a smile that you cannot No longer subscribe to them and that you are blacklisted for 2 years (on the basis of the declarative, it is not an obligation but that makes them happy) and that suddenly no normal insurer will want you.</v>
      </c>
    </row>
    <row r="535" ht="15.75" customHeight="1">
      <c r="A535" s="2">
        <v>1.0</v>
      </c>
      <c r="B535" s="2" t="s">
        <v>1564</v>
      </c>
      <c r="C535" s="2" t="s">
        <v>1565</v>
      </c>
      <c r="D535" s="2" t="s">
        <v>168</v>
      </c>
      <c r="E535" s="2" t="s">
        <v>58</v>
      </c>
      <c r="F535" s="2" t="s">
        <v>15</v>
      </c>
      <c r="G535" s="2" t="s">
        <v>1111</v>
      </c>
      <c r="H535" s="2" t="s">
        <v>60</v>
      </c>
      <c r="I535" s="2" t="str">
        <f>IFERROR(__xludf.DUMMYFUNCTION("GOOGLETRANSLATE(C535,""fr"",""en"")"),"After having called them, made an appointment to be able to ensure the bike of my son, my son went to the appointment this day ... surprised, they tell him that they called him and left a message to say that They did not accept his contract when I never h"&amp;"ad a message !! Their reason: we do not accept a contract for young people because it costs them too much ... and then, young people cannot secure suddenly ?? Sure, the maaf wants to get your pockets full !! We were at home for 20 years, no claim, we paid"&amp;" (normal) and we left because we found cheaper elsewhere for the same services.
It's really a shame! Flee this insurer !!!")</f>
        <v>After having called them, made an appointment to be able to ensure the bike of my son, my son went to the appointment this day ... surprised, they tell him that they called him and left a message to say that They did not accept his contract when I never had a message !! Their reason: we do not accept a contract for young people because it costs them too much ... and then, young people cannot secure suddenly ?? Sure, the maaf wants to get your pockets full !! We were at home for 20 years, no claim, we paid (normal) and we left because we found cheaper elsewhere for the same services.
It's really a shame! Flee this insurer !!!</v>
      </c>
    </row>
    <row r="536" ht="15.75" customHeight="1">
      <c r="A536" s="2">
        <v>3.0</v>
      </c>
      <c r="B536" s="2" t="s">
        <v>1566</v>
      </c>
      <c r="C536" s="2" t="s">
        <v>1567</v>
      </c>
      <c r="D536" s="2" t="s">
        <v>117</v>
      </c>
      <c r="E536" s="2" t="s">
        <v>14</v>
      </c>
      <c r="F536" s="2" t="s">
        <v>15</v>
      </c>
      <c r="G536" s="2" t="s">
        <v>1568</v>
      </c>
      <c r="H536" s="2" t="s">
        <v>111</v>
      </c>
      <c r="I536" s="2" t="str">
        <f>IFERROR(__xludf.DUMMYFUNCTION("GOOGLETRANSLATE(C536,""fr"",""en"")"),"More negative than positive, I agree with most customers, do not in any case encounter problems !!!! if not good luck")</f>
        <v>More negative than positive, I agree with most customers, do not in any case encounter problems !!!! if not good luck</v>
      </c>
    </row>
    <row r="537" ht="15.75" customHeight="1">
      <c r="A537" s="2">
        <v>1.0</v>
      </c>
      <c r="B537" s="2" t="s">
        <v>1569</v>
      </c>
      <c r="C537" s="2" t="s">
        <v>1570</v>
      </c>
      <c r="D537" s="2" t="s">
        <v>13</v>
      </c>
      <c r="E537" s="2" t="s">
        <v>14</v>
      </c>
      <c r="F537" s="2" t="s">
        <v>15</v>
      </c>
      <c r="G537" s="2" t="s">
        <v>1571</v>
      </c>
      <c r="H537" s="2" t="s">
        <v>1572</v>
      </c>
      <c r="I537" s="2" t="str">
        <f>IFERROR(__xludf.DUMMYFUNCTION("GOOGLETRANSLATE(C537,""fr"",""en"")"),"We take 3 months of advances in advance gold after 1 month 1/2 after we joined the information statements we are put an end to our contract following 2 non -responsible claims result we are making € 19 on € 126 , this raises questions. Folder fees 41 € re"&amp;"main at our expense when it is they who end our contract.")</f>
        <v>We take 3 months of advances in advance gold after 1 month 1/2 after we joined the information statements we are put an end to our contract following 2 non -responsible claims result we are making € 19 on € 126 , this raises questions. Folder fees 41 € remain at our expense when it is they who end our contract.</v>
      </c>
    </row>
    <row r="538" ht="15.75" customHeight="1">
      <c r="A538" s="2">
        <v>3.0</v>
      </c>
      <c r="B538" s="2" t="s">
        <v>1573</v>
      </c>
      <c r="C538" s="2" t="s">
        <v>1574</v>
      </c>
      <c r="D538" s="2" t="s">
        <v>361</v>
      </c>
      <c r="E538" s="2" t="s">
        <v>21</v>
      </c>
      <c r="F538" s="2" t="s">
        <v>15</v>
      </c>
      <c r="G538" s="2" t="s">
        <v>1575</v>
      </c>
      <c r="H538" s="2" t="s">
        <v>666</v>
      </c>
      <c r="I538" s="2" t="str">
        <f>IFERROR(__xludf.DUMMYFUNCTION("GOOGLETRANSLATE(C538,""fr"",""en"")"),"MGEN's mutualist values: a simple posture: no care during a Hospit when it is registered on the card so you have to pay and then be reimbursed either in my case more than 1000th outside.
We are strolled from one scene to the other the tel number are wron"&amp;"g and contradictory information from one speaker to the other
This is no longer a mutual insurance company, I remain the only one to pool my risk and advance it I do it every month at + 200 e it is called a contribution
I am a Complement official and Mg"&amp;"en is worse than the private sector. I regret the time Mnt
The contract will not be renewed in 2018")</f>
        <v>MGEN's mutualist values: a simple posture: no care during a Hospit when it is registered on the card so you have to pay and then be reimbursed either in my case more than 1000th outside.
We are strolled from one scene to the other the tel number are wrong and contradictory information from one speaker to the other
This is no longer a mutual insurance company, I remain the only one to pool my risk and advance it I do it every month at + 200 e it is called a contribution
I am a Complement official and Mgen is worse than the private sector. I regret the time Mnt
The contract will not be renewed in 2018</v>
      </c>
    </row>
    <row r="539" ht="15.75" customHeight="1">
      <c r="A539" s="2">
        <v>4.0</v>
      </c>
      <c r="B539" s="2" t="s">
        <v>1576</v>
      </c>
      <c r="C539" s="2" t="s">
        <v>1577</v>
      </c>
      <c r="D539" s="2" t="s">
        <v>13</v>
      </c>
      <c r="E539" s="2" t="s">
        <v>14</v>
      </c>
      <c r="F539" s="2" t="s">
        <v>15</v>
      </c>
      <c r="G539" s="2" t="s">
        <v>1578</v>
      </c>
      <c r="H539" s="2" t="s">
        <v>107</v>
      </c>
      <c r="I539" s="2" t="str">
        <f>IFERROR(__xludf.DUMMYFUNCTION("GOOGLETRANSLATE(C539,""fr"",""en"")"),"Delighted with the speed now remains to be seen the arrival of my green card and the rest.
Reasonable price in my wait.
It remains more cases to have the contract and my insurance.")</f>
        <v>Delighted with the speed now remains to be seen the arrival of my green card and the rest.
Reasonable price in my wait.
It remains more cases to have the contract and my insurance.</v>
      </c>
    </row>
    <row r="540" ht="15.75" customHeight="1">
      <c r="A540" s="2">
        <v>2.0</v>
      </c>
      <c r="B540" s="2" t="s">
        <v>1579</v>
      </c>
      <c r="C540" s="2" t="s">
        <v>1580</v>
      </c>
      <c r="D540" s="2" t="s">
        <v>31</v>
      </c>
      <c r="E540" s="2" t="s">
        <v>14</v>
      </c>
      <c r="F540" s="2" t="s">
        <v>15</v>
      </c>
      <c r="G540" s="2" t="s">
        <v>1581</v>
      </c>
      <c r="H540" s="2" t="s">
        <v>1486</v>
      </c>
      <c r="I540" s="2" t="str">
        <f>IFERROR(__xludf.DUMMYFUNCTION("GOOGLETRANSLATE(C540,""fr"",""en"")"),"Having already 3 contracts at Jesus I made my wife suffer for his personal vehicle how to have the final validation of a 20 % increase in the premium because non -responsible disaster without impact of the bonus I tried to call to negotiate it does not wa"&amp;"nt to know anything and persists despite this fourth against very disappointed")</f>
        <v>Having already 3 contracts at Jesus I made my wife suffer for his personal vehicle how to have the final validation of a 20 % increase in the premium because non -responsible disaster without impact of the bonus I tried to call to negotiate it does not want to know anything and persists despite this fourth against very disappointed</v>
      </c>
    </row>
    <row r="541" ht="15.75" customHeight="1">
      <c r="A541" s="2">
        <v>5.0</v>
      </c>
      <c r="B541" s="2" t="s">
        <v>1582</v>
      </c>
      <c r="C541" s="2" t="s">
        <v>1583</v>
      </c>
      <c r="D541" s="2" t="s">
        <v>31</v>
      </c>
      <c r="E541" s="2" t="s">
        <v>14</v>
      </c>
      <c r="F541" s="2" t="s">
        <v>15</v>
      </c>
      <c r="G541" s="2" t="s">
        <v>1584</v>
      </c>
      <c r="H541" s="2" t="s">
        <v>1486</v>
      </c>
      <c r="I541" s="2" t="str">
        <f>IFERROR(__xludf.DUMMYFUNCTION("GOOGLETRANSLATE(C541,""fr"",""en"")"),"Very good value for money")</f>
        <v>Very good value for money</v>
      </c>
    </row>
    <row r="542" ht="15.75" customHeight="1">
      <c r="A542" s="2">
        <v>5.0</v>
      </c>
      <c r="B542" s="2" t="s">
        <v>1585</v>
      </c>
      <c r="C542" s="2" t="s">
        <v>1586</v>
      </c>
      <c r="D542" s="2" t="s">
        <v>31</v>
      </c>
      <c r="E542" s="2" t="s">
        <v>14</v>
      </c>
      <c r="F542" s="2" t="s">
        <v>15</v>
      </c>
      <c r="G542" s="2" t="s">
        <v>365</v>
      </c>
      <c r="H542" s="2" t="s">
        <v>54</v>
      </c>
      <c r="I542" s="2" t="str">
        <f>IFERROR(__xludf.DUMMYFUNCTION("GOOGLETRANSLATE(C542,""fr"",""en"")"),"I am satisfied with the service and the price
Very disappointed by the processing time of my previous claim (theft) but good support by the telecatrelars")</f>
        <v>I am satisfied with the service and the price
Very disappointed by the processing time of my previous claim (theft) but good support by the telecatrelars</v>
      </c>
    </row>
    <row r="543" ht="15.75" customHeight="1">
      <c r="A543" s="2">
        <v>4.0</v>
      </c>
      <c r="B543" s="2" t="s">
        <v>1587</v>
      </c>
      <c r="C543" s="2" t="s">
        <v>1588</v>
      </c>
      <c r="D543" s="2" t="s">
        <v>31</v>
      </c>
      <c r="E543" s="2" t="s">
        <v>14</v>
      </c>
      <c r="F543" s="2" t="s">
        <v>15</v>
      </c>
      <c r="G543" s="2" t="s">
        <v>1589</v>
      </c>
      <c r="H543" s="2" t="s">
        <v>33</v>
      </c>
      <c r="I543" s="2" t="str">
        <f>IFERROR(__xludf.DUMMYFUNCTION("GOOGLETRANSLATE(C543,""fr"",""en"")"),"Fast efficient and cheap, that's exactly what I was looking for! A big positive point: the person on the phone was competent and clear which is not the case in all insurance.")</f>
        <v>Fast efficient and cheap, that's exactly what I was looking for! A big positive point: the person on the phone was competent and clear which is not the case in all insurance.</v>
      </c>
    </row>
    <row r="544" ht="15.75" customHeight="1">
      <c r="A544" s="2">
        <v>3.0</v>
      </c>
      <c r="B544" s="2" t="s">
        <v>1590</v>
      </c>
      <c r="C544" s="2" t="s">
        <v>1591</v>
      </c>
      <c r="D544" s="2" t="s">
        <v>20</v>
      </c>
      <c r="E544" s="2" t="s">
        <v>21</v>
      </c>
      <c r="F544" s="2" t="s">
        <v>15</v>
      </c>
      <c r="G544" s="2" t="s">
        <v>1592</v>
      </c>
      <c r="H544" s="2" t="s">
        <v>184</v>
      </c>
      <c r="I544" s="2" t="str">
        <f>IFERROR(__xludf.DUMMYFUNCTION("GOOGLETRANSLATE(C544,""fr"",""en"")"),"A little bitter price compared to other insurance.")</f>
        <v>A little bitter price compared to other insurance.</v>
      </c>
    </row>
    <row r="545" ht="15.75" customHeight="1">
      <c r="A545" s="2">
        <v>3.0</v>
      </c>
      <c r="B545" s="2" t="s">
        <v>1593</v>
      </c>
      <c r="C545" s="2" t="s">
        <v>1594</v>
      </c>
      <c r="D545" s="2" t="s">
        <v>57</v>
      </c>
      <c r="E545" s="2" t="s">
        <v>58</v>
      </c>
      <c r="F545" s="2" t="s">
        <v>15</v>
      </c>
      <c r="G545" s="2" t="s">
        <v>1595</v>
      </c>
      <c r="H545" s="2" t="s">
        <v>574</v>
      </c>
      <c r="I545" s="2" t="str">
        <f>IFERROR(__xludf.DUMMYFUNCTION("GOOGLETRANSLATE(C545,""fr"",""en"")"),"Hello,
I had a quote from AMV for a tax amount of € 487 per email. After receipt, from the endorsement, the amount had increased to € 681, € 99 in taxes and 94 brokerage costs ... I call them today! I would tell you about the course.
Cordially.")</f>
        <v>Hello,
I had a quote from AMV for a tax amount of € 487 per email. After receipt, from the endorsement, the amount had increased to € 681, € 99 in taxes and 94 brokerage costs ... I call them today! I would tell you about the course.
Cordially.</v>
      </c>
    </row>
    <row r="546" ht="15.75" customHeight="1">
      <c r="A546" s="2">
        <v>2.0</v>
      </c>
      <c r="B546" s="2" t="s">
        <v>1596</v>
      </c>
      <c r="C546" s="2" t="s">
        <v>1597</v>
      </c>
      <c r="D546" s="2" t="s">
        <v>117</v>
      </c>
      <c r="E546" s="2" t="s">
        <v>103</v>
      </c>
      <c r="F546" s="2" t="s">
        <v>15</v>
      </c>
      <c r="G546" s="2" t="s">
        <v>1598</v>
      </c>
      <c r="H546" s="2" t="s">
        <v>23</v>
      </c>
      <c r="I546" s="2" t="str">
        <f>IFERROR(__xludf.DUMMYFUNCTION("GOOGLETRANSLATE(C546,""fr"",""en"")"),"This insurance is a shame !!!!
Burgled on November 5
Still nothing repaired on January 5, 2021
Client family for 40 years
Unreachable sinister service for 1 month
In the middle of the pandemic !!!!!!
My home has been taking humidity for 2 months
")</f>
        <v>This insurance is a shame !!!!
Burgled on November 5
Still nothing repaired on January 5, 2021
Client family for 40 years
Unreachable sinister service for 1 month
In the middle of the pandemic !!!!!!
My home has been taking humidity for 2 months
</v>
      </c>
    </row>
    <row r="547" ht="15.75" customHeight="1">
      <c r="A547" s="2">
        <v>1.0</v>
      </c>
      <c r="B547" s="2" t="s">
        <v>1599</v>
      </c>
      <c r="C547" s="2" t="s">
        <v>1600</v>
      </c>
      <c r="D547" s="2" t="s">
        <v>361</v>
      </c>
      <c r="E547" s="2" t="s">
        <v>21</v>
      </c>
      <c r="F547" s="2" t="s">
        <v>15</v>
      </c>
      <c r="G547" s="2" t="s">
        <v>861</v>
      </c>
      <c r="H547" s="2" t="s">
        <v>86</v>
      </c>
      <c r="I547" s="2" t="str">
        <f>IFERROR(__xludf.DUMMYFUNCTION("GOOGLETRANSLATE(C547,""fr"",""en"")"),"I was very disappointed with this mutual
I was in depression and obviously stopped
Therefore stop sick and followed by a psychiatrist
I had my head in papers with medication and others
When I started to get better I contacted the MGEN for provident fo"&amp;"llowing the loss of salary
I explained my problem to them and they wanted to understand nothing
Supposedly that I have exceeded the deadline for the request
")</f>
        <v>I was very disappointed with this mutual
I was in depression and obviously stopped
Therefore stop sick and followed by a psychiatrist
I had my head in papers with medication and others
When I started to get better I contacted the MGEN for provident following the loss of salary
I explained my problem to them and they wanted to understand nothing
Supposedly that I have exceeded the deadline for the request
</v>
      </c>
    </row>
    <row r="548" ht="15.75" customHeight="1">
      <c r="A548" s="2">
        <v>1.0</v>
      </c>
      <c r="B548" s="2" t="s">
        <v>1601</v>
      </c>
      <c r="C548" s="2" t="s">
        <v>1602</v>
      </c>
      <c r="D548" s="2" t="s">
        <v>293</v>
      </c>
      <c r="E548" s="2" t="s">
        <v>14</v>
      </c>
      <c r="F548" s="2" t="s">
        <v>15</v>
      </c>
      <c r="G548" s="2" t="s">
        <v>800</v>
      </c>
      <c r="H548" s="2" t="s">
        <v>800</v>
      </c>
      <c r="I548" s="2" t="str">
        <f>IFERROR(__xludf.DUMMYFUNCTION("GOOGLETRANSLATE(C548,""fr"",""en"")"),"Impossible to be reimbursed a break of ice, once subscribed it is a number at 80 cts per minute to reach them. Very complicated to terminate and once to terminate they are still trying to take from the account and send letters of repeated formal notice. A"&amp;"h and they are so overwhelmed that it is not possible to send them an email because their mailbox is always full ....")</f>
        <v>Impossible to be reimbursed a break of ice, once subscribed it is a number at 80 cts per minute to reach them. Very complicated to terminate and once to terminate they are still trying to take from the account and send letters of repeated formal notice. Ah and they are so overwhelmed that it is not possible to send them an email because their mailbox is always full ....</v>
      </c>
    </row>
    <row r="549" ht="15.75" customHeight="1">
      <c r="A549" s="2">
        <v>3.0</v>
      </c>
      <c r="B549" s="2" t="s">
        <v>1603</v>
      </c>
      <c r="C549" s="2" t="s">
        <v>1604</v>
      </c>
      <c r="D549" s="2" t="s">
        <v>13</v>
      </c>
      <c r="E549" s="2" t="s">
        <v>14</v>
      </c>
      <c r="F549" s="2" t="s">
        <v>15</v>
      </c>
      <c r="G549" s="2" t="s">
        <v>176</v>
      </c>
      <c r="H549" s="2" t="s">
        <v>50</v>
      </c>
      <c r="I549" s="2" t="str">
        <f>IFERROR(__xludf.DUMMYFUNCTION("GOOGLETRANSLATE(C549,""fr"",""en"")"),"Satisfied price and speed. So I wish to boast the positive points of direct insurance.
I am already insured for my apartment and have never had any problems")</f>
        <v>Satisfied price and speed. So I wish to boast the positive points of direct insurance.
I am already insured for my apartment and have never had any problems</v>
      </c>
    </row>
    <row r="550" ht="15.75" customHeight="1">
      <c r="A550" s="2">
        <v>1.0</v>
      </c>
      <c r="B550" s="2" t="s">
        <v>1605</v>
      </c>
      <c r="C550" s="2" t="s">
        <v>1606</v>
      </c>
      <c r="D550" s="2" t="s">
        <v>84</v>
      </c>
      <c r="E550" s="2" t="s">
        <v>103</v>
      </c>
      <c r="F550" s="2" t="s">
        <v>15</v>
      </c>
      <c r="G550" s="2" t="s">
        <v>1607</v>
      </c>
      <c r="H550" s="2" t="s">
        <v>111</v>
      </c>
      <c r="I550" s="2" t="str">
        <f>IFERROR(__xludf.DUMMYFUNCTION("GOOGLETRANSLATE(C550,""fr"",""en"")"),"Eco -essay of home insurance No care compared to a cracked tile and water degat on the ceiling why pay insurance ... Please answer me or call on 0695602468")</f>
        <v>Eco -essay of home insurance No care compared to a cracked tile and water degat on the ceiling why pay insurance ... Please answer me or call on 0695602468</v>
      </c>
    </row>
    <row r="551" ht="15.75" customHeight="1">
      <c r="A551" s="2">
        <v>5.0</v>
      </c>
      <c r="B551" s="2" t="s">
        <v>1608</v>
      </c>
      <c r="C551" s="2" t="s">
        <v>1609</v>
      </c>
      <c r="D551" s="2" t="s">
        <v>57</v>
      </c>
      <c r="E551" s="2" t="s">
        <v>58</v>
      </c>
      <c r="F551" s="2" t="s">
        <v>15</v>
      </c>
      <c r="G551" s="2" t="s">
        <v>96</v>
      </c>
      <c r="H551" s="2" t="s">
        <v>50</v>
      </c>
      <c r="I551" s="2" t="str">
        <f>IFERROR(__xludf.DUMMYFUNCTION("GOOGLETRANSLATE(C551,""fr"",""en"")"),"Satisfied with the right value for money and the price.
Very responsive staff following requests by phone
very explicit documentation and internet contract
Cordially")</f>
        <v>Satisfied with the right value for money and the price.
Very responsive staff following requests by phone
very explicit documentation and internet contract
Cordially</v>
      </c>
    </row>
    <row r="552" ht="15.75" customHeight="1">
      <c r="A552" s="2">
        <v>2.0</v>
      </c>
      <c r="B552" s="2" t="s">
        <v>1610</v>
      </c>
      <c r="C552" s="2" t="s">
        <v>1611</v>
      </c>
      <c r="D552" s="2" t="s">
        <v>836</v>
      </c>
      <c r="E552" s="2" t="s">
        <v>103</v>
      </c>
      <c r="F552" s="2" t="s">
        <v>15</v>
      </c>
      <c r="G552" s="2" t="s">
        <v>1612</v>
      </c>
      <c r="H552" s="2" t="s">
        <v>1154</v>
      </c>
      <c r="I552" s="2" t="str">
        <f>IFERROR(__xludf.DUMMYFUNCTION("GOOGLETRANSLATE(C552,""fr"",""en"")"),"Platform to flee, notorious incompetence, protects more the opposing part than their own clients, just pitiful, therefore insurance to flee too.")</f>
        <v>Platform to flee, notorious incompetence, protects more the opposing part than their own clients, just pitiful, therefore insurance to flee too.</v>
      </c>
    </row>
    <row r="553" ht="15.75" customHeight="1">
      <c r="A553" s="2">
        <v>5.0</v>
      </c>
      <c r="B553" s="2" t="s">
        <v>1613</v>
      </c>
      <c r="C553" s="2" t="s">
        <v>1614</v>
      </c>
      <c r="D553" s="2" t="s">
        <v>222</v>
      </c>
      <c r="E553" s="2" t="s">
        <v>21</v>
      </c>
      <c r="F553" s="2" t="s">
        <v>15</v>
      </c>
      <c r="G553" s="2" t="s">
        <v>1615</v>
      </c>
      <c r="H553" s="2" t="s">
        <v>415</v>
      </c>
      <c r="I553" s="2" t="str">
        <f>IFERROR(__xludf.DUMMYFUNCTION("GOOGLETRANSLATE(C553,""fr"",""en"")"),"Excellent mutual, moreover, the Gwendal advisor, we have very well informed, does not try to sell ""anything at any cost ..!")</f>
        <v>Excellent mutual, moreover, the Gwendal advisor, we have very well informed, does not try to sell "anything at any cost ..!</v>
      </c>
    </row>
    <row r="554" ht="15.75" customHeight="1">
      <c r="A554" s="2">
        <v>4.0</v>
      </c>
      <c r="B554" s="2" t="s">
        <v>1616</v>
      </c>
      <c r="C554" s="2" t="s">
        <v>1617</v>
      </c>
      <c r="D554" s="2" t="s">
        <v>13</v>
      </c>
      <c r="E554" s="2" t="s">
        <v>14</v>
      </c>
      <c r="F554" s="2" t="s">
        <v>15</v>
      </c>
      <c r="G554" s="2" t="s">
        <v>96</v>
      </c>
      <c r="H554" s="2" t="s">
        <v>50</v>
      </c>
      <c r="I554" s="2" t="str">
        <f>IFERROR(__xludf.DUMMYFUNCTION("GOOGLETRANSLATE(C554,""fr"",""en"")"),"I am satisfied with the online membership service, the prices are correct for a 1st registration. Easy to use site and complete information on the quote")</f>
        <v>I am satisfied with the online membership service, the prices are correct for a 1st registration. Easy to use site and complete information on the quote</v>
      </c>
    </row>
    <row r="555" ht="15.75" customHeight="1">
      <c r="A555" s="2">
        <v>1.0</v>
      </c>
      <c r="B555" s="2" t="s">
        <v>1618</v>
      </c>
      <c r="C555" s="2" t="s">
        <v>1619</v>
      </c>
      <c r="D555" s="2" t="s">
        <v>36</v>
      </c>
      <c r="E555" s="2" t="s">
        <v>37</v>
      </c>
      <c r="F555" s="2" t="s">
        <v>15</v>
      </c>
      <c r="G555" s="2" t="s">
        <v>1620</v>
      </c>
      <c r="H555" s="2" t="s">
        <v>234</v>
      </c>
      <c r="I555" s="2" t="str">
        <f>IFERROR(__xludf.DUMMYFUNCTION("GOOGLETRANSLATE(C555,""fr"",""en"")"),"Avoid at all costs
Do not take this insurer they harass you by phone and by email until you take their guarantees and lower the price to flee !!")</f>
        <v>Avoid at all costs
Do not take this insurer they harass you by phone and by email until you take their guarantees and lower the price to flee !!</v>
      </c>
    </row>
    <row r="556" ht="15.75" customHeight="1">
      <c r="A556" s="2">
        <v>4.0</v>
      </c>
      <c r="B556" s="2" t="s">
        <v>1621</v>
      </c>
      <c r="C556" s="2" t="s">
        <v>1622</v>
      </c>
      <c r="D556" s="2" t="s">
        <v>496</v>
      </c>
      <c r="E556" s="2" t="s">
        <v>21</v>
      </c>
      <c r="F556" s="2" t="s">
        <v>15</v>
      </c>
      <c r="G556" s="2" t="s">
        <v>259</v>
      </c>
      <c r="H556" s="2" t="s">
        <v>54</v>
      </c>
      <c r="I556" s="2" t="str">
        <f>IFERROR(__xludf.DUMMYFUNCTION("GOOGLETRANSLATE(C556,""fr"",""en"")"),"Simple and practical despite the cost of the subscription. By tale, what about care such as homeopathy, thermal cures, osteopathy? How to benefit from it?")</f>
        <v>Simple and practical despite the cost of the subscription. By tale, what about care such as homeopathy, thermal cures, osteopathy? How to benefit from it?</v>
      </c>
    </row>
    <row r="557" ht="15.75" customHeight="1">
      <c r="A557" s="2">
        <v>2.0</v>
      </c>
      <c r="B557" s="2" t="s">
        <v>1623</v>
      </c>
      <c r="C557" s="2" t="s">
        <v>1624</v>
      </c>
      <c r="D557" s="2" t="s">
        <v>84</v>
      </c>
      <c r="E557" s="2" t="s">
        <v>14</v>
      </c>
      <c r="F557" s="2" t="s">
        <v>15</v>
      </c>
      <c r="G557" s="2" t="s">
        <v>1625</v>
      </c>
      <c r="H557" s="2" t="s">
        <v>509</v>
      </c>
      <c r="I557" s="2" t="str">
        <f>IFERROR(__xludf.DUMMYFUNCTION("GOOGLETRANSLATE(C557,""fr"",""en"")"),"Non -responsible accident on my car. The advisers whether in an agency or the phone were listening and we were guiding for the amicable finding. Advised me an approved mechanic near my home I had nothing to pay. My car ready in a week.")</f>
        <v>Non -responsible accident on my car. The advisers whether in an agency or the phone were listening and we were guiding for the amicable finding. Advised me an approved mechanic near my home I had nothing to pay. My car ready in a week.</v>
      </c>
    </row>
    <row r="558" ht="15.75" customHeight="1">
      <c r="A558" s="2">
        <v>5.0</v>
      </c>
      <c r="B558" s="2" t="s">
        <v>1626</v>
      </c>
      <c r="C558" s="2" t="s">
        <v>1627</v>
      </c>
      <c r="D558" s="2" t="s">
        <v>26</v>
      </c>
      <c r="E558" s="2" t="s">
        <v>21</v>
      </c>
      <c r="F558" s="2" t="s">
        <v>15</v>
      </c>
      <c r="G558" s="2" t="s">
        <v>1628</v>
      </c>
      <c r="H558" s="2" t="s">
        <v>376</v>
      </c>
      <c r="I558" s="2" t="str">
        <f>IFERROR(__xludf.DUMMYFUNCTION("GOOGLETRANSLATE(C558,""fr"",""en"")"),"Customer service is at the top, I had a refund concern so I called and my problem was quickly resolved. I was disappointed during my previous customer service insurance and it is above the lot.")</f>
        <v>Customer service is at the top, I had a refund concern so I called and my problem was quickly resolved. I was disappointed during my previous customer service insurance and it is above the lot.</v>
      </c>
    </row>
    <row r="559" ht="15.75" customHeight="1">
      <c r="A559" s="2">
        <v>2.0</v>
      </c>
      <c r="B559" s="2" t="s">
        <v>1629</v>
      </c>
      <c r="C559" s="2" t="s">
        <v>1630</v>
      </c>
      <c r="D559" s="2" t="s">
        <v>168</v>
      </c>
      <c r="E559" s="2" t="s">
        <v>103</v>
      </c>
      <c r="F559" s="2" t="s">
        <v>15</v>
      </c>
      <c r="G559" s="2" t="s">
        <v>27</v>
      </c>
      <c r="H559" s="2" t="s">
        <v>28</v>
      </c>
      <c r="I559" s="2" t="str">
        <f>IFERROR(__xludf.DUMMYFUNCTION("GOOGLETRANSLATE(C559,""fr"",""en"")"),"Perfect for quotes and invoicing, but disaster in the event of a disaster: unreachable, work with bad subcontractors, polenting on reimbursement")</f>
        <v>Perfect for quotes and invoicing, but disaster in the event of a disaster: unreachable, work with bad subcontractors, polenting on reimbursement</v>
      </c>
    </row>
    <row r="560" ht="15.75" customHeight="1">
      <c r="A560" s="2">
        <v>5.0</v>
      </c>
      <c r="B560" s="2" t="s">
        <v>1631</v>
      </c>
      <c r="C560" s="2" t="s">
        <v>1632</v>
      </c>
      <c r="D560" s="2" t="s">
        <v>13</v>
      </c>
      <c r="E560" s="2" t="s">
        <v>103</v>
      </c>
      <c r="F560" s="2" t="s">
        <v>15</v>
      </c>
      <c r="G560" s="2" t="s">
        <v>1633</v>
      </c>
      <c r="H560" s="2" t="s">
        <v>23</v>
      </c>
      <c r="I560" s="2" t="str">
        <f>IFERROR(__xludf.DUMMYFUNCTION("GOOGLETRANSLATE(C560,""fr"",""en"")"),"Prices and online services as much as telephone seem to me satisfactory hoping for the same efficiency/ speed in the event of an accident or a claim")</f>
        <v>Prices and online services as much as telephone seem to me satisfactory hoping for the same efficiency/ speed in the event of an accident or a claim</v>
      </c>
    </row>
    <row r="561" ht="15.75" customHeight="1">
      <c r="A561" s="2">
        <v>1.0</v>
      </c>
      <c r="B561" s="2" t="s">
        <v>1634</v>
      </c>
      <c r="C561" s="2" t="s">
        <v>1635</v>
      </c>
      <c r="D561" s="2" t="s">
        <v>26</v>
      </c>
      <c r="E561" s="2" t="s">
        <v>21</v>
      </c>
      <c r="F561" s="2" t="s">
        <v>15</v>
      </c>
      <c r="G561" s="2" t="s">
        <v>1636</v>
      </c>
      <c r="H561" s="2" t="s">
        <v>516</v>
      </c>
      <c r="I561" s="2" t="str">
        <f>IFERROR(__xludf.DUMMYFUNCTION("GOOGLETRANSLATE(C561,""fr"",""en"")"),"Provided for a mutual insurance company, another contract was imposed for me for daily allowances. 6 months to set up remote transmission, reimbursement excluding secure refund rarely respected unlike the contract, customer service does not process reques"&amp;"ts, t, no response to the recommended, information on the contribution increases for the following year n 'is not made within the legal deadlines, disappointing")</f>
        <v>Provided for a mutual insurance company, another contract was imposed for me for daily allowances. 6 months to set up remote transmission, reimbursement excluding secure refund rarely respected unlike the contract, customer service does not process requests, t, no response to the recommended, information on the contribution increases for the following year n 'is not made within the legal deadlines, disappointing</v>
      </c>
    </row>
    <row r="562" ht="15.75" customHeight="1">
      <c r="A562" s="2">
        <v>4.0</v>
      </c>
      <c r="B562" s="2" t="s">
        <v>1637</v>
      </c>
      <c r="C562" s="2" t="s">
        <v>1638</v>
      </c>
      <c r="D562" s="2" t="s">
        <v>31</v>
      </c>
      <c r="E562" s="2" t="s">
        <v>14</v>
      </c>
      <c r="F562" s="2" t="s">
        <v>15</v>
      </c>
      <c r="G562" s="2" t="s">
        <v>265</v>
      </c>
      <c r="H562" s="2" t="s">
        <v>60</v>
      </c>
      <c r="I562" s="2" t="str">
        <f>IFERROR(__xludf.DUMMYFUNCTION("GOOGLETRANSLATE(C562,""fr"",""en"")"),"The service very effective, the price is very competitive, the information is clear and precise.
The site is very intuitive, we are not lost when the site offers formulas.
")</f>
        <v>The service very effective, the price is very competitive, the information is clear and precise.
The site is very intuitive, we are not lost when the site offers formulas.
</v>
      </c>
    </row>
    <row r="563" ht="15.75" customHeight="1">
      <c r="A563" s="2">
        <v>4.0</v>
      </c>
      <c r="B563" s="2" t="s">
        <v>1639</v>
      </c>
      <c r="C563" s="2" t="s">
        <v>1640</v>
      </c>
      <c r="D563" s="2" t="s">
        <v>26</v>
      </c>
      <c r="E563" s="2" t="s">
        <v>21</v>
      </c>
      <c r="F563" s="2" t="s">
        <v>15</v>
      </c>
      <c r="G563" s="2" t="s">
        <v>1076</v>
      </c>
      <c r="H563" s="2" t="s">
        <v>76</v>
      </c>
      <c r="I563" s="2" t="str">
        <f>IFERROR(__xludf.DUMMYFUNCTION("GOOGLETRANSLATE(C563,""fr"",""en"")"),"Excellent intervention by my interlocutor, Emeline, who knew, by her professionalism, to solve my problems, where others had failed. Effective, serious and courteous, it's nice to have to do to people like that and I can only recommend Emeline for your re"&amp;"quests, she will not let you go as long as she has not found a solution to your problem.")</f>
        <v>Excellent intervention by my interlocutor, Emeline, who knew, by her professionalism, to solve my problems, where others had failed. Effective, serious and courteous, it's nice to have to do to people like that and I can only recommend Emeline for your requests, she will not let you go as long as she has not found a solution to your problem.</v>
      </c>
    </row>
    <row r="564" ht="15.75" customHeight="1">
      <c r="A564" s="2">
        <v>5.0</v>
      </c>
      <c r="B564" s="2" t="s">
        <v>1641</v>
      </c>
      <c r="C564" s="2" t="s">
        <v>1642</v>
      </c>
      <c r="D564" s="2" t="s">
        <v>240</v>
      </c>
      <c r="E564" s="2" t="s">
        <v>241</v>
      </c>
      <c r="F564" s="2" t="s">
        <v>15</v>
      </c>
      <c r="G564" s="2" t="s">
        <v>420</v>
      </c>
      <c r="H564" s="2" t="s">
        <v>76</v>
      </c>
      <c r="I564" s="2" t="str">
        <f>IFERROR(__xludf.DUMMYFUNCTION("GOOGLETRANSLATE(C564,""fr"",""en"")"),"I am satisfied with the service ..., of the reception ..., of professionalism ..., of care ..., the prices seem suitable ..., simple and effective")</f>
        <v>I am satisfied with the service ..., of the reception ..., of professionalism ..., of care ..., the prices seem suitable ..., simple and effective</v>
      </c>
    </row>
    <row r="565" ht="15.75" customHeight="1">
      <c r="A565" s="2">
        <v>5.0</v>
      </c>
      <c r="B565" s="2" t="s">
        <v>1643</v>
      </c>
      <c r="C565" s="2" t="s">
        <v>1644</v>
      </c>
      <c r="D565" s="2" t="s">
        <v>31</v>
      </c>
      <c r="E565" s="2" t="s">
        <v>14</v>
      </c>
      <c r="F565" s="2" t="s">
        <v>15</v>
      </c>
      <c r="G565" s="2" t="s">
        <v>1645</v>
      </c>
      <c r="H565" s="2" t="s">
        <v>386</v>
      </c>
      <c r="I565" s="2" t="str">
        <f>IFERROR(__xludf.DUMMYFUNCTION("GOOGLETRANSLATE(C565,""fr"",""en"")"),"Delighted with telephone exchanges which we a real human face, people really listening to the customer, suddenly I took all my auto insurance at the Olivier.")</f>
        <v>Delighted with telephone exchanges which we a real human face, people really listening to the customer, suddenly I took all my auto insurance at the Olivier.</v>
      </c>
    </row>
    <row r="566" ht="15.75" customHeight="1">
      <c r="A566" s="2">
        <v>2.0</v>
      </c>
      <c r="B566" s="2" t="s">
        <v>1646</v>
      </c>
      <c r="C566" s="2" t="s">
        <v>1647</v>
      </c>
      <c r="D566" s="2" t="s">
        <v>31</v>
      </c>
      <c r="E566" s="2" t="s">
        <v>14</v>
      </c>
      <c r="F566" s="2" t="s">
        <v>15</v>
      </c>
      <c r="G566" s="2" t="s">
        <v>1455</v>
      </c>
      <c r="H566" s="2" t="s">
        <v>46</v>
      </c>
      <c r="I566" s="2" t="str">
        <f>IFERROR(__xludf.DUMMYFUNCTION("GOOGLETRANSLATE(C566,""fr"",""en"")"),"Very simple, and overall quite satisfied. I just hope that the first payment contains at least the first two months of insurance. Kisses to the one who will read this message. ??")</f>
        <v>Very simple, and overall quite satisfied. I just hope that the first payment contains at least the first two months of insurance. Kisses to the one who will read this message. ??</v>
      </c>
    </row>
    <row r="567" ht="15.75" customHeight="1">
      <c r="A567" s="2">
        <v>4.0</v>
      </c>
      <c r="B567" s="2" t="s">
        <v>1648</v>
      </c>
      <c r="C567" s="2" t="s">
        <v>1649</v>
      </c>
      <c r="D567" s="2" t="s">
        <v>13</v>
      </c>
      <c r="E567" s="2" t="s">
        <v>14</v>
      </c>
      <c r="F567" s="2" t="s">
        <v>15</v>
      </c>
      <c r="G567" s="2" t="s">
        <v>76</v>
      </c>
      <c r="H567" s="2" t="s">
        <v>76</v>
      </c>
      <c r="I567" s="2" t="str">
        <f>IFERROR(__xludf.DUMMYFUNCTION("GOOGLETRANSLATE(C567,""fr"",""en"")"),"satisfied to this day, but I had no problem to report
I am looking for an information statement and I hope to find it quickly and do not waste time")</f>
        <v>satisfied to this day, but I had no problem to report
I am looking for an information statement and I hope to find it quickly and do not waste time</v>
      </c>
    </row>
    <row r="568" ht="15.75" customHeight="1">
      <c r="A568" s="2">
        <v>5.0</v>
      </c>
      <c r="B568" s="2" t="s">
        <v>1650</v>
      </c>
      <c r="C568" s="2" t="s">
        <v>1651</v>
      </c>
      <c r="D568" s="2" t="s">
        <v>31</v>
      </c>
      <c r="E568" s="2" t="s">
        <v>14</v>
      </c>
      <c r="F568" s="2" t="s">
        <v>15</v>
      </c>
      <c r="G568" s="2" t="s">
        <v>1500</v>
      </c>
      <c r="H568" s="2" t="s">
        <v>33</v>
      </c>
      <c r="I568" s="2" t="str">
        <f>IFERROR(__xludf.DUMMYFUNCTION("GOOGLETRANSLATE(C568,""fr"",""en"")"),"Super efficient and very fast
Super insurance I highly recommend to all drivers in France is very professional and quotes and instantaneous")</f>
        <v>Super efficient and very fast
Super insurance I highly recommend to all drivers in France is very professional and quotes and instantaneous</v>
      </c>
    </row>
    <row r="569" ht="15.75" customHeight="1">
      <c r="A569" s="2">
        <v>1.0</v>
      </c>
      <c r="B569" s="2" t="s">
        <v>1652</v>
      </c>
      <c r="C569" s="2" t="s">
        <v>1653</v>
      </c>
      <c r="D569" s="2" t="s">
        <v>13</v>
      </c>
      <c r="E569" s="2" t="s">
        <v>14</v>
      </c>
      <c r="F569" s="2" t="s">
        <v>15</v>
      </c>
      <c r="G569" s="2" t="s">
        <v>1386</v>
      </c>
      <c r="H569" s="2" t="s">
        <v>356</v>
      </c>
      <c r="I569" s="2" t="str">
        <f>IFERROR(__xludf.DUMMYFUNCTION("GOOGLETRANSLATE(C569,""fr"",""en"")"),"Shabby! This insurance is to be fleeing absolutely. Unable to reach someone on the phone. You classify you 50 % without looking at the real reasons for the disaster and therefore you are paying for a very strong franchise while normally you are supposed t"&amp;"o pay nothing. They do not take care of their insured as long as they decided something you are cleared in touch if you disagree with them. In addition, contributions jump from year to year even without disaster.")</f>
        <v>Shabby! This insurance is to be fleeing absolutely. Unable to reach someone on the phone. You classify you 50 % without looking at the real reasons for the disaster and therefore you are paying for a very strong franchise while normally you are supposed to pay nothing. They do not take care of their insured as long as they decided something you are cleared in touch if you disagree with them. In addition, contributions jump from year to year even without disaster.</v>
      </c>
    </row>
    <row r="570" ht="15.75" customHeight="1">
      <c r="A570" s="2">
        <v>5.0</v>
      </c>
      <c r="B570" s="2" t="s">
        <v>1654</v>
      </c>
      <c r="C570" s="2" t="s">
        <v>1655</v>
      </c>
      <c r="D570" s="2" t="s">
        <v>31</v>
      </c>
      <c r="E570" s="2" t="s">
        <v>14</v>
      </c>
      <c r="F570" s="2" t="s">
        <v>15</v>
      </c>
      <c r="G570" s="2" t="s">
        <v>763</v>
      </c>
      <c r="H570" s="2" t="s">
        <v>107</v>
      </c>
      <c r="I570" s="2" t="str">
        <f>IFERROR(__xludf.DUMMYFUNCTION("GOOGLETRANSLATE(C570,""fr"",""en"")"),"I am satisfied, and the prices are attractive compared to your competitors.
I recommend to my friends and family.
Kindness and courtesy")</f>
        <v>I am satisfied, and the prices are attractive compared to your competitors.
I recommend to my friends and family.
Kindness and courtesy</v>
      </c>
    </row>
    <row r="571" ht="15.75" customHeight="1">
      <c r="A571" s="2">
        <v>4.0</v>
      </c>
      <c r="B571" s="2" t="s">
        <v>1656</v>
      </c>
      <c r="C571" s="2" t="s">
        <v>1657</v>
      </c>
      <c r="D571" s="2" t="s">
        <v>31</v>
      </c>
      <c r="E571" s="2" t="s">
        <v>14</v>
      </c>
      <c r="F571" s="2" t="s">
        <v>15</v>
      </c>
      <c r="G571" s="2" t="s">
        <v>1658</v>
      </c>
      <c r="H571" s="2" t="s">
        <v>107</v>
      </c>
      <c r="I571" s="2" t="str">
        <f>IFERROR(__xludf.DUMMYFUNCTION("GOOGLETRANSLATE(C571,""fr"",""en"")"),"Simple and practical, insurer ready to trust users with several recent claims and small bonus with correct prices even to provide vehicles with a large engine. TOP")</f>
        <v>Simple and practical, insurer ready to trust users with several recent claims and small bonus with correct prices even to provide vehicles with a large engine. TOP</v>
      </c>
    </row>
    <row r="572" ht="15.75" customHeight="1">
      <c r="A572" s="2">
        <v>4.0</v>
      </c>
      <c r="B572" s="2" t="s">
        <v>1659</v>
      </c>
      <c r="C572" s="2" t="s">
        <v>1660</v>
      </c>
      <c r="D572" s="2" t="s">
        <v>31</v>
      </c>
      <c r="E572" s="2" t="s">
        <v>14</v>
      </c>
      <c r="F572" s="2" t="s">
        <v>15</v>
      </c>
      <c r="G572" s="2" t="s">
        <v>187</v>
      </c>
      <c r="H572" s="2" t="s">
        <v>76</v>
      </c>
      <c r="I572" s="2" t="str">
        <f>IFERROR(__xludf.DUMMYFUNCTION("GOOGLETRANSLATE(C572,""fr"",""en"")"),"Reactive, availability and listening. Very well served during my call for the subscription of the contract. Very competitive rates. Shortcuting deadlines during telephone calls, which is a very good point! I recommend.")</f>
        <v>Reactive, availability and listening. Very well served during my call for the subscription of the contract. Very competitive rates. Shortcuting deadlines during telephone calls, which is a very good point! I recommend.</v>
      </c>
    </row>
    <row r="573" ht="15.75" customHeight="1">
      <c r="A573" s="2">
        <v>1.0</v>
      </c>
      <c r="B573" s="2" t="s">
        <v>1661</v>
      </c>
      <c r="C573" s="2" t="s">
        <v>1662</v>
      </c>
      <c r="D573" s="2" t="s">
        <v>160</v>
      </c>
      <c r="E573" s="2" t="s">
        <v>462</v>
      </c>
      <c r="F573" s="2" t="s">
        <v>15</v>
      </c>
      <c r="G573" s="2" t="s">
        <v>1489</v>
      </c>
      <c r="H573" s="2" t="s">
        <v>23</v>
      </c>
      <c r="I573" s="2" t="str">
        <f>IFERROR(__xludf.DUMMYFUNCTION("GOOGLETRANSLATE(C573,""fr"",""en"")"),"Hello, I was stopped at the beginning of September until mid December. I always wait for my salary supplement. Processing times are not only extremely long but put everyone in worries not possible.
I am affiliated with the AG2R via temporary worker. I wa"&amp;"nt to understand that COVVID has created delays, but even the administration where they have reduced the workforce to deal with the files a lot, but much faster.
I add for 2 weeks that I have the impression of being strolled and that I am told that they "&amp;"treat the files of October 20. It is obvious that it does not take 2 weeks to treat just a day, otherwise it takes more than a year just for a month.
Can this insurance honor its contracts or is it about to collapse as some in 2008?
Thank you (irony)")</f>
        <v>Hello, I was stopped at the beginning of September until mid December. I always wait for my salary supplement. Processing times are not only extremely long but put everyone in worries not possible.
I am affiliated with the AG2R via temporary worker. I want to understand that COVVID has created delays, but even the administration where they have reduced the workforce to deal with the files a lot, but much faster.
I add for 2 weeks that I have the impression of being strolled and that I am told that they treat the files of October 20. It is obvious that it does not take 2 weeks to treat just a day, otherwise it takes more than a year just for a month.
Can this insurance honor its contracts or is it about to collapse as some in 2008?
Thank you (irony)</v>
      </c>
    </row>
    <row r="574" ht="15.75" customHeight="1">
      <c r="A574" s="2">
        <v>2.0</v>
      </c>
      <c r="B574" s="2" t="s">
        <v>1663</v>
      </c>
      <c r="C574" s="2" t="s">
        <v>1664</v>
      </c>
      <c r="D574" s="2" t="s">
        <v>168</v>
      </c>
      <c r="E574" s="2" t="s">
        <v>14</v>
      </c>
      <c r="F574" s="2" t="s">
        <v>15</v>
      </c>
      <c r="G574" s="2" t="s">
        <v>213</v>
      </c>
      <c r="H574" s="2" t="s">
        <v>130</v>
      </c>
      <c r="I574" s="2" t="str">
        <f>IFERROR(__xludf.DUMMYFUNCTION("GOOGLETRANSLATE(C574,""fr"",""en"")"),"I strongly advise against the maaf, they are not even able to defend one of their insured. And this despite elements in my favor (witness + video), result they put me penalty !!!")</f>
        <v>I strongly advise against the maaf, they are not even able to defend one of their insured. And this despite elements in my favor (witness + video), result they put me penalty !!!</v>
      </c>
    </row>
    <row r="575" ht="15.75" customHeight="1">
      <c r="A575" s="2">
        <v>4.0</v>
      </c>
      <c r="B575" s="2" t="s">
        <v>1665</v>
      </c>
      <c r="C575" s="2" t="s">
        <v>1666</v>
      </c>
      <c r="D575" s="2" t="s">
        <v>13</v>
      </c>
      <c r="E575" s="2" t="s">
        <v>14</v>
      </c>
      <c r="F575" s="2" t="s">
        <v>15</v>
      </c>
      <c r="G575" s="2" t="s">
        <v>148</v>
      </c>
      <c r="H575" s="2" t="s">
        <v>107</v>
      </c>
      <c r="I575" s="2" t="str">
        <f>IFERROR(__xludf.DUMMYFUNCTION("GOOGLETRANSLATE(C575,""fr"",""en"")"),"The subscription is easy and easy, easy to use. The price is the most interesting to walk it is a very good point.
I hope the rest will be easy too.")</f>
        <v>The subscription is easy and easy, easy to use. The price is the most interesting to walk it is a very good point.
I hope the rest will be easy too.</v>
      </c>
    </row>
    <row r="576" ht="15.75" customHeight="1">
      <c r="A576" s="2">
        <v>1.0</v>
      </c>
      <c r="B576" s="2" t="s">
        <v>1667</v>
      </c>
      <c r="C576" s="2" t="s">
        <v>1668</v>
      </c>
      <c r="D576" s="2" t="s">
        <v>69</v>
      </c>
      <c r="E576" s="2" t="s">
        <v>37</v>
      </c>
      <c r="F576" s="2" t="s">
        <v>15</v>
      </c>
      <c r="G576" s="2" t="s">
        <v>1669</v>
      </c>
      <c r="H576" s="2" t="s">
        <v>71</v>
      </c>
      <c r="I576" s="2" t="str">
        <f>IFERROR(__xludf.DUMMYFUNCTION("GOOGLETRANSLATE(C576,""fr"",""en"")"),"Customer service almost unreachable by telephone, the reimbursement in 48 hours announced is false, many papers, time, calls and emails to ultimately a labourieux reimbursement ... To be fleeing absolutely.")</f>
        <v>Customer service almost unreachable by telephone, the reimbursement in 48 hours announced is false, many papers, time, calls and emails to ultimately a labourieux reimbursement ... To be fleeing absolutely.</v>
      </c>
    </row>
    <row r="577" ht="15.75" customHeight="1">
      <c r="A577" s="2">
        <v>3.0</v>
      </c>
      <c r="B577" s="2" t="s">
        <v>1670</v>
      </c>
      <c r="C577" s="2" t="s">
        <v>1671</v>
      </c>
      <c r="D577" s="2" t="s">
        <v>31</v>
      </c>
      <c r="E577" s="2" t="s">
        <v>14</v>
      </c>
      <c r="F577" s="2" t="s">
        <v>15</v>
      </c>
      <c r="G577" s="2" t="s">
        <v>457</v>
      </c>
      <c r="H577" s="2" t="s">
        <v>54</v>
      </c>
      <c r="I577" s="2" t="str">
        <f>IFERROR(__xludf.DUMMYFUNCTION("GOOGLETRANSLATE(C577,""fr"",""en"")"),"I am satisfied with the service I hope that the prices will not increase for several years.
fast and effective
If all goes well I plan to ensure a second vehicle")</f>
        <v>I am satisfied with the service I hope that the prices will not increase for several years.
fast and effective
If all goes well I plan to ensure a second vehicle</v>
      </c>
    </row>
    <row r="578" ht="15.75" customHeight="1">
      <c r="A578" s="2">
        <v>3.0</v>
      </c>
      <c r="B578" s="2" t="s">
        <v>1672</v>
      </c>
      <c r="C578" s="2" t="s">
        <v>1673</v>
      </c>
      <c r="D578" s="2" t="s">
        <v>31</v>
      </c>
      <c r="E578" s="2" t="s">
        <v>14</v>
      </c>
      <c r="F578" s="2" t="s">
        <v>15</v>
      </c>
      <c r="G578" s="2" t="s">
        <v>1674</v>
      </c>
      <c r="H578" s="2" t="s">
        <v>249</v>
      </c>
      <c r="I578" s="2" t="str">
        <f>IFERROR(__xludf.DUMMYFUNCTION("GOOGLETRANSLATE(C578,""fr"",""en"")"),"very mediocre assistance. Additional towing at my charge because it capped at 200 euros. Rental vehicle offered for 5 days but return to the city where towing took place (no interest for me). A vehicle loan for 1 hour was enough for me to do 60 km. Taxi o"&amp;"ffered up to 60 euros (it costs +- 200). In the end I repatriated the vehicle at my expense yesterday from Saint Quentin to Soissons 60 km for 247 euros. In short, their assistance is not worth IMA.")</f>
        <v>very mediocre assistance. Additional towing at my charge because it capped at 200 euros. Rental vehicle offered for 5 days but return to the city where towing took place (no interest for me). A vehicle loan for 1 hour was enough for me to do 60 km. Taxi offered up to 60 euros (it costs +- 200). In the end I repatriated the vehicle at my expense yesterday from Saint Quentin to Soissons 60 km for 247 euros. In short, their assistance is not worth IMA.</v>
      </c>
    </row>
    <row r="579" ht="15.75" customHeight="1">
      <c r="A579" s="2">
        <v>1.0</v>
      </c>
      <c r="B579" s="2" t="s">
        <v>1675</v>
      </c>
      <c r="C579" s="2" t="s">
        <v>1676</v>
      </c>
      <c r="D579" s="2" t="s">
        <v>136</v>
      </c>
      <c r="E579" s="2" t="s">
        <v>14</v>
      </c>
      <c r="F579" s="2" t="s">
        <v>15</v>
      </c>
      <c r="G579" s="2" t="s">
        <v>1677</v>
      </c>
      <c r="H579" s="2" t="s">
        <v>549</v>
      </c>
      <c r="I579" s="2" t="str">
        <f>IFERROR(__xludf.DUMMYFUNCTION("GOOGLETRANSLATE(C579,""fr"",""en"")"),"I was degraded my vehicle. I am assured of any risk and problems for the loan of a replacement vehicle. I don't have a relief card !! Thank you Crédit Agricole !! No rental agency wants or by check!")</f>
        <v>I was degraded my vehicle. I am assured of any risk and problems for the loan of a replacement vehicle. I don't have a relief card !! Thank you Crédit Agricole !! No rental agency wants or by check!</v>
      </c>
    </row>
    <row r="580" ht="15.75" customHeight="1">
      <c r="A580" s="2">
        <v>4.0</v>
      </c>
      <c r="B580" s="2" t="s">
        <v>1678</v>
      </c>
      <c r="C580" s="2" t="s">
        <v>1679</v>
      </c>
      <c r="D580" s="2" t="s">
        <v>128</v>
      </c>
      <c r="E580" s="2" t="s">
        <v>103</v>
      </c>
      <c r="F580" s="2" t="s">
        <v>15</v>
      </c>
      <c r="G580" s="2" t="s">
        <v>977</v>
      </c>
      <c r="H580" s="2" t="s">
        <v>33</v>
      </c>
      <c r="I580" s="2" t="str">
        <f>IFERROR(__xludf.DUMMYFUNCTION("GOOGLETRANSLATE(C580,""fr"",""en"")"),"Always quick and effective responses.
Few problems, fortunately, but always adjusted MS efficiently when I provide the necessary information.")</f>
        <v>Always quick and effective responses.
Few problems, fortunately, but always adjusted MS efficiently when I provide the necessary information.</v>
      </c>
    </row>
    <row r="581" ht="15.75" customHeight="1">
      <c r="A581" s="2">
        <v>4.0</v>
      </c>
      <c r="B581" s="2" t="s">
        <v>1680</v>
      </c>
      <c r="C581" s="2" t="s">
        <v>1681</v>
      </c>
      <c r="D581" s="2" t="s">
        <v>13</v>
      </c>
      <c r="E581" s="2" t="s">
        <v>14</v>
      </c>
      <c r="F581" s="2" t="s">
        <v>15</v>
      </c>
      <c r="G581" s="2" t="s">
        <v>1682</v>
      </c>
      <c r="H581" s="2" t="s">
        <v>107</v>
      </c>
      <c r="I581" s="2" t="str">
        <f>IFERROR(__xludf.DUMMYFUNCTION("GOOGLETRANSLATE(C581,""fr"",""en"")"),"I am satisfied because your prices are much cheaper than other insurance in line.
Then always available 7/7 days I hope that I will be satisfied with your online service")</f>
        <v>I am satisfied because your prices are much cheaper than other insurance in line.
Then always available 7/7 days I hope that I will be satisfied with your online service</v>
      </c>
    </row>
    <row r="582" ht="15.75" customHeight="1">
      <c r="A582" s="2">
        <v>4.0</v>
      </c>
      <c r="B582" s="2" t="s">
        <v>1683</v>
      </c>
      <c r="C582" s="2" t="s">
        <v>1684</v>
      </c>
      <c r="D582" s="2" t="s">
        <v>31</v>
      </c>
      <c r="E582" s="2" t="s">
        <v>14</v>
      </c>
      <c r="F582" s="2" t="s">
        <v>15</v>
      </c>
      <c r="G582" s="2" t="s">
        <v>1685</v>
      </c>
      <c r="H582" s="2" t="s">
        <v>376</v>
      </c>
      <c r="I582" s="2" t="str">
        <f>IFERROR(__xludf.DUMMYFUNCTION("GOOGLETRANSLATE(C582,""fr"",""en"")"),"Easily reachable of very good advice and very fast in the event of a breakdown or a claim and making a quote is very easy whether on the site or by phone")</f>
        <v>Easily reachable of very good advice and very fast in the event of a breakdown or a claim and making a quote is very easy whether on the site or by phone</v>
      </c>
    </row>
    <row r="583" ht="15.75" customHeight="1">
      <c r="A583" s="2">
        <v>1.0</v>
      </c>
      <c r="B583" s="2" t="s">
        <v>1686</v>
      </c>
      <c r="C583" s="2" t="s">
        <v>1687</v>
      </c>
      <c r="D583" s="2" t="s">
        <v>136</v>
      </c>
      <c r="E583" s="2" t="s">
        <v>14</v>
      </c>
      <c r="F583" s="2" t="s">
        <v>15</v>
      </c>
      <c r="G583" s="2" t="s">
        <v>1688</v>
      </c>
      <c r="H583" s="2" t="s">
        <v>306</v>
      </c>
      <c r="I583" s="2" t="str">
        <f>IFERROR(__xludf.DUMMYFUNCTION("GOOGLETRANSLATE(C583,""fr"",""en"")"),"When you have an incompetent bank advisor or when you close certain bank accounts, it is impossible to have access to the contract or any other data.
Nobody sewn contacting when you want to renegotiate you contract. This is why I terminated my health ins"&amp;"urance, home, and a car contract.")</f>
        <v>When you have an incompetent bank advisor or when you close certain bank accounts, it is impossible to have access to the contract or any other data.
Nobody sewn contacting when you want to renegotiate you contract. This is why I terminated my health insurance, home, and a car contract.</v>
      </c>
    </row>
    <row r="584" ht="15.75" customHeight="1">
      <c r="A584" s="2">
        <v>4.0</v>
      </c>
      <c r="B584" s="2" t="s">
        <v>1689</v>
      </c>
      <c r="C584" s="2" t="s">
        <v>1690</v>
      </c>
      <c r="D584" s="2" t="s">
        <v>74</v>
      </c>
      <c r="E584" s="2" t="s">
        <v>58</v>
      </c>
      <c r="F584" s="2" t="s">
        <v>15</v>
      </c>
      <c r="G584" s="2" t="s">
        <v>148</v>
      </c>
      <c r="H584" s="2" t="s">
        <v>107</v>
      </c>
      <c r="I584" s="2" t="str">
        <f>IFERROR(__xludf.DUMMYFUNCTION("GOOGLETRANSLATE(C584,""fr"",""en"")"),"I am satisfied with the service of mind suited me a quick call for competent people everything has been settled quickly I strongly recommend this")</f>
        <v>I am satisfied with the service of mind suited me a quick call for competent people everything has been settled quickly I strongly recommend this</v>
      </c>
    </row>
    <row r="585" ht="15.75" customHeight="1">
      <c r="A585" s="2">
        <v>5.0</v>
      </c>
      <c r="B585" s="2" t="s">
        <v>1691</v>
      </c>
      <c r="C585" s="2" t="s">
        <v>1692</v>
      </c>
      <c r="D585" s="2" t="s">
        <v>57</v>
      </c>
      <c r="E585" s="2" t="s">
        <v>58</v>
      </c>
      <c r="F585" s="2" t="s">
        <v>15</v>
      </c>
      <c r="G585" s="2" t="s">
        <v>96</v>
      </c>
      <c r="H585" s="2" t="s">
        <v>50</v>
      </c>
      <c r="I585" s="2" t="str">
        <f>IFERROR(__xludf.DUMMYFUNCTION("GOOGLETRANSLATE(C585,""fr"",""en"")"),"I am very satisfied with the service as always, with each call or need I have all the information requested, the prices are consistent, no complaints for AMV, at the top!")</f>
        <v>I am very satisfied with the service as always, with each call or need I have all the information requested, the prices are consistent, no complaints for AMV, at the top!</v>
      </c>
    </row>
    <row r="586" ht="15.75" customHeight="1">
      <c r="A586" s="2">
        <v>1.0</v>
      </c>
      <c r="B586" s="2" t="s">
        <v>1693</v>
      </c>
      <c r="C586" s="2" t="s">
        <v>1694</v>
      </c>
      <c r="D586" s="2" t="s">
        <v>222</v>
      </c>
      <c r="E586" s="2" t="s">
        <v>21</v>
      </c>
      <c r="F586" s="2" t="s">
        <v>15</v>
      </c>
      <c r="G586" s="2" t="s">
        <v>1147</v>
      </c>
      <c r="H586" s="2" t="s">
        <v>549</v>
      </c>
      <c r="I586" s="2" t="str">
        <f>IFERROR(__xludf.DUMMYFUNCTION("GOOGLETRANSLATE(C586,""fr"",""en"")"),"They increase the amount of your monthly contributions 19 days after the start of your contract, refuse your termination request.")</f>
        <v>They increase the amount of your monthly contributions 19 days after the start of your contract, refuse your termination request.</v>
      </c>
    </row>
    <row r="587" ht="15.75" customHeight="1">
      <c r="A587" s="2">
        <v>1.0</v>
      </c>
      <c r="B587" s="2" t="s">
        <v>1695</v>
      </c>
      <c r="C587" s="2" t="s">
        <v>1696</v>
      </c>
      <c r="D587" s="2" t="s">
        <v>13</v>
      </c>
      <c r="E587" s="2" t="s">
        <v>14</v>
      </c>
      <c r="F587" s="2" t="s">
        <v>15</v>
      </c>
      <c r="G587" s="2" t="s">
        <v>1697</v>
      </c>
      <c r="H587" s="2" t="s">
        <v>33</v>
      </c>
      <c r="I587" s="2" t="str">
        <f>IFERROR(__xludf.DUMMYFUNCTION("GOOGLETRANSLATE(C587,""fr"",""en"")"),"very bad experiences
feeling of being abandoned by assistance
No return from insurance apart from sending my new subscription
So I will see the competition")</f>
        <v>very bad experiences
feeling of being abandoned by assistance
No return from insurance apart from sending my new subscription
So I will see the competition</v>
      </c>
    </row>
    <row r="588" ht="15.75" customHeight="1">
      <c r="A588" s="2">
        <v>4.0</v>
      </c>
      <c r="B588" s="2" t="s">
        <v>1698</v>
      </c>
      <c r="C588" s="2" t="s">
        <v>1699</v>
      </c>
      <c r="D588" s="2" t="s">
        <v>13</v>
      </c>
      <c r="E588" s="2" t="s">
        <v>14</v>
      </c>
      <c r="F588" s="2" t="s">
        <v>15</v>
      </c>
      <c r="G588" s="2" t="s">
        <v>1682</v>
      </c>
      <c r="H588" s="2" t="s">
        <v>107</v>
      </c>
      <c r="I588" s="2" t="str">
        <f>IFERROR(__xludf.DUMMYFUNCTION("GOOGLETRANSLATE(C588,""fr"",""en"")"),"I am satisfied for the moment of the service hoping that everything will be fine. What matters is that I can reach direct insurance at the least or for any questions. Cdt")</f>
        <v>I am satisfied for the moment of the service hoping that everything will be fine. What matters is that I can reach direct insurance at the least or for any questions. Cdt</v>
      </c>
    </row>
    <row r="589" ht="15.75" customHeight="1">
      <c r="A589" s="2">
        <v>2.0</v>
      </c>
      <c r="B589" s="2" t="s">
        <v>1700</v>
      </c>
      <c r="C589" s="2" t="s">
        <v>1701</v>
      </c>
      <c r="D589" s="2" t="s">
        <v>1508</v>
      </c>
      <c r="E589" s="2" t="s">
        <v>462</v>
      </c>
      <c r="F589" s="2" t="s">
        <v>15</v>
      </c>
      <c r="G589" s="2" t="s">
        <v>187</v>
      </c>
      <c r="H589" s="2" t="s">
        <v>76</v>
      </c>
      <c r="I589" s="2" t="str">
        <f>IFERROR(__xludf.DUMMYFUNCTION("GOOGLETRANSLATE(C589,""fr"",""en"")"),"Ghost insurance company .... after several emails and calls more than a month after my accident I have no news from my file .... and yet I am deducted monthly and I have no problem of regulations With all my contracts .... it's really heartbreaking not to"&amp;" have any interlocutive on the phone. COVVID is not transmitted by emails or telephone. As soon as my problem is, maybe one day solve I go .... running
bejacq@wanadoo.fr")</f>
        <v>Ghost insurance company .... after several emails and calls more than a month after my accident I have no news from my file .... and yet I am deducted monthly and I have no problem of regulations With all my contracts .... it's really heartbreaking not to have any interlocutive on the phone. COVVID is not transmitted by emails or telephone. As soon as my problem is, maybe one day solve I go .... running
bejacq@wanadoo.fr</v>
      </c>
    </row>
    <row r="590" ht="15.75" customHeight="1">
      <c r="A590" s="2">
        <v>1.0</v>
      </c>
      <c r="B590" s="2" t="s">
        <v>1702</v>
      </c>
      <c r="C590" s="2" t="s">
        <v>1703</v>
      </c>
      <c r="D590" s="2" t="s">
        <v>102</v>
      </c>
      <c r="E590" s="2" t="s">
        <v>14</v>
      </c>
      <c r="F590" s="2" t="s">
        <v>15</v>
      </c>
      <c r="G590" s="2" t="s">
        <v>1704</v>
      </c>
      <c r="H590" s="2" t="s">
        <v>142</v>
      </c>
      <c r="I590" s="2" t="str">
        <f>IFERROR(__xludf.DUMMYFUNCTION("GOOGLETRANSLATE(C590,""fr"",""en"")"),"Maaf and their false advertising .... a whole story that is repeated ...
Insured maaf for years (housing contract, auto, motorcycle, additional contracts child instruments etc ...) I had the honor to receive, following a responsible disaster, a letter in"&amp;"forming me that as a result Customer I benefited from the life bonus .... except that a penalty was applied to me with the related increase .....!
Obviously following a complaint I was informed that I received this letter by mistake .... end of the dis"&amp;"cussion ... if there is one at one point ...
We will therefore terminate all the contracts (+ those of the parents -in -law) in peace and continue to bear the good word as to their actions ....
A pigeon among so many others alas ...")</f>
        <v>Maaf and their false advertising .... a whole story that is repeated ...
Insured maaf for years (housing contract, auto, motorcycle, additional contracts child instruments etc ...) I had the honor to receive, following a responsible disaster, a letter informing me that as a result Customer I benefited from the life bonus .... except that a penalty was applied to me with the related increase .....!
Obviously following a complaint I was informed that I received this letter by mistake .... end of the discussion ... if there is one at one point ...
We will therefore terminate all the contracts (+ those of the parents -in -law) in peace and continue to bear the good word as to their actions ....
A pigeon among so many others alas ...</v>
      </c>
    </row>
    <row r="591" ht="15.75" customHeight="1">
      <c r="A591" s="2">
        <v>3.0</v>
      </c>
      <c r="B591" s="2" t="s">
        <v>1705</v>
      </c>
      <c r="C591" s="2" t="s">
        <v>1706</v>
      </c>
      <c r="D591" s="2" t="s">
        <v>128</v>
      </c>
      <c r="E591" s="2" t="s">
        <v>103</v>
      </c>
      <c r="F591" s="2" t="s">
        <v>15</v>
      </c>
      <c r="G591" s="2" t="s">
        <v>1707</v>
      </c>
      <c r="H591" s="2" t="s">
        <v>138</v>
      </c>
      <c r="I591" s="2" t="str">
        <f>IFERROR(__xludf.DUMMYFUNCTION("GOOGLETRANSLATE(C591,""fr"",""en"")"),"Polyester swimming pool problem, split shell, I am assured for 50,000 and no one to help me. Incompetent expert he has never seen a swimming pool and he says it frankly, I ask for a counter expertise, nothing. It is absurd of insurance that finances all a"&amp;"dvertising on television but customers are something to be desired, have taken the money.")</f>
        <v>Polyester swimming pool problem, split shell, I am assured for 50,000 and no one to help me. Incompetent expert he has never seen a swimming pool and he says it frankly, I ask for a counter expertise, nothing. It is absurd of insurance that finances all advertising on television but customers are something to be desired, have taken the money.</v>
      </c>
    </row>
    <row r="592" ht="15.75" customHeight="1">
      <c r="A592" s="2">
        <v>2.0</v>
      </c>
      <c r="B592" s="2" t="s">
        <v>1708</v>
      </c>
      <c r="C592" s="2" t="s">
        <v>1709</v>
      </c>
      <c r="D592" s="2" t="s">
        <v>117</v>
      </c>
      <c r="E592" s="2" t="s">
        <v>14</v>
      </c>
      <c r="F592" s="2" t="s">
        <v>15</v>
      </c>
      <c r="G592" s="2" t="s">
        <v>1710</v>
      </c>
      <c r="H592" s="2" t="s">
        <v>130</v>
      </c>
      <c r="I592" s="2" t="str">
        <f>IFERROR(__xludf.DUMMYFUNCTION("GOOGLETRANSLATE(C592,""fr"",""en"")"),"Two non -responsible claims. I decided to take the money according to the estimate of the expert ... First claim more than 3 months for it to be treated .... with several blows to restart them ...
For the second claim has been 3 weeks. No news")</f>
        <v>Two non -responsible claims. I decided to take the money according to the estimate of the expert ... First claim more than 3 months for it to be treated .... with several blows to restart them ...
For the second claim has been 3 weeks. No news</v>
      </c>
    </row>
    <row r="593" ht="15.75" customHeight="1">
      <c r="A593" s="2">
        <v>2.0</v>
      </c>
      <c r="B593" s="2" t="s">
        <v>1711</v>
      </c>
      <c r="C593" s="2" t="s">
        <v>1712</v>
      </c>
      <c r="D593" s="2" t="s">
        <v>496</v>
      </c>
      <c r="E593" s="2" t="s">
        <v>21</v>
      </c>
      <c r="F593" s="2" t="s">
        <v>15</v>
      </c>
      <c r="G593" s="2" t="s">
        <v>1713</v>
      </c>
      <c r="H593" s="2" t="s">
        <v>574</v>
      </c>
      <c r="I593" s="2" t="str">
        <f>IFERROR(__xludf.DUMMYFUNCTION("GOOGLETRANSLATE(C593,""fr"",""en"")"),"April is good insurance when there is no need to use it.
I have to have an operation in three weeks, and April indicates a care but without any information on the amount, does not respond to my emails and does not accuse it.
In addition, the reimbur"&amp;"sement simulator gives me a derisory estimate, while I am supposed to be reimbursed for this act at 180 % of the BR.
In the end, I pay almost 40 euros per month for a mutual that does not reimburse particularly well.
I therefore do not especially ad"&amp;"vise April, mutual that I will most likely terminate the deadline for my contract (without being able to benefit from the Châtel law ..).")</f>
        <v>April is good insurance when there is no need to use it.
I have to have an operation in three weeks, and April indicates a care but without any information on the amount, does not respond to my emails and does not accuse it.
In addition, the reimbursement simulator gives me a derisory estimate, while I am supposed to be reimbursed for this act at 180 % of the BR.
In the end, I pay almost 40 euros per month for a mutual that does not reimburse particularly well.
I therefore do not especially advise April, mutual that I will most likely terminate the deadline for my contract (without being able to benefit from the Châtel law ..).</v>
      </c>
    </row>
    <row r="594" ht="15.75" customHeight="1">
      <c r="A594" s="2">
        <v>1.0</v>
      </c>
      <c r="B594" s="2" t="s">
        <v>1714</v>
      </c>
      <c r="C594" s="2" t="s">
        <v>1715</v>
      </c>
      <c r="D594" s="2" t="s">
        <v>160</v>
      </c>
      <c r="E594" s="2" t="s">
        <v>462</v>
      </c>
      <c r="F594" s="2" t="s">
        <v>15</v>
      </c>
      <c r="G594" s="2" t="s">
        <v>1716</v>
      </c>
      <c r="H594" s="2" t="s">
        <v>138</v>
      </c>
      <c r="I594" s="2" t="str">
        <f>IFERROR(__xludf.DUMMYFUNCTION("GOOGLETRANSLATE(C594,""fr"",""en"")"),"Benefit of a collective provident contract I have my great misfortune to call on this provident AG2R
First of all in sickness in early 2018, it took 3 months from the end of the deficiency period so that AG2R treats my file and begins to adjust me the co"&amp;"mplements of nopn wages without difficulties because from June to November I had to pass Calls and send emails every 15 days so that I am paying the additional wage supplements of Prado in Marseille which manages my file not being reachable either by such"&amp;" by email the Paris customer service making systematically dam and sending me back to The AG2R website
Disability on January 1, 2019 re Belote I had to reconstitute the whole file and the new 2 months to deal with it therefore new ones in the fiancière g"&amp;"alley
In March I resume my activity in time and as the AG2R request of the my 1st pay sheet I address it via the website for the calculation of the salary did not exceed that I could not obtain before and even more one month to process the document and u"&amp;"npleasant surprise a letter with too much percuu of 922 euros to the key received on June 18
I immediately call customer service who for the 1st time in 1 year puts me in touch with Marseille or lon responds that I would be contacting within 7 days for e"&amp;"xplanations
7 days passes and I remind the customer service which simply announces me that the entire my pension is retained and that there will still be the following month therefore 900 euros in less income in early July strangely AG2R is proportionall"&amp;"y faster has eliminated income that treats and paying for its beneficiaries annuities
Since then I communicate finally with Marseille who refuses to date to keep some of my income having been used for the calculation of my annuity (Logic it makes the inc"&amp;"ome ceiling be lowered not to exceed and therefore the amount to pay by AG2R)
I therefore expect the latter to claim me back on the payment of my sick leave !!!! Well heard neither my employer nor I have never had access to the terms and conditions of th"&amp;"e AG2R provident contract referring to my employer
My employer receiving only the general information brochure available on the AG2R website
The more opaque we do not do
AG2R can thus take into account the income that sings him
Finally to drive the po"&amp;"int of the Marseille service simply reproach to have my documents pass via the AG2R La Mondiale site and not directly to them
I am at the end of the nerves I have in front of me an interlocutor who takes me from high and who thinks to be able to do what "&amp;"he wants
And this starts to affect my health
In the end you pay for it is good but do not ask to assert your rights otherwise the galley begins for you")</f>
        <v>Benefit of a collective provident contract I have my great misfortune to call on this provident AG2R
First of all in sickness in early 2018, it took 3 months from the end of the deficiency period so that AG2R treats my file and begins to adjust me the complements of nopn wages without difficulties because from June to November I had to pass Calls and send emails every 15 days so that I am paying the additional wage supplements of Prado in Marseille which manages my file not being reachable either by such by email the Paris customer service making systematically dam and sending me back to The AG2R website
Disability on January 1, 2019 re Belote I had to reconstitute the whole file and the new 2 months to deal with it therefore new ones in the fiancière galley
In March I resume my activity in time and as the AG2R request of the my 1st pay sheet I address it via the website for the calculation of the salary did not exceed that I could not obtain before and even more one month to process the document and unpleasant surprise a letter with too much percuu of 922 euros to the key received on June 18
I immediately call customer service who for the 1st time in 1 year puts me in touch with Marseille or lon responds that I would be contacting within 7 days for explanations
7 days passes and I remind the customer service which simply announces me that the entire my pension is retained and that there will still be the following month therefore 900 euros in less income in early July strangely AG2R is proportionally faster has eliminated income that treats and paying for its beneficiaries annuities
Since then I communicate finally with Marseille who refuses to date to keep some of my income having been used for the calculation of my annuity (Logic it makes the income ceiling be lowered not to exceed and therefore the amount to pay by AG2R)
I therefore expect the latter to claim me back on the payment of my sick leave !!!! Well heard neither my employer nor I have never had access to the terms and conditions of the AG2R provident contract referring to my employer
My employer receiving only the general information brochure available on the AG2R website
The more opaque we do not do
AG2R can thus take into account the income that sings him
Finally to drive the point of the Marseille service simply reproach to have my documents pass via the AG2R La Mondiale site and not directly to them
I am at the end of the nerves I have in front of me an interlocutor who takes me from high and who thinks to be able to do what he wants
And this starts to affect my health
In the end you pay for it is good but do not ask to assert your rights otherwise the galley begins for you</v>
      </c>
    </row>
    <row r="595" ht="15.75" customHeight="1">
      <c r="A595" s="2">
        <v>3.0</v>
      </c>
      <c r="B595" s="2" t="s">
        <v>1717</v>
      </c>
      <c r="C595" s="2" t="s">
        <v>1718</v>
      </c>
      <c r="D595" s="2" t="s">
        <v>256</v>
      </c>
      <c r="E595" s="2" t="s">
        <v>14</v>
      </c>
      <c r="F595" s="2" t="s">
        <v>15</v>
      </c>
      <c r="G595" s="2" t="s">
        <v>1719</v>
      </c>
      <c r="H595" s="2" t="s">
        <v>122</v>
      </c>
      <c r="I595" s="2" t="str">
        <f>IFERROR(__xludf.DUMMYFUNCTION("GOOGLETRANSLATE(C595,""fr"",""en"")"),"Document sent, no return! I called at 5.30 p.m., and 30 minutes of waiting, to tell me a closed agency !!! A shame!!!!")</f>
        <v>Document sent, no return! I called at 5.30 p.m., and 30 minutes of waiting, to tell me a closed agency !!! A shame!!!!</v>
      </c>
    </row>
    <row r="596" ht="15.75" customHeight="1">
      <c r="A596" s="2">
        <v>5.0</v>
      </c>
      <c r="B596" s="2" t="s">
        <v>1720</v>
      </c>
      <c r="C596" s="2" t="s">
        <v>1721</v>
      </c>
      <c r="D596" s="2" t="s">
        <v>1722</v>
      </c>
      <c r="E596" s="2" t="s">
        <v>462</v>
      </c>
      <c r="F596" s="2" t="s">
        <v>15</v>
      </c>
      <c r="G596" s="2" t="s">
        <v>1723</v>
      </c>
      <c r="H596" s="2" t="s">
        <v>81</v>
      </c>
      <c r="I596" s="2" t="str">
        <f>IFERROR(__xludf.DUMMYFUNCTION("GOOGLETRANSLATE(C596,""fr"",""en"")"),"I am very satisfied with the services of this company. My husband and I were able to save for our retirement by deducting this savings from our IR with good interests. When our retirement sounded, the Carac immediately poured out what we wanted. And, fina"&amp;"lly, on my husband's death, I was able to recover the balance of our savings in the fortnight that followed my request.")</f>
        <v>I am very satisfied with the services of this company. My husband and I were able to save for our retirement by deducting this savings from our IR with good interests. When our retirement sounded, the Carac immediately poured out what we wanted. And, finally, on my husband's death, I was able to recover the balance of our savings in the fortnight that followed my request.</v>
      </c>
    </row>
    <row r="597" ht="15.75" customHeight="1">
      <c r="A597" s="2">
        <v>1.0</v>
      </c>
      <c r="B597" s="2" t="s">
        <v>1724</v>
      </c>
      <c r="C597" s="2" t="s">
        <v>1725</v>
      </c>
      <c r="D597" s="2" t="s">
        <v>1370</v>
      </c>
      <c r="E597" s="2" t="s">
        <v>462</v>
      </c>
      <c r="F597" s="2" t="s">
        <v>15</v>
      </c>
      <c r="G597" s="2" t="s">
        <v>70</v>
      </c>
      <c r="H597" s="2" t="s">
        <v>71</v>
      </c>
      <c r="I597" s="2" t="str">
        <f>IFERROR(__xludf.DUMMYFUNCTION("GOOGLETRANSLATE(C597,""fr"",""en"")"),"Compensation for the maintenance of salary and the premiums that are made late, putting the person in difficulty. Despite the documents transmitted (in line with the request), daily exchanges with the advisers whose responses diverge and who claim to brin"&amp;"g my request in emergency, no payment after 3 weeks. If the Mutual-Prévoyance was recommended to me, I will not do it on my side and questions myself as to calling on another organization.")</f>
        <v>Compensation for the maintenance of salary and the premiums that are made late, putting the person in difficulty. Despite the documents transmitted (in line with the request), daily exchanges with the advisers whose responses diverge and who claim to bring my request in emergency, no payment after 3 weeks. If the Mutual-Prévoyance was recommended to me, I will not do it on my side and questions myself as to calling on another organization.</v>
      </c>
    </row>
    <row r="598" ht="15.75" customHeight="1">
      <c r="A598" s="2">
        <v>1.0</v>
      </c>
      <c r="B598" s="2" t="s">
        <v>1726</v>
      </c>
      <c r="C598" s="2" t="s">
        <v>1727</v>
      </c>
      <c r="D598" s="2" t="s">
        <v>324</v>
      </c>
      <c r="E598" s="2" t="s">
        <v>103</v>
      </c>
      <c r="F598" s="2" t="s">
        <v>15</v>
      </c>
      <c r="G598" s="2" t="s">
        <v>1728</v>
      </c>
      <c r="H598" s="2" t="s">
        <v>249</v>
      </c>
      <c r="I598" s="2" t="str">
        <f>IFERROR(__xludf.DUMMYFUNCTION("GOOGLETRANSLATE(C598,""fr"",""en"")"),"Insurance loans, I no longer want to hear about them, 1 and a half years that I have no response following a flight. Fortunately it was not a fire or natural disaster at home. level of the processing of files. No communication possible, it is the pyntagon"&amp;". To avoid")</f>
        <v>Insurance loans, I no longer want to hear about them, 1 and a half years that I have no response following a flight. Fortunately it was not a fire or natural disaster at home. level of the processing of files. No communication possible, it is the pyntagon. To avoid</v>
      </c>
    </row>
    <row r="599" ht="15.75" customHeight="1">
      <c r="A599" s="2">
        <v>1.0</v>
      </c>
      <c r="B599" s="2" t="s">
        <v>1729</v>
      </c>
      <c r="C599" s="2" t="s">
        <v>1730</v>
      </c>
      <c r="D599" s="2" t="s">
        <v>13</v>
      </c>
      <c r="E599" s="2" t="s">
        <v>14</v>
      </c>
      <c r="F599" s="2" t="s">
        <v>15</v>
      </c>
      <c r="G599" s="2" t="s">
        <v>151</v>
      </c>
      <c r="H599" s="2" t="s">
        <v>33</v>
      </c>
      <c r="I599" s="2" t="str">
        <f>IFERROR(__xludf.DUMMYFUNCTION("GOOGLETRANSLATE(C599,""fr"",""en"")"),"I am assured on Direct Insurance. I made a quote for change on new car, but when I materialized the change of insurance (only possible by phone), the price went from 52 to 68 per month. Telephone communication has cut 4 times. The operators gave me differ"&amp;"ent explanations, it is the bonus which is badly calculated and impacted, the quotes are valid 120 days, and it can increase by 50 % (I am lucky! 25 %), if I had kept the old formula, the quote dropped by € 1 (what a pity that I was forced to change car s"&amp;"ince I sold the old one), in short, that Baratin Marketing (I work in marketing, I know) to pass the bitter pill that does not pass.")</f>
        <v>I am assured on Direct Insurance. I made a quote for change on new car, but when I materialized the change of insurance (only possible by phone), the price went from 52 to 68 per month. Telephone communication has cut 4 times. The operators gave me different explanations, it is the bonus which is badly calculated and impacted, the quotes are valid 120 days, and it can increase by 50 % (I am lucky! 25 %), if I had kept the old formula, the quote dropped by € 1 (what a pity that I was forced to change car since I sold the old one), in short, that Baratin Marketing (I work in marketing, I know) to pass the bitter pill that does not pass.</v>
      </c>
    </row>
    <row r="600" ht="15.75" customHeight="1">
      <c r="A600" s="2">
        <v>3.0</v>
      </c>
      <c r="B600" s="2" t="s">
        <v>1731</v>
      </c>
      <c r="C600" s="2" t="s">
        <v>1732</v>
      </c>
      <c r="D600" s="2" t="s">
        <v>1370</v>
      </c>
      <c r="E600" s="2" t="s">
        <v>462</v>
      </c>
      <c r="F600" s="2" t="s">
        <v>15</v>
      </c>
      <c r="G600" s="2" t="s">
        <v>1733</v>
      </c>
      <c r="H600" s="2" t="s">
        <v>1154</v>
      </c>
      <c r="I600" s="2" t="str">
        <f>IFERROR(__xludf.DUMMYFUNCTION("GOOGLETRANSLATE(C600,""fr"",""en"")"),"Hello, I've been waiting for my disability file for 5 months to be validated. I call regularly to know the evolution of my file and I am given different versions. Last week it was validated and waiting for payment and that day I am told that it is absolut"&amp;"ely not validated and that an expertise may be in progress? I am at the end of the end, both financially and morally ...")</f>
        <v>Hello, I've been waiting for my disability file for 5 months to be validated. I call regularly to know the evolution of my file and I am given different versions. Last week it was validated and waiting for payment and that day I am told that it is absolutely not validated and that an expertise may be in progress? I am at the end of the end, both financially and morally ...</v>
      </c>
    </row>
    <row r="601" ht="15.75" customHeight="1">
      <c r="A601" s="2">
        <v>3.0</v>
      </c>
      <c r="B601" s="2" t="s">
        <v>1734</v>
      </c>
      <c r="C601" s="2" t="s">
        <v>1735</v>
      </c>
      <c r="D601" s="2" t="s">
        <v>182</v>
      </c>
      <c r="E601" s="2" t="s">
        <v>103</v>
      </c>
      <c r="F601" s="2" t="s">
        <v>15</v>
      </c>
      <c r="G601" s="2" t="s">
        <v>1736</v>
      </c>
      <c r="H601" s="2" t="s">
        <v>677</v>
      </c>
      <c r="I601" s="2" t="str">
        <f>IFERROR(__xludf.DUMMYFUNCTION("GOOGLETRANSLATE(C601,""fr"",""en"")"),"a shame")</f>
        <v>a shame</v>
      </c>
    </row>
    <row r="602" ht="15.75" customHeight="1">
      <c r="A602" s="2">
        <v>3.0</v>
      </c>
      <c r="B602" s="2" t="s">
        <v>1737</v>
      </c>
      <c r="C602" s="2" t="s">
        <v>1738</v>
      </c>
      <c r="D602" s="2" t="s">
        <v>31</v>
      </c>
      <c r="E602" s="2" t="s">
        <v>14</v>
      </c>
      <c r="F602" s="2" t="s">
        <v>15</v>
      </c>
      <c r="G602" s="2" t="s">
        <v>1739</v>
      </c>
      <c r="H602" s="2" t="s">
        <v>609</v>
      </c>
      <c r="I602" s="2" t="str">
        <f>IFERROR(__xludf.DUMMYFUNCTION("GOOGLETRANSLATE(C602,""fr"",""en"")"),"Insurance made of very good price
I did not have the opportunity to test for claims
By cons Lille 0 customer service, they hang up on you when they don't understand ...
We ask them for the amount of civil liability paid in the year, this is impossible "&amp;"...
All insurance do so except the lolivier
So we will not have lost +500 €
We are going to change your insurance, a customer service that hangs up on you after 15 minutes of waiting, it is still cullyed")</f>
        <v>Insurance made of very good price
I did not have the opportunity to test for claims
By cons Lille 0 customer service, they hang up on you when they don't understand ...
We ask them for the amount of civil liability paid in the year, this is impossible ...
All insurance do so except the lolivier
So we will not have lost +500 €
We are going to change your insurance, a customer service that hangs up on you after 15 minutes of waiting, it is still cullyed</v>
      </c>
    </row>
    <row r="603" ht="15.75" customHeight="1">
      <c r="A603" s="2">
        <v>1.0</v>
      </c>
      <c r="B603" s="2" t="s">
        <v>1740</v>
      </c>
      <c r="C603" s="2" t="s">
        <v>1741</v>
      </c>
      <c r="D603" s="2" t="s">
        <v>160</v>
      </c>
      <c r="E603" s="2" t="s">
        <v>21</v>
      </c>
      <c r="F603" s="2" t="s">
        <v>15</v>
      </c>
      <c r="G603" s="2" t="s">
        <v>1742</v>
      </c>
      <c r="H603" s="2" t="s">
        <v>609</v>
      </c>
      <c r="I603" s="2" t="str">
        <f>IFERROR(__xludf.DUMMYFUNCTION("GOOGLETRANSLATE(C603,""fr"",""en"")"),"Insured through my employer to this mutual, I am very disappointed. Their website does not work, impossible to write or follow a document. If no CHGT, I will ask the boss to change the creamery !!")</f>
        <v>Insured through my employer to this mutual, I am very disappointed. Their website does not work, impossible to write or follow a document. If no CHGT, I will ask the boss to change the creamery !!</v>
      </c>
    </row>
    <row r="604" ht="15.75" customHeight="1">
      <c r="A604" s="2">
        <v>1.0</v>
      </c>
      <c r="B604" s="2" t="s">
        <v>1743</v>
      </c>
      <c r="C604" s="2" t="s">
        <v>1744</v>
      </c>
      <c r="D604" s="2" t="s">
        <v>13</v>
      </c>
      <c r="E604" s="2" t="s">
        <v>14</v>
      </c>
      <c r="F604" s="2" t="s">
        <v>15</v>
      </c>
      <c r="G604" s="2" t="s">
        <v>1745</v>
      </c>
      <c r="H604" s="2" t="s">
        <v>532</v>
      </c>
      <c r="I604" s="2" t="str">
        <f>IFERROR(__xludf.DUMMYFUNCTION("GOOGLETRANSLATE(C604,""fr"",""en"")"),"BJR Friday 30/11/2019 I declare a sinister of an ice cream despite the fact that I have the option break from ice nothing he does not want to take care of fleeing")</f>
        <v>BJR Friday 30/11/2019 I declare a sinister of an ice cream despite the fact that I have the option break from ice nothing he does not want to take care of fleeing</v>
      </c>
    </row>
    <row r="605" ht="15.75" customHeight="1">
      <c r="A605" s="2">
        <v>4.0</v>
      </c>
      <c r="B605" s="2" t="s">
        <v>1746</v>
      </c>
      <c r="C605" s="2" t="s">
        <v>1747</v>
      </c>
      <c r="D605" s="2" t="s">
        <v>240</v>
      </c>
      <c r="E605" s="2" t="s">
        <v>241</v>
      </c>
      <c r="F605" s="2" t="s">
        <v>15</v>
      </c>
      <c r="G605" s="2" t="s">
        <v>17</v>
      </c>
      <c r="H605" s="2" t="s">
        <v>17</v>
      </c>
      <c r="I605" s="2" t="str">
        <f>IFERROR(__xludf.DUMMYFUNCTION("GOOGLETRANSLATE(C605,""fr"",""en"")"),"I am satisfied with the service and my interlocutor who followed my file and who answered my questions and of course the price which is competitive.")</f>
        <v>I am satisfied with the service and my interlocutor who followed my file and who answered my questions and of course the price which is competitive.</v>
      </c>
    </row>
    <row r="606" ht="15.75" customHeight="1">
      <c r="A606" s="2">
        <v>2.0</v>
      </c>
      <c r="B606" s="2" t="s">
        <v>1748</v>
      </c>
      <c r="C606" s="2" t="s">
        <v>1749</v>
      </c>
      <c r="D606" s="2" t="s">
        <v>361</v>
      </c>
      <c r="E606" s="2" t="s">
        <v>21</v>
      </c>
      <c r="F606" s="2" t="s">
        <v>15</v>
      </c>
      <c r="G606" s="2" t="s">
        <v>548</v>
      </c>
      <c r="H606" s="2" t="s">
        <v>549</v>
      </c>
      <c r="I606" s="2" t="str">
        <f>IFERROR(__xludf.DUMMYFUNCTION("GOOGLETRANSLATE(C606,""fr"",""en"")"),"Very long deadlines for taking into account an inscription: after 3 weeks I still do not have my identifiers")</f>
        <v>Very long deadlines for taking into account an inscription: after 3 weeks I still do not have my identifiers</v>
      </c>
    </row>
    <row r="607" ht="15.75" customHeight="1">
      <c r="A607" s="2">
        <v>5.0</v>
      </c>
      <c r="B607" s="2" t="s">
        <v>1750</v>
      </c>
      <c r="C607" s="2" t="s">
        <v>1751</v>
      </c>
      <c r="D607" s="2" t="s">
        <v>31</v>
      </c>
      <c r="E607" s="2" t="s">
        <v>14</v>
      </c>
      <c r="F607" s="2" t="s">
        <v>15</v>
      </c>
      <c r="G607" s="2" t="s">
        <v>1752</v>
      </c>
      <c r="H607" s="2" t="s">
        <v>54</v>
      </c>
      <c r="I607" s="2" t="str">
        <f>IFERROR(__xludf.DUMMYFUNCTION("GOOGLETRANSLATE(C607,""fr"",""en"")"),"I am very satisfied with the offer offer by the olive assurance, it is very simple and practical to subscribe to insurance with good care thank you")</f>
        <v>I am very satisfied with the offer offer by the olive assurance, it is very simple and practical to subscribe to insurance with good care thank you</v>
      </c>
    </row>
    <row r="608" ht="15.75" customHeight="1">
      <c r="A608" s="2">
        <v>4.0</v>
      </c>
      <c r="B608" s="2" t="s">
        <v>1753</v>
      </c>
      <c r="C608" s="2" t="s">
        <v>1754</v>
      </c>
      <c r="D608" s="2" t="s">
        <v>13</v>
      </c>
      <c r="E608" s="2" t="s">
        <v>14</v>
      </c>
      <c r="F608" s="2" t="s">
        <v>15</v>
      </c>
      <c r="G608" s="2" t="s">
        <v>1267</v>
      </c>
      <c r="H608" s="2" t="s">
        <v>60</v>
      </c>
      <c r="I608" s="2" t="str">
        <f>IFERROR(__xludf.DUMMYFUNCTION("GOOGLETRANSLATE(C608,""fr"",""en"")"),"I am satisfied with my subscription. It was simple and quick. The price is rather affordable. To see, now, customer service if necessary.")</f>
        <v>I am satisfied with my subscription. It was simple and quick. The price is rather affordable. To see, now, customer service if necessary.</v>
      </c>
    </row>
    <row r="609" ht="15.75" customHeight="1">
      <c r="A609" s="2">
        <v>1.0</v>
      </c>
      <c r="B609" s="2" t="s">
        <v>1755</v>
      </c>
      <c r="C609" s="2" t="s">
        <v>1756</v>
      </c>
      <c r="D609" s="2" t="s">
        <v>136</v>
      </c>
      <c r="E609" s="2" t="s">
        <v>14</v>
      </c>
      <c r="F609" s="2" t="s">
        <v>15</v>
      </c>
      <c r="G609" s="2" t="s">
        <v>1323</v>
      </c>
      <c r="H609" s="2" t="s">
        <v>170</v>
      </c>
      <c r="I609" s="2" t="str">
        <f>IFERROR(__xludf.DUMMYFUNCTION("GOOGLETRANSLATE(C609,""fr"",""en"")"),"Bad from bad
They made me a contract for a Camping Car cell and after 8 months (following a call from my port) I realized that I was not insured. (While I paid and the contract was signed ))
Since impossible to resolve the dispute: 20 emails 30 phone st"&amp;"rokes")</f>
        <v>Bad from bad
They made me a contract for a Camping Car cell and after 8 months (following a call from my port) I realized that I was not insured. (While I paid and the contract was signed ))
Since impossible to resolve the dispute: 20 emails 30 phone strokes</v>
      </c>
    </row>
    <row r="610" ht="15.75" customHeight="1">
      <c r="A610" s="2">
        <v>4.0</v>
      </c>
      <c r="B610" s="2" t="s">
        <v>1757</v>
      </c>
      <c r="C610" s="2" t="s">
        <v>1758</v>
      </c>
      <c r="D610" s="2" t="s">
        <v>13</v>
      </c>
      <c r="E610" s="2" t="s">
        <v>14</v>
      </c>
      <c r="F610" s="2" t="s">
        <v>15</v>
      </c>
      <c r="G610" s="2" t="s">
        <v>379</v>
      </c>
      <c r="H610" s="2" t="s">
        <v>76</v>
      </c>
      <c r="I610" s="2" t="str">
        <f>IFERROR(__xludf.DUMMYFUNCTION("GOOGLETRANSLATE(C610,""fr"",""en"")"),"Quick quote in 5 minutes as well as subscription.
Rather interesting price.
delighted with the service for the moment
(Hoping that there is no surprise after)")</f>
        <v>Quick quote in 5 minutes as well as subscription.
Rather interesting price.
delighted with the service for the moment
(Hoping that there is no surprise after)</v>
      </c>
    </row>
    <row r="611" ht="15.75" customHeight="1">
      <c r="A611" s="2">
        <v>1.0</v>
      </c>
      <c r="B611" s="2" t="s">
        <v>1759</v>
      </c>
      <c r="C611" s="2" t="s">
        <v>1760</v>
      </c>
      <c r="D611" s="2" t="s">
        <v>160</v>
      </c>
      <c r="E611" s="2" t="s">
        <v>21</v>
      </c>
      <c r="F611" s="2" t="s">
        <v>15</v>
      </c>
      <c r="G611" s="2" t="s">
        <v>1761</v>
      </c>
      <c r="H611" s="2" t="s">
        <v>369</v>
      </c>
      <c r="I611" s="2" t="str">
        <f>IFERROR(__xludf.DUMMYFUNCTION("GOOGLETRANSLATE(C611,""fr"",""en"")"),"A shameful mutual! The share of reimbursement of blood analyzes carried out in June 2017 still not done and an ineffective customer service! After several calls to their customer service and always contradictory responses from their operators to pass the "&amp;"months and not pay! Letters with the original documents sent never received according to them, so again of lost time and now I am asked for the statement of social security when they know very well that the counts are available only 6 months on the accoun"&amp;"t AMELI of the member. Everything would have been settled in time if they were pro, which is very far from being the case ... And of course despite all the mistakes on their side, they can do nothing! They don't want to do anything yes! It is a real shame"&amp;"ful, I have known several of the mutuals and they are all satisfactory, there with Viasanté, it is just unheard of ... I asked to be contacted by a mediator, let's see ... See you in 2020")</f>
        <v>A shameful mutual! The share of reimbursement of blood analyzes carried out in June 2017 still not done and an ineffective customer service! After several calls to their customer service and always contradictory responses from their operators to pass the months and not pay! Letters with the original documents sent never received according to them, so again of lost time and now I am asked for the statement of social security when they know very well that the counts are available only 6 months on the account AMELI of the member. Everything would have been settled in time if they were pro, which is very far from being the case ... And of course despite all the mistakes on their side, they can do nothing! They don't want to do anything yes! It is a real shameful, I have known several of the mutuals and they are all satisfactory, there with Viasanté, it is just unheard of ... I asked to be contacted by a mediator, let's see ... See you in 2020</v>
      </c>
    </row>
    <row r="612" ht="15.75" customHeight="1">
      <c r="A612" s="2">
        <v>3.0</v>
      </c>
      <c r="B612" s="2" t="s">
        <v>1762</v>
      </c>
      <c r="C612" s="2" t="s">
        <v>1763</v>
      </c>
      <c r="D612" s="2" t="s">
        <v>74</v>
      </c>
      <c r="E612" s="2" t="s">
        <v>58</v>
      </c>
      <c r="F612" s="2" t="s">
        <v>15</v>
      </c>
      <c r="G612" s="2" t="s">
        <v>1697</v>
      </c>
      <c r="H612" s="2" t="s">
        <v>33</v>
      </c>
      <c r="I612" s="2" t="str">
        <f>IFERROR(__xludf.DUMMYFUNCTION("GOOGLETRANSLATE(C612,""fr"",""en"")"),"A little high price in my case, I did not manage to reach a advice by phone in 2 days, it's a shame
If you can contact me to discuss it.
Thank you")</f>
        <v>A little high price in my case, I did not manage to reach a advice by phone in 2 days, it's a shame
If you can contact me to discuss it.
Thank you</v>
      </c>
    </row>
    <row r="613" ht="15.75" customHeight="1">
      <c r="A613" s="2">
        <v>1.0</v>
      </c>
      <c r="B613" s="2" t="s">
        <v>1764</v>
      </c>
      <c r="C613" s="2" t="s">
        <v>1765</v>
      </c>
      <c r="D613" s="2" t="s">
        <v>168</v>
      </c>
      <c r="E613" s="2" t="s">
        <v>14</v>
      </c>
      <c r="F613" s="2" t="s">
        <v>15</v>
      </c>
      <c r="G613" s="2" t="s">
        <v>1766</v>
      </c>
      <c r="H613" s="2" t="s">
        <v>1572</v>
      </c>
      <c r="I613" s="2" t="str">
        <f>IFERROR(__xludf.DUMMYFUNCTION("GOOGLETRANSLATE(C613,""fr"",""en"")"),"I have just received the schedule for the year 2018, and there, unpleasant surprise, sudden increase in prices, and without warning of course.
I have been a customer for several years, I have never had the slightest hanging so I have never cost them mo"&amp;"ney, bonus at 49%, this increase is not justified in any way, especially since the prices of the maaf are very basic high. I sent an email to testify to my dissatisfaction, which remained unanswered.
Increasing suddenly and without preventing the insur"&amp;"ance of a customer who has never had the slightest accident, it is clearly to make fun of the world. I have no other choice than to turn to the competition, I will have no trouble finding cheaper elsewhere.")</f>
        <v>I have just received the schedule for the year 2018, and there, unpleasant surprise, sudden increase in prices, and without warning of course.
I have been a customer for several years, I have never had the slightest hanging so I have never cost them money, bonus at 49%, this increase is not justified in any way, especially since the prices of the maaf are very basic high. I sent an email to testify to my dissatisfaction, which remained unanswered.
Increasing suddenly and without preventing the insurance of a customer who has never had the slightest accident, it is clearly to make fun of the world. I have no other choice than to turn to the competition, I will have no trouble finding cheaper elsewhere.</v>
      </c>
    </row>
    <row r="614" ht="15.75" customHeight="1">
      <c r="A614" s="2">
        <v>4.0</v>
      </c>
      <c r="B614" s="2" t="s">
        <v>1767</v>
      </c>
      <c r="C614" s="2" t="s">
        <v>1768</v>
      </c>
      <c r="D614" s="2" t="s">
        <v>31</v>
      </c>
      <c r="E614" s="2" t="s">
        <v>14</v>
      </c>
      <c r="F614" s="2" t="s">
        <v>15</v>
      </c>
      <c r="G614" s="2" t="s">
        <v>535</v>
      </c>
      <c r="H614" s="2" t="s">
        <v>107</v>
      </c>
      <c r="I614" s="2" t="str">
        <f>IFERROR(__xludf.DUMMYFUNCTION("GOOGLETRANSLATE(C614,""fr"",""en"")"),"Satisfied the site is quite easy and the document readable good presentation service all simply lacks human contact damage cordially to recommend")</f>
        <v>Satisfied the site is quite easy and the document readable good presentation service all simply lacks human contact damage cordially to recommend</v>
      </c>
    </row>
    <row r="615" ht="15.75" customHeight="1">
      <c r="A615" s="2">
        <v>3.0</v>
      </c>
      <c r="B615" s="2" t="s">
        <v>1769</v>
      </c>
      <c r="C615" s="2" t="s">
        <v>1770</v>
      </c>
      <c r="D615" s="2" t="s">
        <v>13</v>
      </c>
      <c r="E615" s="2" t="s">
        <v>14</v>
      </c>
      <c r="F615" s="2" t="s">
        <v>15</v>
      </c>
      <c r="G615" s="2" t="s">
        <v>1771</v>
      </c>
      <c r="H615" s="2" t="s">
        <v>17</v>
      </c>
      <c r="I615" s="2" t="str">
        <f>IFERROR(__xludf.DUMMYFUNCTION("GOOGLETRANSLATE(C615,""fr"",""en"")"),"For a 10 -year -old car in inexpensive and excessive deductible for loyal customers a commercial gesture would be appreciable to see comparison for the future")</f>
        <v>For a 10 -year -old car in inexpensive and excessive deductible for loyal customers a commercial gesture would be appreciable to see comparison for the future</v>
      </c>
    </row>
    <row r="616" ht="15.75" customHeight="1">
      <c r="A616" s="2">
        <v>5.0</v>
      </c>
      <c r="B616" s="2" t="s">
        <v>1772</v>
      </c>
      <c r="C616" s="2" t="s">
        <v>1773</v>
      </c>
      <c r="D616" s="2" t="s">
        <v>13</v>
      </c>
      <c r="E616" s="2" t="s">
        <v>14</v>
      </c>
      <c r="F616" s="2" t="s">
        <v>15</v>
      </c>
      <c r="G616" s="2" t="s">
        <v>1027</v>
      </c>
      <c r="H616" s="2" t="s">
        <v>50</v>
      </c>
      <c r="I616" s="2" t="str">
        <f>IFERROR(__xludf.DUMMYFUNCTION("GOOGLETRANSLATE(C616,""fr"",""en"")"),"Satisfied with the site and the price of insurance. The path to the realization of the quote is rather clear. There is a lack of the sending of the docment directly to the email address")</f>
        <v>Satisfied with the site and the price of insurance. The path to the realization of the quote is rather clear. There is a lack of the sending of the docment directly to the email address</v>
      </c>
    </row>
    <row r="617" ht="15.75" customHeight="1">
      <c r="A617" s="2">
        <v>4.0</v>
      </c>
      <c r="B617" s="2" t="s">
        <v>1774</v>
      </c>
      <c r="C617" s="2" t="s">
        <v>1775</v>
      </c>
      <c r="D617" s="2" t="s">
        <v>117</v>
      </c>
      <c r="E617" s="2" t="s">
        <v>14</v>
      </c>
      <c r="F617" s="2" t="s">
        <v>15</v>
      </c>
      <c r="G617" s="2" t="s">
        <v>176</v>
      </c>
      <c r="H617" s="2" t="s">
        <v>50</v>
      </c>
      <c r="I617" s="2" t="str">
        <f>IFERROR(__xludf.DUMMYFUNCTION("GOOGLETRANSLATE(C617,""fr"",""en"")"),"Insured for 40 years at GMF, I have always been satisfied with taking into account and monitoring files; The prices are reasonable, the insured space of the practical and friendly site.")</f>
        <v>Insured for 40 years at GMF, I have always been satisfied with taking into account and monitoring files; The prices are reasonable, the insured space of the practical and friendly site.</v>
      </c>
    </row>
    <row r="618" ht="15.75" customHeight="1">
      <c r="A618" s="2">
        <v>1.0</v>
      </c>
      <c r="B618" s="2" t="s">
        <v>1776</v>
      </c>
      <c r="C618" s="2" t="s">
        <v>1777</v>
      </c>
      <c r="D618" s="2" t="s">
        <v>806</v>
      </c>
      <c r="E618" s="2" t="s">
        <v>241</v>
      </c>
      <c r="F618" s="2" t="s">
        <v>15</v>
      </c>
      <c r="G618" s="2" t="s">
        <v>1778</v>
      </c>
      <c r="H618" s="2" t="s">
        <v>28</v>
      </c>
      <c r="I618" s="2" t="str">
        <f>IFERROR(__xludf.DUMMYFUNCTION("GOOGLETRANSLATE(C618,""fr"",""en"")"),"Exhausted by the multiple requests, the file is still not processed ... They still add and always certificates to be provided because I quote ""a work stoppage is not admissible"" nor a medical decision to put on long -term sick leave. I wonder if they re"&amp;"alize that they exchange with people in long illness, people who are moreover in financial difficulty and that it is not a choice on our part. It borders on moral harassment.")</f>
        <v>Exhausted by the multiple requests, the file is still not processed ... They still add and always certificates to be provided because I quote "a work stoppage is not admissible" nor a medical decision to put on long -term sick leave. I wonder if they realize that they exchange with people in long illness, people who are moreover in financial difficulty and that it is not a choice on our part. It borders on moral harassment.</v>
      </c>
    </row>
    <row r="619" ht="15.75" customHeight="1">
      <c r="A619" s="2">
        <v>1.0</v>
      </c>
      <c r="B619" s="2" t="s">
        <v>1779</v>
      </c>
      <c r="C619" s="2" t="s">
        <v>1780</v>
      </c>
      <c r="D619" s="2" t="s">
        <v>13</v>
      </c>
      <c r="E619" s="2" t="s">
        <v>14</v>
      </c>
      <c r="F619" s="2" t="s">
        <v>15</v>
      </c>
      <c r="G619" s="2" t="s">
        <v>1781</v>
      </c>
      <c r="H619" s="2" t="s">
        <v>306</v>
      </c>
      <c r="I619" s="2" t="str">
        <f>IFERROR(__xludf.DUMMYFUNCTION("GOOGLETRANSLATE(C619,""fr"",""en"")"),"I am very angry with direct insurance although the facts go back to 2014. My husband had parked his car with us and to access this place there is a small rib to climb. He did not put the 1st as well as the handbrake and after a while what was to happen ha"&amp;"ppened the car went down our aluminum gate as well as our gate to finish its race on the neighbor's wall. Fortunately no victim. I call direct insurance to inform them of the fact that the car is damaged, the portal and gate are broken and the wall of the"&amp;" neighbor damaged. Leuir answer is as follows: no problem we will take everything at our expense, it must be said that the car was insured at home in all risks. The next day in front of my husband I remind you and another person says the same thing as car"&amp;" gate and wall car will be taken care of by insurance. I am quickly contacted for the car, the neighbor's wall and I ask the question for the portal and what was their answer. What portal no no that does not concern us. Ultimately they did nothing for our"&amp;" portal and gate knowing I remind you that the car was in all risks. Fortunately the matmut with whom we have been insured for a long time for our house, and which I had warned at the time of the facts, covered the costs for the portal and gate. It's a sh"&amp;"ame, it's scandalous I made a letter by asking for telephone listening since we are often recorded. No news was a simple mail without recommended.
For those who are looking for a few savings go your way, in the end it will cost you more the day when you "&amp;"will have a problem. I terminated the contract on the birthday and since I flee them like the plague.")</f>
        <v>I am very angry with direct insurance although the facts go back to 2014. My husband had parked his car with us and to access this place there is a small rib to climb. He did not put the 1st as well as the handbrake and after a while what was to happen happened the car went down our aluminum gate as well as our gate to finish its race on the neighbor's wall. Fortunately no victim. I call direct insurance to inform them of the fact that the car is damaged, the portal and gate are broken and the wall of the neighbor damaged. Leuir answer is as follows: no problem we will take everything at our expense, it must be said that the car was insured at home in all risks. The next day in front of my husband I remind you and another person says the same thing as car gate and wall car will be taken care of by insurance. I am quickly contacted for the car, the neighbor's wall and I ask the question for the portal and what was their answer. What portal no no that does not concern us. Ultimately they did nothing for our portal and gate knowing I remind you that the car was in all risks. Fortunately the matmut with whom we have been insured for a long time for our house, and which I had warned at the time of the facts, covered the costs for the portal and gate. It's a shame, it's scandalous I made a letter by asking for telephone listening since we are often recorded. No news was a simple mail without recommended.
For those who are looking for a few savings go your way, in the end it will cost you more the day when you will have a problem. I terminated the contract on the birthday and since I flee them like the plague.</v>
      </c>
    </row>
    <row r="620" ht="15.75" customHeight="1">
      <c r="A620" s="2">
        <v>3.0</v>
      </c>
      <c r="B620" s="2" t="s">
        <v>1782</v>
      </c>
      <c r="C620" s="2" t="s">
        <v>1783</v>
      </c>
      <c r="D620" s="2" t="s">
        <v>31</v>
      </c>
      <c r="E620" s="2" t="s">
        <v>14</v>
      </c>
      <c r="F620" s="2" t="s">
        <v>15</v>
      </c>
      <c r="G620" s="2" t="s">
        <v>1377</v>
      </c>
      <c r="H620" s="2" t="s">
        <v>39</v>
      </c>
      <c r="I620" s="2" t="str">
        <f>IFERROR(__xludf.DUMMYFUNCTION("GOOGLETRANSLATE(C620,""fr"",""en"")"),"Disappointing for the 15 euros for an amendment on contract (especially for change of address).
On the other hand, satisfied with customer service by phone, good explanations of the contract.")</f>
        <v>Disappointing for the 15 euros for an amendment on contract (especially for change of address).
On the other hand, satisfied with customer service by phone, good explanations of the contract.</v>
      </c>
    </row>
    <row r="621" ht="15.75" customHeight="1">
      <c r="A621" s="2">
        <v>5.0</v>
      </c>
      <c r="B621" s="2" t="s">
        <v>1784</v>
      </c>
      <c r="C621" s="2" t="s">
        <v>1785</v>
      </c>
      <c r="D621" s="2" t="s">
        <v>31</v>
      </c>
      <c r="E621" s="2" t="s">
        <v>14</v>
      </c>
      <c r="F621" s="2" t="s">
        <v>15</v>
      </c>
      <c r="G621" s="2" t="s">
        <v>420</v>
      </c>
      <c r="H621" s="2" t="s">
        <v>76</v>
      </c>
      <c r="I621" s="2" t="str">
        <f>IFERROR(__xludf.DUMMYFUNCTION("GOOGLETRANSLATE(C621,""fr"",""en"")"),"Thank you very much to Christian who was my first contact with you because he was very clear and knew how to advise me well and followed the file well by reminding me as agreed. Très pro and patient.")</f>
        <v>Thank you very much to Christian who was my first contact with you because he was very clear and knew how to advise me well and followed the file well by reminding me as agreed. Très pro and patient.</v>
      </c>
    </row>
    <row r="622" ht="15.75" customHeight="1">
      <c r="A622" s="2">
        <v>1.0</v>
      </c>
      <c r="B622" s="2" t="s">
        <v>1786</v>
      </c>
      <c r="C622" s="2" t="s">
        <v>1787</v>
      </c>
      <c r="D622" s="2" t="s">
        <v>1052</v>
      </c>
      <c r="E622" s="2" t="s">
        <v>462</v>
      </c>
      <c r="F622" s="2" t="s">
        <v>15</v>
      </c>
      <c r="G622" s="2" t="s">
        <v>1719</v>
      </c>
      <c r="H622" s="2" t="s">
        <v>122</v>
      </c>
      <c r="I622" s="2" t="str">
        <f>IFERROR(__xludf.DUMMYFUNCTION("GOOGLETRANSLATE(C622,""fr"",""en"")"),"I come to testify to the lack of education of an employee of Swisslife who is named Emilie who says she is working in a Toulouse agency who takes RV with a professional who makes her lose an hour on her working time, go to lunch with his colleague Who acc"&amp;"ompanied her by saying that they would come back after their lunch, that she will send the quotes the next day. Not only did she not come back to say ""goodbye"" and fifteen days have passed and no quote has arrived on my mailbox!
This person has never l"&amp;"eft me a business card I only have his phone number.
This person if they actually work for your society will give you a very bad publicity. This is what I do anyway with my personal and professional entourage. I have since signed a health provident contr"&amp;"act with one of your assignments.
")</f>
        <v>I come to testify to the lack of education of an employee of Swisslife who is named Emilie who says she is working in a Toulouse agency who takes RV with a professional who makes her lose an hour on her working time, go to lunch with his colleague Who accompanied her by saying that they would come back after their lunch, that she will send the quotes the next day. Not only did she not come back to say "goodbye" and fifteen days have passed and no quote has arrived on my mailbox!
This person has never left me a business card I only have his phone number.
This person if they actually work for your society will give you a very bad publicity. This is what I do anyway with my personal and professional entourage. I have since signed a health provident contract with one of your assignments.
</v>
      </c>
    </row>
    <row r="623" ht="15.75" customHeight="1">
      <c r="A623" s="2">
        <v>1.0</v>
      </c>
      <c r="B623" s="2" t="s">
        <v>1788</v>
      </c>
      <c r="C623" s="2" t="s">
        <v>1789</v>
      </c>
      <c r="D623" s="2" t="s">
        <v>31</v>
      </c>
      <c r="E623" s="2" t="s">
        <v>14</v>
      </c>
      <c r="F623" s="2" t="s">
        <v>15</v>
      </c>
      <c r="G623" s="2" t="s">
        <v>1790</v>
      </c>
      <c r="H623" s="2" t="s">
        <v>666</v>
      </c>
      <c r="I623" s="2" t="str">
        <f>IFERROR(__xludf.DUMMYFUNCTION("GOOGLETRANSLATE(C623,""fr"",""en"")"),"I do not recommend this insurance at all, I called to have my car assured, but after reflection made I decided not to accept this insurance, that is why I did not send the papers that They ask, those which mean that normally I am not assured. The problem "&amp;"was that since February 2017 I have I have samples that have been done every month knowing that I have signed anything from the Olivier Assurance Auto. In total, to date I have paid more than € 871 for a car that is not even assured at home.
I've been tr"&amp;"ying to ""stop"" this contract for 7 months now that I have never signed because I pay for nothing.
Really I advise it to anyone, there are insurance ten times better at all levels.
PS: I could write what on my letter of ""termination"" please")</f>
        <v>I do not recommend this insurance at all, I called to have my car assured, but after reflection made I decided not to accept this insurance, that is why I did not send the papers that They ask, those which mean that normally I am not assured. The problem was that since February 2017 I have I have samples that have been done every month knowing that I have signed anything from the Olivier Assurance Auto. In total, to date I have paid more than € 871 for a car that is not even assured at home.
I've been trying to "stop" this contract for 7 months now that I have never signed because I pay for nothing.
Really I advise it to anyone, there are insurance ten times better at all levels.
PS: I could write what on my letter of "termination" please</v>
      </c>
    </row>
    <row r="624" ht="15.75" customHeight="1">
      <c r="A624" s="2">
        <v>1.0</v>
      </c>
      <c r="B624" s="2" t="s">
        <v>1791</v>
      </c>
      <c r="C624" s="2" t="s">
        <v>1792</v>
      </c>
      <c r="D624" s="2" t="s">
        <v>102</v>
      </c>
      <c r="E624" s="2" t="s">
        <v>103</v>
      </c>
      <c r="F624" s="2" t="s">
        <v>15</v>
      </c>
      <c r="G624" s="2" t="s">
        <v>1793</v>
      </c>
      <c r="H624" s="2" t="s">
        <v>207</v>
      </c>
      <c r="I624" s="2" t="str">
        <f>IFERROR(__xludf.DUMMYFUNCTION("GOOGLETRANSLATE(C624,""fr"",""en"")"),"TO FLEE ! I unfortunately deteriorated the airbag vest of a friend by approaching it too ready for the exhaust but but the maif estimated that as I ""held"" the object in my hand, my civil liability would not be taken care of ! For a 400 balls, thank you!"&amp;" It is one of their clauses that play on words in order to reimburse as little as possible! At the same time it is difficult to deteriorate or damage something without ""getting it""! Fortunately I did not have a water damage, they would have replied that"&amp;" I ""detained"" the tap that broke !!!")</f>
        <v>TO FLEE ! I unfortunately deteriorated the airbag vest of a friend by approaching it too ready for the exhaust but but the maif estimated that as I "held" the object in my hand, my civil liability would not be taken care of ! For a 400 balls, thank you! It is one of their clauses that play on words in order to reimburse as little as possible! At the same time it is difficult to deteriorate or damage something without "getting it"! Fortunately I did not have a water damage, they would have replied that I "detained" the tap that broke !!!</v>
      </c>
    </row>
    <row r="625" ht="15.75" customHeight="1">
      <c r="A625" s="2">
        <v>2.0</v>
      </c>
      <c r="B625" s="2" t="s">
        <v>1794</v>
      </c>
      <c r="C625" s="2" t="s">
        <v>1795</v>
      </c>
      <c r="D625" s="2" t="s">
        <v>13</v>
      </c>
      <c r="E625" s="2" t="s">
        <v>14</v>
      </c>
      <c r="F625" s="2" t="s">
        <v>15</v>
      </c>
      <c r="G625" s="2" t="s">
        <v>50</v>
      </c>
      <c r="H625" s="2" t="s">
        <v>50</v>
      </c>
      <c r="I625" s="2" t="str">
        <f>IFERROR(__xludf.DUMMYFUNCTION("GOOGLETRANSLATE(C625,""fr"",""en"")"),"I am a direct insurance customer and via the application The price was not the one announced.
In addition you count me the fees when we are already a customer at home.")</f>
        <v>I am a direct insurance customer and via the application The price was not the one announced.
In addition you count me the fees when we are already a customer at home.</v>
      </c>
    </row>
    <row r="626" ht="15.75" customHeight="1">
      <c r="A626" s="2">
        <v>1.0</v>
      </c>
      <c r="B626" s="2" t="s">
        <v>1796</v>
      </c>
      <c r="C626" s="2" t="s">
        <v>1797</v>
      </c>
      <c r="D626" s="2" t="s">
        <v>157</v>
      </c>
      <c r="E626" s="2" t="s">
        <v>21</v>
      </c>
      <c r="F626" s="2" t="s">
        <v>15</v>
      </c>
      <c r="G626" s="2" t="s">
        <v>1798</v>
      </c>
      <c r="H626" s="2" t="s">
        <v>184</v>
      </c>
      <c r="I626" s="2" t="str">
        <f>IFERROR(__xludf.DUMMYFUNCTION("GOOGLETRANSLATE(C626,""fr"",""en"")"),"Mercer no longer responds to emails, rotten customer service
Inadmissible given their price practiced!
They pass this on the back of the covid, yet there is no difficulty in this kind of business to do telework!
")</f>
        <v>Mercer no longer responds to emails, rotten customer service
Inadmissible given their price practiced!
They pass this on the back of the covid, yet there is no difficulty in this kind of business to do telework!
</v>
      </c>
    </row>
    <row r="627" ht="15.75" customHeight="1">
      <c r="A627" s="2">
        <v>2.0</v>
      </c>
      <c r="B627" s="2" t="s">
        <v>1799</v>
      </c>
      <c r="C627" s="2" t="s">
        <v>1800</v>
      </c>
      <c r="D627" s="2" t="s">
        <v>117</v>
      </c>
      <c r="E627" s="2" t="s">
        <v>14</v>
      </c>
      <c r="F627" s="2" t="s">
        <v>15</v>
      </c>
      <c r="G627" s="2" t="s">
        <v>1801</v>
      </c>
      <c r="H627" s="2" t="s">
        <v>71</v>
      </c>
      <c r="I627" s="2" t="str">
        <f>IFERROR(__xludf.DUMMYFUNCTION("GOOGLETRANSLATE(C627,""fr"",""en"")"),"Hello
I have been at GMF since 1987 and has a bonus of 50 % and 4 vehicles at home, including 2 non -rolling and one in which I find it difficult to separate because I hope to have it repaired
In 2016 I buy a new vehicle I resume a new contract
 I have"&amp;" an ice cream, a non -responsible accident which declared itself too quickly because the retro concerns was deboite (I warn the GMF to cancel my declaration in vain) and a responsible accident in 3 years
GMF informs me that I am fired
I terminated all m"&amp;"y contracts
Legal insurance
Family insurance
Home Insurance
")</f>
        <v>Hello
I have been at GMF since 1987 and has a bonus of 50 % and 4 vehicles at home, including 2 non -rolling and one in which I find it difficult to separate because I hope to have it repaired
In 2016 I buy a new vehicle I resume a new contract
 I have an ice cream, a non -responsible accident which declared itself too quickly because the retro concerns was deboite (I warn the GMF to cancel my declaration in vain) and a responsible accident in 3 years
GMF informs me that I am fired
I terminated all my contracts
Legal insurance
Family insurance
Home Insurance
</v>
      </c>
    </row>
    <row r="628" ht="15.75" customHeight="1">
      <c r="A628" s="2">
        <v>3.0</v>
      </c>
      <c r="B628" s="2" t="s">
        <v>1802</v>
      </c>
      <c r="C628" s="2" t="s">
        <v>1803</v>
      </c>
      <c r="D628" s="2" t="s">
        <v>13</v>
      </c>
      <c r="E628" s="2" t="s">
        <v>14</v>
      </c>
      <c r="F628" s="2" t="s">
        <v>15</v>
      </c>
      <c r="G628" s="2" t="s">
        <v>1804</v>
      </c>
      <c r="H628" s="2" t="s">
        <v>290</v>
      </c>
      <c r="I628" s="2" t="str">
        <f>IFERROR(__xludf.DUMMYFUNCTION("GOOGLETRANSLATE(C628,""fr"",""en"")"),"I wanted to get a quote it was easy to obtain, fast practical and the prices charged are attractive. I await for the subscription terms
")</f>
        <v>I wanted to get a quote it was easy to obtain, fast practical and the prices charged are attractive. I await for the subscription terms
</v>
      </c>
    </row>
    <row r="629" ht="15.75" customHeight="1">
      <c r="A629" s="2">
        <v>2.0</v>
      </c>
      <c r="B629" s="2" t="s">
        <v>1805</v>
      </c>
      <c r="C629" s="2" t="s">
        <v>1806</v>
      </c>
      <c r="D629" s="2" t="s">
        <v>1807</v>
      </c>
      <c r="E629" s="2" t="s">
        <v>103</v>
      </c>
      <c r="F629" s="2" t="s">
        <v>15</v>
      </c>
      <c r="G629" s="2" t="s">
        <v>1808</v>
      </c>
      <c r="H629" s="2" t="s">
        <v>194</v>
      </c>
      <c r="I629" s="2" t="str">
        <f>IFERROR(__xludf.DUMMYFUNCTION("GOOGLETRANSLATE(C629,""fr"",""en"")"),"Flight with break -in on 06/12/2017; sinister well taken into account with a small? Error: For Sogessur I am a tenant and not owner (Bigre my wife sold the house without warning me). An expert is named to whom I provide the requested parts (qq invoices in"&amp;"cluding repair of the entrance door lock) with qq difficulty because small objects whose bill is not necessarily kept and more sinister in our secondary house, the invoices in our main residence. No news from the expert if not the small hand responsible f"&amp;"or receiving supporting documents. No news either of SOGESSUR impossible to reach by phone despite dozens of calls sometimes continuously. Relaunch by mail at the end of the year after qq health sets for my wife. No answer. Request for intervention from m"&amp;"y legal protections from next week and if no news, termination of 2 Habit insurance. (our son and us), cloting 2 cpts SG and factual advertising on social networks to avoid if possible that too many ""pigeons"" get caught.")</f>
        <v>Flight with break -in on 06/12/2017; sinister well taken into account with a small? Error: For Sogessur I am a tenant and not owner (Bigre my wife sold the house without warning me). An expert is named to whom I provide the requested parts (qq invoices including repair of the entrance door lock) with qq difficulty because small objects whose bill is not necessarily kept and more sinister in our secondary house, the invoices in our main residence. No news from the expert if not the small hand responsible for receiving supporting documents. No news either of SOGESSUR impossible to reach by phone despite dozens of calls sometimes continuously. Relaunch by mail at the end of the year after qq health sets for my wife. No answer. Request for intervention from my legal protections from next week and if no news, termination of 2 Habit insurance. (our son and us), cloting 2 cpts SG and factual advertising on social networks to avoid if possible that too many "pigeons" get caught.</v>
      </c>
    </row>
    <row r="630" ht="15.75" customHeight="1">
      <c r="A630" s="2">
        <v>5.0</v>
      </c>
      <c r="B630" s="2" t="s">
        <v>1809</v>
      </c>
      <c r="C630" s="2" t="s">
        <v>1810</v>
      </c>
      <c r="D630" s="2" t="s">
        <v>31</v>
      </c>
      <c r="E630" s="2" t="s">
        <v>14</v>
      </c>
      <c r="F630" s="2" t="s">
        <v>15</v>
      </c>
      <c r="G630" s="2" t="s">
        <v>1150</v>
      </c>
      <c r="H630" s="2" t="s">
        <v>39</v>
      </c>
      <c r="I630" s="2" t="str">
        <f>IFERROR(__xludf.DUMMYFUNCTION("GOOGLETRANSLATE(C630,""fr"",""en"")"),"Very satisfied with your services which are very complete. We have known you thanks to advertising. We are delighted to be part of your new customers.")</f>
        <v>Very satisfied with your services which are very complete. We have known you thanks to advertising. We are delighted to be part of your new customers.</v>
      </c>
    </row>
    <row r="631" ht="15.75" customHeight="1">
      <c r="A631" s="2">
        <v>1.0</v>
      </c>
      <c r="B631" s="2" t="s">
        <v>1811</v>
      </c>
      <c r="C631" s="2" t="s">
        <v>1812</v>
      </c>
      <c r="D631" s="2" t="s">
        <v>117</v>
      </c>
      <c r="E631" s="2" t="s">
        <v>14</v>
      </c>
      <c r="F631" s="2" t="s">
        <v>15</v>
      </c>
      <c r="G631" s="2" t="s">
        <v>1813</v>
      </c>
      <c r="H631" s="2" t="s">
        <v>574</v>
      </c>
      <c r="I631" s="2" t="str">
        <f>IFERROR(__xludf.DUMMYFUNCTION("GOOGLETRANSLATE(C631,""fr"",""en"")"),"Does not respect the contact. Indeed after a disaster whose penalties were frozen I underwent a significant increase, namely 38.96 euros compared to my 2016 subscription of 313.56 euros. 52 euros.")</f>
        <v>Does not respect the contact. Indeed after a disaster whose penalties were frozen I underwent a significant increase, namely 38.96 euros compared to my 2016 subscription of 313.56 euros. 52 euros.</v>
      </c>
    </row>
    <row r="632" ht="15.75" customHeight="1">
      <c r="A632" s="2">
        <v>4.0</v>
      </c>
      <c r="B632" s="2" t="s">
        <v>1814</v>
      </c>
      <c r="C632" s="2" t="s">
        <v>1815</v>
      </c>
      <c r="D632" s="2" t="s">
        <v>31</v>
      </c>
      <c r="E632" s="2" t="s">
        <v>14</v>
      </c>
      <c r="F632" s="2" t="s">
        <v>15</v>
      </c>
      <c r="G632" s="2" t="s">
        <v>1816</v>
      </c>
      <c r="H632" s="2" t="s">
        <v>39</v>
      </c>
      <c r="I632" s="2" t="str">
        <f>IFERROR(__xludf.DUMMYFUNCTION("GOOGLETRANSLATE(C632,""fr"",""en"")"),"Super pleasant advisor, at the top level explanation on different offers, affordable price. See in the event of a claim ...
For the moment I recommend
Thank you
")</f>
        <v>Super pleasant advisor, at the top level explanation on different offers, affordable price. See in the event of a claim ...
For the moment I recommend
Thank you
</v>
      </c>
    </row>
    <row r="633" ht="15.75" customHeight="1">
      <c r="A633" s="2">
        <v>5.0</v>
      </c>
      <c r="B633" s="2" t="s">
        <v>1817</v>
      </c>
      <c r="C633" s="2" t="s">
        <v>1818</v>
      </c>
      <c r="D633" s="2" t="s">
        <v>79</v>
      </c>
      <c r="E633" s="2" t="s">
        <v>21</v>
      </c>
      <c r="F633" s="2" t="s">
        <v>15</v>
      </c>
      <c r="G633" s="2" t="s">
        <v>1819</v>
      </c>
      <c r="H633" s="2" t="s">
        <v>81</v>
      </c>
      <c r="I633" s="2" t="str">
        <f>IFERROR(__xludf.DUMMYFUNCTION("GOOGLETRANSLATE(C633,""fr"",""en"")"),"Frankly I have been with generation for years for years I am completely satisfied, it was within the framework of work and unfortunately my contract with them ends, I had no problems with this mutual insurance company, reimbursement. . Everything went wel"&amp;"l. I recommend.")</f>
        <v>Frankly I have been with generation for years for years I am completely satisfied, it was within the framework of work and unfortunately my contract with them ends, I had no problems with this mutual insurance company, reimbursement. . Everything went well. I recommend.</v>
      </c>
    </row>
    <row r="634" ht="15.75" customHeight="1">
      <c r="A634" s="2">
        <v>4.0</v>
      </c>
      <c r="B634" s="2" t="s">
        <v>1820</v>
      </c>
      <c r="C634" s="2" t="s">
        <v>1821</v>
      </c>
      <c r="D634" s="2" t="s">
        <v>31</v>
      </c>
      <c r="E634" s="2" t="s">
        <v>14</v>
      </c>
      <c r="F634" s="2" t="s">
        <v>15</v>
      </c>
      <c r="G634" s="2" t="s">
        <v>1364</v>
      </c>
      <c r="H634" s="2" t="s">
        <v>39</v>
      </c>
      <c r="I634" s="2" t="str">
        <f>IFERROR(__xludf.DUMMYFUNCTION("GOOGLETRANSLATE(C634,""fr"",""en"")"),"I am satisfied with the services, with a very attractive capture even with a penalty, I'm just waiting to solve my problem of claims but otherwise everything is good")</f>
        <v>I am satisfied with the services, with a very attractive capture even with a penalty, I'm just waiting to solve my problem of claims but otherwise everything is good</v>
      </c>
    </row>
    <row r="635" ht="15.75" customHeight="1">
      <c r="A635" s="2">
        <v>1.0</v>
      </c>
      <c r="B635" s="2" t="s">
        <v>1822</v>
      </c>
      <c r="C635" s="2" t="s">
        <v>1823</v>
      </c>
      <c r="D635" s="2" t="s">
        <v>36</v>
      </c>
      <c r="E635" s="2" t="s">
        <v>37</v>
      </c>
      <c r="F635" s="2" t="s">
        <v>15</v>
      </c>
      <c r="G635" s="2" t="s">
        <v>1824</v>
      </c>
      <c r="H635" s="2" t="s">
        <v>184</v>
      </c>
      <c r="I635" s="2" t="str">
        <f>IFERROR(__xludf.DUMMYFUNCTION("GOOGLETRANSLATE(C635,""fr"",""en"")"),"To run away absolutely, my female dog made a metric a few years ago, ablation of the uterus in an emergency.
They did not want to reimburse us on the basis of an operation due to an illness but on the basis of sterilization, which saved them € 200 at tha"&amp;"t time. We had all the documents and veterinary letter in support they wanted to know nothing. We even went through their mediator, that of the pipo, we were advised to report them to the fraud services I unfortunately did not continue and I regret it")</f>
        <v>To run away absolutely, my female dog made a metric a few years ago, ablation of the uterus in an emergency.
They did not want to reimburse us on the basis of an operation due to an illness but on the basis of sterilization, which saved them € 200 at that time. We had all the documents and veterinary letter in support they wanted to know nothing. We even went through their mediator, that of the pipo, we were advised to report them to the fraud services I unfortunately did not continue and I regret it</v>
      </c>
    </row>
    <row r="636" ht="15.75" customHeight="1">
      <c r="A636" s="2">
        <v>4.0</v>
      </c>
      <c r="B636" s="2" t="s">
        <v>1825</v>
      </c>
      <c r="C636" s="2" t="s">
        <v>1826</v>
      </c>
      <c r="D636" s="2" t="s">
        <v>168</v>
      </c>
      <c r="E636" s="2" t="s">
        <v>14</v>
      </c>
      <c r="F636" s="2" t="s">
        <v>15</v>
      </c>
      <c r="G636" s="2" t="s">
        <v>842</v>
      </c>
      <c r="H636" s="2" t="s">
        <v>774</v>
      </c>
      <c r="I636" s="2" t="str">
        <f>IFERROR(__xludf.DUMMYFUNCTION("GOOGLETRANSLATE(C636,""fr"",""en"")"),"The prices for cars are in principle correct nevertheless you have to know how to discuss when a vehicle has practically not driven and we always manage to find a compromise")</f>
        <v>The prices for cars are in principle correct nevertheless you have to know how to discuss when a vehicle has practically not driven and we always manage to find a compromise</v>
      </c>
    </row>
    <row r="637" ht="15.75" customHeight="1">
      <c r="A637" s="2">
        <v>4.0</v>
      </c>
      <c r="B637" s="2" t="s">
        <v>1827</v>
      </c>
      <c r="C637" s="2" t="s">
        <v>1828</v>
      </c>
      <c r="D637" s="2" t="s">
        <v>168</v>
      </c>
      <c r="E637" s="2" t="s">
        <v>14</v>
      </c>
      <c r="F637" s="2" t="s">
        <v>15</v>
      </c>
      <c r="G637" s="2" t="s">
        <v>1829</v>
      </c>
      <c r="H637" s="2" t="s">
        <v>376</v>
      </c>
      <c r="I637" s="2" t="str">
        <f>IFERROR(__xludf.DUMMYFUNCTION("GOOGLETRANSLATE(C637,""fr"",""en"")"),"Good insurer, but the right pay for the wrong, a little chere price level but it is good insurance and I recommend it, my opinion sort the right driver on the bad and make the bad driver and large rollers pay.
Cordially.")</f>
        <v>Good insurer, but the right pay for the wrong, a little chere price level but it is good insurance and I recommend it, my opinion sort the right driver on the bad and make the bad driver and large rollers pay.
Cordially.</v>
      </c>
    </row>
    <row r="638" ht="15.75" customHeight="1">
      <c r="A638" s="2">
        <v>3.0</v>
      </c>
      <c r="B638" s="2" t="s">
        <v>1830</v>
      </c>
      <c r="C638" s="2" t="s">
        <v>1831</v>
      </c>
      <c r="D638" s="2" t="s">
        <v>13</v>
      </c>
      <c r="E638" s="2" t="s">
        <v>14</v>
      </c>
      <c r="F638" s="2" t="s">
        <v>15</v>
      </c>
      <c r="G638" s="2" t="s">
        <v>1832</v>
      </c>
      <c r="H638" s="2" t="s">
        <v>17</v>
      </c>
      <c r="I638" s="2" t="str">
        <f>IFERROR(__xludf.DUMMYFUNCTION("GOOGLETRANSLATE(C638,""fr"",""en"")"),"Prices from a certain time are more expensive than in direct insurance competitors favoring newcomers in order to bait.
significantly less interesting offer from the 3rd year even with a maximum bonus")</f>
        <v>Prices from a certain time are more expensive than in direct insurance competitors favoring newcomers in order to bait.
significantly less interesting offer from the 3rd year even with a maximum bonus</v>
      </c>
    </row>
    <row r="639" ht="15.75" customHeight="1">
      <c r="A639" s="2">
        <v>1.0</v>
      </c>
      <c r="B639" s="2" t="s">
        <v>1833</v>
      </c>
      <c r="C639" s="2" t="s">
        <v>1834</v>
      </c>
      <c r="D639" s="2" t="s">
        <v>31</v>
      </c>
      <c r="E639" s="2" t="s">
        <v>14</v>
      </c>
      <c r="F639" s="2" t="s">
        <v>15</v>
      </c>
      <c r="G639" s="2" t="s">
        <v>1835</v>
      </c>
      <c r="H639" s="2" t="s">
        <v>1572</v>
      </c>
      <c r="I639" s="2" t="str">
        <f>IFERROR(__xludf.DUMMYFUNCTION("GOOGLETRANSLATE(C639,""fr"",""en"")"),"The worst insurance I have known. Problem from the quote and then during my disaster they found all the means so as not to intervene, even on the damage caused to a third party.
Take any insurance except that")</f>
        <v>The worst insurance I have known. Problem from the quote and then during my disaster they found all the means so as not to intervene, even on the damage caused to a third party.
Take any insurance except that</v>
      </c>
    </row>
    <row r="640" ht="15.75" customHeight="1">
      <c r="A640" s="2">
        <v>5.0</v>
      </c>
      <c r="B640" s="2" t="s">
        <v>1836</v>
      </c>
      <c r="C640" s="2" t="s">
        <v>1837</v>
      </c>
      <c r="D640" s="2" t="s">
        <v>13</v>
      </c>
      <c r="E640" s="2" t="s">
        <v>14</v>
      </c>
      <c r="F640" s="2" t="s">
        <v>15</v>
      </c>
      <c r="G640" s="2" t="s">
        <v>585</v>
      </c>
      <c r="H640" s="2" t="s">
        <v>39</v>
      </c>
      <c r="I640" s="2" t="str">
        <f>IFERROR(__xludf.DUMMYFUNCTION("GOOGLETRANSLATE(C640,""fr"",""en"")"),"I am satisfied but Beug for the declaration of online loss. I had everything filled and I will have to start again, I don't know why but hey can happen")</f>
        <v>I am satisfied but Beug for the declaration of online loss. I had everything filled and I will have to start again, I don't know why but hey can happen</v>
      </c>
    </row>
    <row r="641" ht="15.75" customHeight="1">
      <c r="A641" s="2">
        <v>1.0</v>
      </c>
      <c r="B641" s="2" t="s">
        <v>1838</v>
      </c>
      <c r="C641" s="2" t="s">
        <v>1839</v>
      </c>
      <c r="D641" s="2" t="s">
        <v>160</v>
      </c>
      <c r="E641" s="2" t="s">
        <v>462</v>
      </c>
      <c r="F641" s="2" t="s">
        <v>15</v>
      </c>
      <c r="G641" s="2" t="s">
        <v>1840</v>
      </c>
      <c r="H641" s="2" t="s">
        <v>386</v>
      </c>
      <c r="I641" s="2" t="str">
        <f>IFERROR(__xludf.DUMMYFUNCTION("GOOGLETRANSLATE(C641,""fr"",""en"")"),"Tired that we don't care about me. During the stop since July 24 still received nothing as a result of salary. In 3 calls the processing delai no 8 days at more than 4 weeks. You ask me to redo a new declaration my employer redone it and this one disappea"&amp;"red. Always the same speech")</f>
        <v>Tired that we don't care about me. During the stop since July 24 still received nothing as a result of salary. In 3 calls the processing delai no 8 days at more than 4 weeks. You ask me to redo a new declaration my employer redone it and this one disappeared. Always the same speech</v>
      </c>
    </row>
    <row r="642" ht="15.75" customHeight="1">
      <c r="A642" s="2">
        <v>1.0</v>
      </c>
      <c r="B642" s="2" t="s">
        <v>1841</v>
      </c>
      <c r="C642" s="2" t="s">
        <v>1842</v>
      </c>
      <c r="D642" s="2" t="s">
        <v>128</v>
      </c>
      <c r="E642" s="2" t="s">
        <v>14</v>
      </c>
      <c r="F642" s="2" t="s">
        <v>15</v>
      </c>
      <c r="G642" s="2" t="s">
        <v>1843</v>
      </c>
      <c r="H642" s="2" t="s">
        <v>71</v>
      </c>
      <c r="I642" s="2" t="str">
        <f>IFERROR(__xludf.DUMMYFUNCTION("GOOGLETRANSLATE(C642,""fr"",""en"")"),"I have been a client at Matmut for 9 years now, customer service leaves something to be desired. The advisers are unpleasant sometimes. The price increased in 2020 and the deductible too. Very disappointed with this insurance.")</f>
        <v>I have been a client at Matmut for 9 years now, customer service leaves something to be desired. The advisers are unpleasant sometimes. The price increased in 2020 and the deductible too. Very disappointed with this insurance.</v>
      </c>
    </row>
    <row r="643" ht="15.75" customHeight="1">
      <c r="A643" s="2">
        <v>1.0</v>
      </c>
      <c r="B643" s="2" t="s">
        <v>1844</v>
      </c>
      <c r="C643" s="2" t="s">
        <v>1845</v>
      </c>
      <c r="D643" s="2" t="s">
        <v>13</v>
      </c>
      <c r="E643" s="2" t="s">
        <v>14</v>
      </c>
      <c r="F643" s="2" t="s">
        <v>15</v>
      </c>
      <c r="G643" s="2" t="s">
        <v>1846</v>
      </c>
      <c r="H643" s="2" t="s">
        <v>415</v>
      </c>
      <c r="I643" s="2" t="str">
        <f>IFERROR(__xludf.DUMMYFUNCTION("GOOGLETRANSLATE(C643,""fr"",""en"")"),"RUN AWAY !!! Registered for several years! Crazy increase in contributions; 100 euros in two years. Ice broom: shameful !!
For my part. More broken ice contributions 249 euros increase no claim from the start. Bonus malus 0.5
 A real shame")</f>
        <v>RUN AWAY !!! Registered for several years! Crazy increase in contributions; 100 euros in two years. Ice broom: shameful !!
For my part. More broken ice contributions 249 euros increase no claim from the start. Bonus malus 0.5
 A real shame</v>
      </c>
    </row>
    <row r="644" ht="15.75" customHeight="1">
      <c r="A644" s="2">
        <v>5.0</v>
      </c>
      <c r="B644" s="2" t="s">
        <v>1847</v>
      </c>
      <c r="C644" s="2" t="s">
        <v>1848</v>
      </c>
      <c r="D644" s="2" t="s">
        <v>117</v>
      </c>
      <c r="E644" s="2" t="s">
        <v>14</v>
      </c>
      <c r="F644" s="2" t="s">
        <v>15</v>
      </c>
      <c r="G644" s="2" t="s">
        <v>1374</v>
      </c>
      <c r="H644" s="2" t="s">
        <v>60</v>
      </c>
      <c r="I644" s="2" t="str">
        <f>IFERROR(__xludf.DUMMYFUNCTION("GOOGLETRANSLATE(C644,""fr"",""en"")"),"Client for 20 years, never disappointed, always listening and reasonable prices. Good advice and very good support in all projects in life.")</f>
        <v>Client for 20 years, never disappointed, always listening and reasonable prices. Good advice and very good support in all projects in life.</v>
      </c>
    </row>
    <row r="645" ht="15.75" customHeight="1">
      <c r="A645" s="2">
        <v>4.0</v>
      </c>
      <c r="B645" s="2" t="s">
        <v>1849</v>
      </c>
      <c r="C645" s="2" t="s">
        <v>1850</v>
      </c>
      <c r="D645" s="2" t="s">
        <v>26</v>
      </c>
      <c r="E645" s="2" t="s">
        <v>21</v>
      </c>
      <c r="F645" s="2" t="s">
        <v>15</v>
      </c>
      <c r="G645" s="2" t="s">
        <v>1851</v>
      </c>
      <c r="H645" s="2" t="s">
        <v>800</v>
      </c>
      <c r="I645" s="2" t="str">
        <f>IFERROR(__xludf.DUMMYFUNCTION("GOOGLETRANSLATE(C645,""fr"",""en"")"),"completely satisfied with this insurance, she coilmer what I expect")</f>
        <v>completely satisfied with this insurance, she coilmer what I expect</v>
      </c>
    </row>
    <row r="646" ht="15.75" customHeight="1">
      <c r="A646" s="2">
        <v>1.0</v>
      </c>
      <c r="B646" s="2" t="s">
        <v>1852</v>
      </c>
      <c r="C646" s="2" t="s">
        <v>1853</v>
      </c>
      <c r="D646" s="2" t="s">
        <v>31</v>
      </c>
      <c r="E646" s="2" t="s">
        <v>14</v>
      </c>
      <c r="F646" s="2" t="s">
        <v>15</v>
      </c>
      <c r="G646" s="2" t="s">
        <v>1854</v>
      </c>
      <c r="H646" s="2" t="s">
        <v>234</v>
      </c>
      <c r="I646" s="2" t="str">
        <f>IFERROR(__xludf.DUMMYFUNCTION("GOOGLETRANSLATE(C646,""fr"",""en"")"),"20 minutes of waiting to charge me 15 € of amendment fees .. and increase my contributions of 30 €. During my subscriptions the salesperson I insured that my bonus/penalty was equal to 1.00 since I am 2 years without insurance therefore without responsibl"&amp;"e accident.
Today I discover that I am at 1.25 (however on my recovery I am well at 1.00) and that's how it justifies this increase. However, the person I had on the phone was very courteous.")</f>
        <v>20 minutes of waiting to charge me 15 € of amendment fees .. and increase my contributions of 30 €. During my subscriptions the salesperson I insured that my bonus/penalty was equal to 1.00 since I am 2 years without insurance therefore without responsible accident.
Today I discover that I am at 1.25 (however on my recovery I am well at 1.00) and that's how it justifies this increase. However, the person I had on the phone was very courteous.</v>
      </c>
    </row>
    <row r="647" ht="15.75" customHeight="1">
      <c r="A647" s="2">
        <v>1.0</v>
      </c>
      <c r="B647" s="2" t="s">
        <v>1855</v>
      </c>
      <c r="C647" s="2" t="s">
        <v>1856</v>
      </c>
      <c r="D647" s="2" t="s">
        <v>136</v>
      </c>
      <c r="E647" s="2" t="s">
        <v>103</v>
      </c>
      <c r="F647" s="2" t="s">
        <v>15</v>
      </c>
      <c r="G647" s="2" t="s">
        <v>826</v>
      </c>
      <c r="H647" s="2" t="s">
        <v>60</v>
      </c>
      <c r="I647" s="2" t="str">
        <f>IFERROR(__xludf.DUMMYFUNCTION("GOOGLETRANSLATE(C647,""fr"",""en"")"),"Following the collapse of a wall of my home after very violent winds on my neighbor's field.
Follow -up of lamentable files no listening. The insurance manager relaunched ten times to have or is the file. ex relaunched a Monday I call you back on Thursda"&amp;"y. On Thursday no recall. Reminder of this advisor 15 days later.
Or 2 months after the disaster to answer us that he cannot take anything into effect following the probable fragility of the wall. I do not know what I must say to my neighbor who also und"&amp;"ergoes the damage.
Attention insurance to avoid for insured an old house he will always find a solution so as not to take the disaster into account.
 ")</f>
        <v>Following the collapse of a wall of my home after very violent winds on my neighbor's field.
Follow -up of lamentable files no listening. The insurance manager relaunched ten times to have or is the file. ex relaunched a Monday I call you back on Thursday. On Thursday no recall. Reminder of this advisor 15 days later.
Or 2 months after the disaster to answer us that he cannot take anything into effect following the probable fragility of the wall. I do not know what I must say to my neighbor who also undergoes the damage.
Attention insurance to avoid for insured an old house he will always find a solution so as not to take the disaster into account.
 </v>
      </c>
    </row>
    <row r="648" ht="15.75" customHeight="1">
      <c r="A648" s="2">
        <v>4.0</v>
      </c>
      <c r="B648" s="2" t="s">
        <v>1857</v>
      </c>
      <c r="C648" s="2" t="s">
        <v>1858</v>
      </c>
      <c r="D648" s="2" t="s">
        <v>316</v>
      </c>
      <c r="E648" s="2" t="s">
        <v>241</v>
      </c>
      <c r="F648" s="2" t="s">
        <v>15</v>
      </c>
      <c r="G648" s="2" t="s">
        <v>1859</v>
      </c>
      <c r="H648" s="2" t="s">
        <v>705</v>
      </c>
      <c r="I648" s="2" t="str">
        <f>IFERROR(__xludf.DUMMYFUNCTION("GOOGLETRANSLATE(C648,""fr"",""en"")"),"Responsive and quick to reach if no response to your requests The advisers remind you within 48 hours. By email the deadlines are quickly treated even the medical parts can be sent by email")</f>
        <v>Responsive and quick to reach if no response to your requests The advisers remind you within 48 hours. By email the deadlines are quickly treated even the medical parts can be sent by email</v>
      </c>
    </row>
    <row r="649" ht="15.75" customHeight="1">
      <c r="A649" s="2">
        <v>1.0</v>
      </c>
      <c r="B649" s="2" t="s">
        <v>1860</v>
      </c>
      <c r="C649" s="2" t="s">
        <v>1861</v>
      </c>
      <c r="D649" s="2" t="s">
        <v>404</v>
      </c>
      <c r="E649" s="2" t="s">
        <v>14</v>
      </c>
      <c r="F649" s="2" t="s">
        <v>15</v>
      </c>
      <c r="G649" s="2" t="s">
        <v>1862</v>
      </c>
      <c r="H649" s="2" t="s">
        <v>767</v>
      </c>
      <c r="I649" s="2" t="str">
        <f>IFERROR(__xludf.DUMMYFUNCTION("GOOGLETRANSLATE(C649,""fr"",""en"")"),"It is brown substance that comes out of the buttocks !!! Terminated for non -compliant documents after he took me from 215 euros during my subscription on their MorBack site. While I provided all the necessary documents, the problem therefore remains a my"&amp;"stery, I would never have a concrete response.
Everyone says their version when you call the service ...
It is a blow the claim, a blow the quote, a blow the documents, a blow the bonus, after that is the date ....
The consumer service does not respond"&amp;" when I ask whether I am terminated or not.
I do how then !!!
Which is the brain of this box, because it is deplorable there !!
So don't go there !!!!!")</f>
        <v>It is brown substance that comes out of the buttocks !!! Terminated for non -compliant documents after he took me from 215 euros during my subscription on their MorBack site. While I provided all the necessary documents, the problem therefore remains a mystery, I would never have a concrete response.
Everyone says their version when you call the service ...
It is a blow the claim, a blow the quote, a blow the documents, a blow the bonus, after that is the date ....
The consumer service does not respond when I ask whether I am terminated or not.
I do how then !!!
Which is the brain of this box, because it is deplorable there !!
So don't go there !!!!!</v>
      </c>
    </row>
    <row r="650" ht="15.75" customHeight="1">
      <c r="A650" s="2">
        <v>2.0</v>
      </c>
      <c r="B650" s="2" t="s">
        <v>1863</v>
      </c>
      <c r="C650" s="2" t="s">
        <v>1864</v>
      </c>
      <c r="D650" s="2" t="s">
        <v>13</v>
      </c>
      <c r="E650" s="2" t="s">
        <v>14</v>
      </c>
      <c r="F650" s="2" t="s">
        <v>15</v>
      </c>
      <c r="G650" s="2" t="s">
        <v>165</v>
      </c>
      <c r="H650" s="2" t="s">
        <v>17</v>
      </c>
      <c r="I650" s="2" t="str">
        <f>IFERROR(__xludf.DUMMYFUNCTION("GOOGLETRANSLATE(C650,""fr"",""en"")"),"I was very disappointed with the lack of support during my accident. Deplorable contact, no empathy and no desire to defend myself. I will change insurance as soon as I have the opportunity.")</f>
        <v>I was very disappointed with the lack of support during my accident. Deplorable contact, no empathy and no desire to defend myself. I will change insurance as soon as I have the opportunity.</v>
      </c>
    </row>
    <row r="651" ht="15.75" customHeight="1">
      <c r="A651" s="2">
        <v>4.0</v>
      </c>
      <c r="B651" s="2" t="s">
        <v>1865</v>
      </c>
      <c r="C651" s="2" t="s">
        <v>1866</v>
      </c>
      <c r="D651" s="2" t="s">
        <v>13</v>
      </c>
      <c r="E651" s="2" t="s">
        <v>14</v>
      </c>
      <c r="F651" s="2" t="s">
        <v>15</v>
      </c>
      <c r="G651" s="2" t="s">
        <v>1008</v>
      </c>
      <c r="H651" s="2" t="s">
        <v>50</v>
      </c>
      <c r="I651" s="2" t="str">
        <f>IFERROR(__xludf.DUMMYFUNCTION("GOOGLETRANSLATE(C651,""fr"",""en"")"),"Value/price ratio OK, correct and fast grip
I highly recommend
Direct Insurance offers a wide range of products of products that allows you to be flexible on the packs")</f>
        <v>Value/price ratio OK, correct and fast grip
I highly recommend
Direct Insurance offers a wide range of products of products that allows you to be flexible on the packs</v>
      </c>
    </row>
    <row r="652" ht="15.75" customHeight="1">
      <c r="A652" s="2">
        <v>1.0</v>
      </c>
      <c r="B652" s="2" t="s">
        <v>1867</v>
      </c>
      <c r="C652" s="2" t="s">
        <v>1868</v>
      </c>
      <c r="D652" s="2" t="s">
        <v>160</v>
      </c>
      <c r="E652" s="2" t="s">
        <v>462</v>
      </c>
      <c r="F652" s="2" t="s">
        <v>15</v>
      </c>
      <c r="G652" s="2" t="s">
        <v>1869</v>
      </c>
      <c r="H652" s="2" t="s">
        <v>666</v>
      </c>
      <c r="I652" s="2" t="str">
        <f>IFERROR(__xludf.DUMMYFUNCTION("GOOGLETRANSLATE(C652,""fr"",""en"")"),"At the end from October 2016 then on maternity leave until April 2017 I have always received no indismitous daily and each time I call I am given a period of 15 days. Really disappointed and very unhappy.")</f>
        <v>At the end from October 2016 then on maternity leave until April 2017 I have always received no indismitous daily and each time I call I am given a period of 15 days. Really disappointed and very unhappy.</v>
      </c>
    </row>
    <row r="653" ht="15.75" customHeight="1">
      <c r="A653" s="2">
        <v>2.0</v>
      </c>
      <c r="B653" s="2" t="s">
        <v>1870</v>
      </c>
      <c r="C653" s="2" t="s">
        <v>1871</v>
      </c>
      <c r="D653" s="2" t="s">
        <v>256</v>
      </c>
      <c r="E653" s="2" t="s">
        <v>14</v>
      </c>
      <c r="F653" s="2" t="s">
        <v>15</v>
      </c>
      <c r="G653" s="2" t="s">
        <v>1872</v>
      </c>
      <c r="H653" s="2" t="s">
        <v>130</v>
      </c>
      <c r="I653" s="2" t="str">
        <f>IFERROR(__xludf.DUMMYFUNCTION("GOOGLETRANSLATE(C653,""fr"",""en"")"),"I find it quite expensive especially when you have an accident without gravitating I mean without
hurt or dead a simple hanging with another vehicle, especially when you
have your contributions which increases by 20 percent for a first accident
many")</f>
        <v>I find it quite expensive especially when you have an accident without gravitating I mean without
hurt or dead a simple hanging with another vehicle, especially when you
have your contributions which increases by 20 percent for a first accident
many</v>
      </c>
    </row>
    <row r="654" ht="15.75" customHeight="1">
      <c r="A654" s="2">
        <v>4.0</v>
      </c>
      <c r="B654" s="2" t="s">
        <v>1873</v>
      </c>
      <c r="C654" s="2" t="s">
        <v>1874</v>
      </c>
      <c r="D654" s="2" t="s">
        <v>13</v>
      </c>
      <c r="E654" s="2" t="s">
        <v>14</v>
      </c>
      <c r="F654" s="2" t="s">
        <v>15</v>
      </c>
      <c r="G654" s="2" t="s">
        <v>1875</v>
      </c>
      <c r="H654" s="2" t="s">
        <v>111</v>
      </c>
      <c r="I654" s="2" t="str">
        <f>IFERROR(__xludf.DUMMYFUNCTION("GOOGLETRANSLATE(C654,""fr"",""en"")"),"I am satisfied, I am very happy to be insured at home, the price is very reasonable. Quote done quickly, I hope I don't have to have problems afterwards.
")</f>
        <v>I am satisfied, I am very happy to be insured at home, the price is very reasonable. Quote done quickly, I hope I don't have to have problems afterwards.
</v>
      </c>
    </row>
    <row r="655" ht="15.75" customHeight="1">
      <c r="A655" s="2">
        <v>2.0</v>
      </c>
      <c r="B655" s="2" t="s">
        <v>1876</v>
      </c>
      <c r="C655" s="2" t="s">
        <v>1877</v>
      </c>
      <c r="D655" s="2" t="s">
        <v>13</v>
      </c>
      <c r="E655" s="2" t="s">
        <v>14</v>
      </c>
      <c r="F655" s="2" t="s">
        <v>15</v>
      </c>
      <c r="G655" s="2" t="s">
        <v>1771</v>
      </c>
      <c r="H655" s="2" t="s">
        <v>17</v>
      </c>
      <c r="I655" s="2" t="str">
        <f>IFERROR(__xludf.DUMMYFUNCTION("GOOGLETRANSLATE(C655,""fr"",""en"")"),"The price suits me. On the other hand, I did not get any care during my loss of water damage. I also cannot download my contract to understand what is covered or not. For me, reduced price and minimum coverage.")</f>
        <v>The price suits me. On the other hand, I did not get any care during my loss of water damage. I also cannot download my contract to understand what is covered or not. For me, reduced price and minimum coverage.</v>
      </c>
    </row>
    <row r="656" ht="15.75" customHeight="1">
      <c r="A656" s="2">
        <v>2.0</v>
      </c>
      <c r="B656" s="2" t="s">
        <v>1878</v>
      </c>
      <c r="C656" s="2" t="s">
        <v>1879</v>
      </c>
      <c r="D656" s="2" t="s">
        <v>84</v>
      </c>
      <c r="E656" s="2" t="s">
        <v>14</v>
      </c>
      <c r="F656" s="2" t="s">
        <v>15</v>
      </c>
      <c r="G656" s="2" t="s">
        <v>1563</v>
      </c>
      <c r="H656" s="2" t="s">
        <v>234</v>
      </c>
      <c r="I656" s="2" t="str">
        <f>IFERROR(__xludf.DUMMYFUNCTION("GOOGLETRANSLATE(C656,""fr"",""en"")"),"On Wednesday, May 17, I broke down on the N10 about 10 km from the house. It was 8:15 p.m. and it was raining strings. I tried to call the Macif - to vain! My insurance also covers 0 km in the event of a breakdown. The answering machine that I offered lot"&amp;"s of options - except that for a breakdown along a trip. It is a shame. I did not have the assistance number and I think it would be good to indicate it in the reception ad. Suddenly, I plan to change auto insurance.")</f>
        <v>On Wednesday, May 17, I broke down on the N10 about 10 km from the house. It was 8:15 p.m. and it was raining strings. I tried to call the Macif - to vain! My insurance also covers 0 km in the event of a breakdown. The answering machine that I offered lots of options - except that for a breakdown along a trip. It is a shame. I did not have the assistance number and I think it would be good to indicate it in the reception ad. Suddenly, I plan to change auto insurance.</v>
      </c>
    </row>
    <row r="657" ht="15.75" customHeight="1">
      <c r="A657" s="2">
        <v>3.0</v>
      </c>
      <c r="B657" s="2" t="s">
        <v>1880</v>
      </c>
      <c r="C657" s="2" t="s">
        <v>1881</v>
      </c>
      <c r="D657" s="2" t="s">
        <v>13</v>
      </c>
      <c r="E657" s="2" t="s">
        <v>14</v>
      </c>
      <c r="F657" s="2" t="s">
        <v>15</v>
      </c>
      <c r="G657" s="2" t="s">
        <v>125</v>
      </c>
      <c r="H657" s="2" t="s">
        <v>107</v>
      </c>
      <c r="I657" s="2" t="str">
        <f>IFERROR(__xludf.DUMMYFUNCTION("GOOGLETRANSLATE(C657,""fr"",""en"")"),"Simple and practical, but even cheaper it would be better. I hope that for the insured who had no claim in the year, there is not a penny of an increase at maturity.")</f>
        <v>Simple and practical, but even cheaper it would be better. I hope that for the insured who had no claim in the year, there is not a penny of an increase at maturity.</v>
      </c>
    </row>
    <row r="658" ht="15.75" customHeight="1">
      <c r="A658" s="2">
        <v>5.0</v>
      </c>
      <c r="B658" s="2" t="s">
        <v>1882</v>
      </c>
      <c r="C658" s="2" t="s">
        <v>1883</v>
      </c>
      <c r="D658" s="2" t="s">
        <v>57</v>
      </c>
      <c r="E658" s="2" t="s">
        <v>58</v>
      </c>
      <c r="F658" s="2" t="s">
        <v>15</v>
      </c>
      <c r="G658" s="2" t="s">
        <v>96</v>
      </c>
      <c r="H658" s="2" t="s">
        <v>50</v>
      </c>
      <c r="I658" s="2" t="str">
        <f>IFERROR(__xludf.DUMMYFUNCTION("GOOGLETRANSLATE(C658,""fr"",""en"")"),"I am satisfied, and the possibility of subscribing online is particularly practical. You can modify at any time, subscribe for only a few months, etc. Very well done.")</f>
        <v>I am satisfied, and the possibility of subscribing online is particularly practical. You can modify at any time, subscribe for only a few months, etc. Very well done.</v>
      </c>
    </row>
    <row r="659" ht="15.75" customHeight="1">
      <c r="A659" s="2">
        <v>3.0</v>
      </c>
      <c r="B659" s="2" t="s">
        <v>1884</v>
      </c>
      <c r="C659" s="2" t="s">
        <v>1885</v>
      </c>
      <c r="D659" s="2" t="s">
        <v>136</v>
      </c>
      <c r="E659" s="2" t="s">
        <v>103</v>
      </c>
      <c r="F659" s="2" t="s">
        <v>15</v>
      </c>
      <c r="G659" s="2" t="s">
        <v>528</v>
      </c>
      <c r="H659" s="2" t="s">
        <v>184</v>
      </c>
      <c r="I659" s="2" t="str">
        <f>IFERROR(__xludf.DUMMYFUNCTION("GOOGLETRANSLATE(C659,""fr"",""en"")"),"Very warm welcome by my advisor, and excellent welcome during the loss in particular the last by Romain.
For the moment we are satisfied by this insurance.
")</f>
        <v>Very warm welcome by my advisor, and excellent welcome during the loss in particular the last by Romain.
For the moment we are satisfied by this insurance.
</v>
      </c>
    </row>
    <row r="660" ht="15.75" customHeight="1">
      <c r="A660" s="2">
        <v>1.0</v>
      </c>
      <c r="B660" s="2" t="s">
        <v>1886</v>
      </c>
      <c r="C660" s="2" t="s">
        <v>1887</v>
      </c>
      <c r="D660" s="2" t="s">
        <v>942</v>
      </c>
      <c r="E660" s="2" t="s">
        <v>241</v>
      </c>
      <c r="F660" s="2" t="s">
        <v>15</v>
      </c>
      <c r="G660" s="2" t="s">
        <v>1888</v>
      </c>
      <c r="H660" s="2" t="s">
        <v>1024</v>
      </c>
      <c r="I660" s="2" t="str">
        <f>IFERROR(__xludf.DUMMYFUNCTION("GOOGLETRANSLATE(C660,""fr"",""en"")"),"Hello, I strongly advise against cardif. Contract passed in BNP agency without giving the explanations, erroneous quote then different invoicing from cardif
Despite a recommended, no one responds to Cardif ...")</f>
        <v>Hello, I strongly advise against cardif. Contract passed in BNP agency without giving the explanations, erroneous quote then different invoicing from cardif
Despite a recommended, no one responds to Cardif ...</v>
      </c>
    </row>
    <row r="661" ht="15.75" customHeight="1">
      <c r="A661" s="2">
        <v>2.0</v>
      </c>
      <c r="B661" s="2" t="s">
        <v>1889</v>
      </c>
      <c r="C661" s="2" t="s">
        <v>1890</v>
      </c>
      <c r="D661" s="2" t="s">
        <v>168</v>
      </c>
      <c r="E661" s="2" t="s">
        <v>14</v>
      </c>
      <c r="F661" s="2" t="s">
        <v>15</v>
      </c>
      <c r="G661" s="2" t="s">
        <v>1891</v>
      </c>
      <c r="H661" s="2" t="s">
        <v>313</v>
      </c>
      <c r="I661" s="2" t="str">
        <f>IFERROR(__xludf.DUMMYFUNCTION("GOOGLETRANSLATE(C661,""fr"",""en"")"),"Company that likes drivers without accidents if not risk of cancellation of the contract by the Ensureut. 2 non -responsible accidents in 3 years but without third parties knowing that I have been a customer for over 10 years and they thank me by denounci"&amp;"ng my contract on due date. Apparently I am a person at risk sorry that the deer is not insured")</f>
        <v>Company that likes drivers without accidents if not risk of cancellation of the contract by the Ensureut. 2 non -responsible accidents in 3 years but without third parties knowing that I have been a customer for over 10 years and they thank me by denouncing my contract on due date. Apparently I am a person at risk sorry that the deer is not insured</v>
      </c>
    </row>
    <row r="662" ht="15.75" customHeight="1">
      <c r="A662" s="2">
        <v>4.0</v>
      </c>
      <c r="B662" s="2" t="s">
        <v>1892</v>
      </c>
      <c r="C662" s="2" t="s">
        <v>1893</v>
      </c>
      <c r="D662" s="2" t="s">
        <v>57</v>
      </c>
      <c r="E662" s="2" t="s">
        <v>58</v>
      </c>
      <c r="F662" s="2" t="s">
        <v>15</v>
      </c>
      <c r="G662" s="2" t="s">
        <v>99</v>
      </c>
      <c r="H662" s="2" t="s">
        <v>50</v>
      </c>
      <c r="I662" s="2" t="str">
        <f>IFERROR(__xludf.DUMMYFUNCTION("GOOGLETRANSLATE(C662,""fr"",""en"")"),"Satisfied with the service, rapid quote.
I recommend this insurance, the options are accessible
The signing of the contract is rapid and the immediate effect")</f>
        <v>Satisfied with the service, rapid quote.
I recommend this insurance, the options are accessible
The signing of the contract is rapid and the immediate effect</v>
      </c>
    </row>
    <row r="663" ht="15.75" customHeight="1">
      <c r="A663" s="2">
        <v>1.0</v>
      </c>
      <c r="B663" s="2" t="s">
        <v>1894</v>
      </c>
      <c r="C663" s="2" t="s">
        <v>1895</v>
      </c>
      <c r="D663" s="2" t="s">
        <v>437</v>
      </c>
      <c r="E663" s="2" t="s">
        <v>21</v>
      </c>
      <c r="F663" s="2" t="s">
        <v>15</v>
      </c>
      <c r="G663" s="2" t="s">
        <v>1896</v>
      </c>
      <c r="H663" s="2" t="s">
        <v>23</v>
      </c>
      <c r="I663" s="2" t="str">
        <f>IFERROR(__xludf.DUMMYFUNCTION("GOOGLETRANSLATE(C663,""fr"",""en"")"),"Big reimbursement problems. Do not answer or respond next to the subject. Does not provide a monthly paper statement. I am very unhappy.")</f>
        <v>Big reimbursement problems. Do not answer or respond next to the subject. Does not provide a monthly paper statement. I am very unhappy.</v>
      </c>
    </row>
    <row r="664" ht="15.75" customHeight="1">
      <c r="A664" s="2">
        <v>4.0</v>
      </c>
      <c r="B664" s="2" t="s">
        <v>1897</v>
      </c>
      <c r="C664" s="2" t="s">
        <v>1898</v>
      </c>
      <c r="D664" s="2" t="s">
        <v>26</v>
      </c>
      <c r="E664" s="2" t="s">
        <v>21</v>
      </c>
      <c r="F664" s="2" t="s">
        <v>15</v>
      </c>
      <c r="G664" s="2" t="s">
        <v>1752</v>
      </c>
      <c r="H664" s="2" t="s">
        <v>54</v>
      </c>
      <c r="I664" s="2" t="str">
        <f>IFERROR(__xludf.DUMMYFUNCTION("GOOGLETRANSLATE(C664,""fr"",""en"")"),"Hello,
I phoned an advisor to help me connect to the site.
Thank you for the explanation and time spend with me.
Reactive, understandable, patient.
Cordially")</f>
        <v>Hello,
I phoned an advisor to help me connect to the site.
Thank you for the explanation and time spend with me.
Reactive, understandable, patient.
Cordially</v>
      </c>
    </row>
    <row r="665" ht="15.75" customHeight="1">
      <c r="A665" s="2">
        <v>5.0</v>
      </c>
      <c r="B665" s="2" t="s">
        <v>1899</v>
      </c>
      <c r="C665" s="2" t="s">
        <v>1900</v>
      </c>
      <c r="D665" s="2" t="s">
        <v>31</v>
      </c>
      <c r="E665" s="2" t="s">
        <v>14</v>
      </c>
      <c r="F665" s="2" t="s">
        <v>15</v>
      </c>
      <c r="G665" s="2" t="s">
        <v>519</v>
      </c>
      <c r="H665" s="2" t="s">
        <v>50</v>
      </c>
      <c r="I665" s="2" t="str">
        <f>IFERROR(__xludf.DUMMYFUNCTION("GOOGLETRANSLATE(C665,""fr"",""en"")"),"I am very satisfied, good telephone reception, clear and precise explanations. Good advice.
Simple and practical
Good price
I highly recommend
Thank you")</f>
        <v>I am very satisfied, good telephone reception, clear and precise explanations. Good advice.
Simple and practical
Good price
I highly recommend
Thank you</v>
      </c>
    </row>
    <row r="666" ht="15.75" customHeight="1">
      <c r="A666" s="2">
        <v>1.0</v>
      </c>
      <c r="B666" s="2" t="s">
        <v>1901</v>
      </c>
      <c r="C666" s="2" t="s">
        <v>1902</v>
      </c>
      <c r="D666" s="2" t="s">
        <v>128</v>
      </c>
      <c r="E666" s="2" t="s">
        <v>103</v>
      </c>
      <c r="F666" s="2" t="s">
        <v>15</v>
      </c>
      <c r="G666" s="2" t="s">
        <v>1903</v>
      </c>
      <c r="H666" s="2" t="s">
        <v>54</v>
      </c>
      <c r="I666" s="2" t="str">
        <f>IFERROR(__xludf.DUMMYFUNCTION("GOOGLETRANSLATE(C666,""fr"",""en"")"),"Declaration of water damage on 07/10/21, no news from the insurer who is content to acknowledge receipt. It is still an emergency that impacts your material goods but that does not seem to touch them. I have returned an email with supporting photos, no re"&amp;"sponse. I address a wall.
 There are 20 years of this ... (alas everything changed and bad), they immediately dispatched an expert to assess the damage and the repairs were made quickly. So: efficiency: 0, responsiveness: 0, respect for the customer: 0")</f>
        <v>Declaration of water damage on 07/10/21, no news from the insurer who is content to acknowledge receipt. It is still an emergency that impacts your material goods but that does not seem to touch them. I have returned an email with supporting photos, no response. I address a wall.
 There are 20 years of this ... (alas everything changed and bad), they immediately dispatched an expert to assess the damage and the repairs were made quickly. So: efficiency: 0, responsiveness: 0, respect for the customer: 0</v>
      </c>
    </row>
    <row r="667" ht="15.75" customHeight="1">
      <c r="A667" s="2">
        <v>4.0</v>
      </c>
      <c r="B667" s="2" t="s">
        <v>1904</v>
      </c>
      <c r="C667" s="2" t="s">
        <v>1905</v>
      </c>
      <c r="D667" s="2" t="s">
        <v>74</v>
      </c>
      <c r="E667" s="2" t="s">
        <v>58</v>
      </c>
      <c r="F667" s="2" t="s">
        <v>15</v>
      </c>
      <c r="G667" s="2" t="s">
        <v>301</v>
      </c>
      <c r="H667" s="2" t="s">
        <v>39</v>
      </c>
      <c r="I667" s="2" t="str">
        <f>IFERROR(__xludf.DUMMYFUNCTION("GOOGLETRANSLATE(C667,""fr"",""en"")"),"Fast and easy
I do not know this insurance but I hope that it will meet expectations both in terms of price and customer service
")</f>
        <v>Fast and easy
I do not know this insurance but I hope that it will meet expectations both in terms of price and customer service
</v>
      </c>
    </row>
    <row r="668" ht="15.75" customHeight="1">
      <c r="A668" s="2">
        <v>5.0</v>
      </c>
      <c r="B668" s="2" t="s">
        <v>1906</v>
      </c>
      <c r="C668" s="2" t="s">
        <v>1907</v>
      </c>
      <c r="D668" s="2" t="s">
        <v>13</v>
      </c>
      <c r="E668" s="2" t="s">
        <v>14</v>
      </c>
      <c r="F668" s="2" t="s">
        <v>15</v>
      </c>
      <c r="G668" s="2" t="s">
        <v>1426</v>
      </c>
      <c r="H668" s="2" t="s">
        <v>17</v>
      </c>
      <c r="I668" s="2" t="str">
        <f>IFERROR(__xludf.DUMMYFUNCTION("GOOGLETRANSLATE(C668,""fr"",""en"")"),"This is the first time I have been registering has been fast and clear.
I am waiting to see over the duration, and the methods of reimbursement, or declaration of claim.")</f>
        <v>This is the first time I have been registering has been fast and clear.
I am waiting to see over the duration, and the methods of reimbursement, or declaration of claim.</v>
      </c>
    </row>
    <row r="669" ht="15.75" customHeight="1">
      <c r="A669" s="2">
        <v>5.0</v>
      </c>
      <c r="B669" s="2" t="s">
        <v>1908</v>
      </c>
      <c r="C669" s="2" t="s">
        <v>1909</v>
      </c>
      <c r="D669" s="2" t="s">
        <v>13</v>
      </c>
      <c r="E669" s="2" t="s">
        <v>14</v>
      </c>
      <c r="F669" s="2" t="s">
        <v>15</v>
      </c>
      <c r="G669" s="2" t="s">
        <v>268</v>
      </c>
      <c r="H669" s="2" t="s">
        <v>17</v>
      </c>
      <c r="I669" s="2" t="str">
        <f>IFERROR(__xludf.DUMMYFUNCTION("GOOGLETRANSLATE(C669,""fr"",""en"")"),"I am very satisfied, efficient fast service. Very simple to use. Very pleasant and attentive advisers. Very fast . Bravo and thank you for these very affordable prices")</f>
        <v>I am very satisfied, efficient fast service. Very simple to use. Very pleasant and attentive advisers. Very fast . Bravo and thank you for these very affordable prices</v>
      </c>
    </row>
    <row r="670" ht="15.75" customHeight="1">
      <c r="A670" s="2">
        <v>5.0</v>
      </c>
      <c r="B670" s="2" t="s">
        <v>1910</v>
      </c>
      <c r="C670" s="2" t="s">
        <v>1911</v>
      </c>
      <c r="D670" s="2" t="s">
        <v>13</v>
      </c>
      <c r="E670" s="2" t="s">
        <v>14</v>
      </c>
      <c r="F670" s="2" t="s">
        <v>15</v>
      </c>
      <c r="G670" s="2" t="s">
        <v>1912</v>
      </c>
      <c r="H670" s="2" t="s">
        <v>781</v>
      </c>
      <c r="I670" s="2" t="str">
        <f>IFERROR(__xludf.DUMMYFUNCTION("GOOGLETRANSLATE(C670,""fr"",""en"")"),"Very fast efficient, my vehicle was insured within the hour. Insurance cheaper than that of my partner he had asked me for double with a surplus insurance")</f>
        <v>Very fast efficient, my vehicle was insured within the hour. Insurance cheaper than that of my partner he had asked me for double with a surplus insurance</v>
      </c>
    </row>
    <row r="671" ht="15.75" customHeight="1">
      <c r="A671" s="2">
        <v>5.0</v>
      </c>
      <c r="B671" s="2" t="s">
        <v>1913</v>
      </c>
      <c r="C671" s="2" t="s">
        <v>1914</v>
      </c>
      <c r="D671" s="2" t="s">
        <v>57</v>
      </c>
      <c r="E671" s="2" t="s">
        <v>58</v>
      </c>
      <c r="F671" s="2" t="s">
        <v>15</v>
      </c>
      <c r="G671" s="2" t="s">
        <v>1915</v>
      </c>
      <c r="H671" s="2" t="s">
        <v>50</v>
      </c>
      <c r="I671" s="2" t="str">
        <f>IFERROR(__xludf.DUMMYFUNCTION("GOOGLETRANSLATE(C671,""fr"",""en"")"),"I am satisfied with the service, an easy -to -use platform,
The prices are affordable, a company to recommend without thinking about it.")</f>
        <v>I am satisfied with the service, an easy -to -use platform,
The prices are affordable, a company to recommend without thinking about it.</v>
      </c>
    </row>
    <row r="672" ht="15.75" customHeight="1">
      <c r="A672" s="2">
        <v>2.0</v>
      </c>
      <c r="B672" s="2" t="s">
        <v>1916</v>
      </c>
      <c r="C672" s="2" t="s">
        <v>1917</v>
      </c>
      <c r="D672" s="2" t="s">
        <v>117</v>
      </c>
      <c r="E672" s="2" t="s">
        <v>14</v>
      </c>
      <c r="F672" s="2" t="s">
        <v>15</v>
      </c>
      <c r="G672" s="2" t="s">
        <v>107</v>
      </c>
      <c r="H672" s="2" t="s">
        <v>107</v>
      </c>
      <c r="I672" s="2" t="str">
        <f>IFERROR(__xludf.DUMMYFUNCTION("GOOGLETRANSLATE(C672,""fr"",""en"")"),"I am satisfied with the service, however, I find the prices very high. Indeed, for a 1999 car, I pay a lot when I have a super bonus. ...")</f>
        <v>I am satisfied with the service, however, I find the prices very high. Indeed, for a 1999 car, I pay a lot when I have a super bonus. ...</v>
      </c>
    </row>
    <row r="673" ht="15.75" customHeight="1">
      <c r="A673" s="2">
        <v>3.0</v>
      </c>
      <c r="B673" s="2" t="s">
        <v>1918</v>
      </c>
      <c r="C673" s="2" t="s">
        <v>1919</v>
      </c>
      <c r="D673" s="2" t="s">
        <v>13</v>
      </c>
      <c r="E673" s="2" t="s">
        <v>14</v>
      </c>
      <c r="F673" s="2" t="s">
        <v>15</v>
      </c>
      <c r="G673" s="2" t="s">
        <v>118</v>
      </c>
      <c r="H673" s="2" t="s">
        <v>107</v>
      </c>
      <c r="I673" s="2" t="str">
        <f>IFERROR(__xludf.DUMMYFUNCTION("GOOGLETRANSLATE(C673,""fr"",""en"")"),"I was satisfied with the service but this year the price of my insurance to increase when I had 0 accidents and that my youdrive driving record is good every month.")</f>
        <v>I was satisfied with the service but this year the price of my insurance to increase when I had 0 accidents and that my youdrive driving record is good every month.</v>
      </c>
    </row>
    <row r="674" ht="15.75" customHeight="1">
      <c r="A674" s="2">
        <v>5.0</v>
      </c>
      <c r="B674" s="2" t="s">
        <v>1920</v>
      </c>
      <c r="C674" s="2" t="s">
        <v>1921</v>
      </c>
      <c r="D674" s="2" t="s">
        <v>222</v>
      </c>
      <c r="E674" s="2" t="s">
        <v>21</v>
      </c>
      <c r="F674" s="2" t="s">
        <v>15</v>
      </c>
      <c r="G674" s="2" t="s">
        <v>1922</v>
      </c>
      <c r="H674" s="2" t="s">
        <v>207</v>
      </c>
      <c r="I674" s="2" t="str">
        <f>IFERROR(__xludf.DUMMYFUNCTION("GOOGLETRANSLATE(C674,""fr"",""en"")"),"Alison answered all my questions well and did the necessary immediately.
For my refund a big thank you to her !!!!!!!!!!!!!!!!!!!!!!!!!!!!!!!!!!!!")</f>
        <v>Alison answered all my questions well and did the necessary immediately.
For my refund a big thank you to her !!!!!!!!!!!!!!!!!!!!!!!!!!!!!!!!!!!!</v>
      </c>
    </row>
    <row r="675" ht="15.75" customHeight="1">
      <c r="A675" s="2">
        <v>1.0</v>
      </c>
      <c r="B675" s="2" t="s">
        <v>1923</v>
      </c>
      <c r="C675" s="2" t="s">
        <v>1924</v>
      </c>
      <c r="D675" s="2" t="s">
        <v>102</v>
      </c>
      <c r="E675" s="2" t="s">
        <v>103</v>
      </c>
      <c r="F675" s="2" t="s">
        <v>15</v>
      </c>
      <c r="G675" s="2" t="s">
        <v>1468</v>
      </c>
      <c r="H675" s="2" t="s">
        <v>194</v>
      </c>
      <c r="I675" s="2" t="str">
        <f>IFERROR(__xludf.DUMMYFUNCTION("GOOGLETRANSLATE(C675,""fr"",""en"")"),"We have been customers of MAIF for twenty years for home insurance. The few times we have called upon MAIF (for compensation or for legal protection), we were disappointed.")</f>
        <v>We have been customers of MAIF for twenty years for home insurance. The few times we have called upon MAIF (for compensation or for legal protection), we were disappointed.</v>
      </c>
    </row>
    <row r="676" ht="15.75" customHeight="1">
      <c r="A676" s="2">
        <v>4.0</v>
      </c>
      <c r="B676" s="2" t="s">
        <v>1925</v>
      </c>
      <c r="C676" s="2" t="s">
        <v>1926</v>
      </c>
      <c r="D676" s="2" t="s">
        <v>57</v>
      </c>
      <c r="E676" s="2" t="s">
        <v>58</v>
      </c>
      <c r="F676" s="2" t="s">
        <v>15</v>
      </c>
      <c r="G676" s="2" t="s">
        <v>1172</v>
      </c>
      <c r="H676" s="2" t="s">
        <v>107</v>
      </c>
      <c r="I676" s="2" t="str">
        <f>IFERROR(__xludf.DUMMYFUNCTION("GOOGLETRANSLATE(C676,""fr"",""en"")"),"I am satisfied with the bonus, correct in view of the displacement of the motorcycle. AMV remains for me a reference to advise for all bikers. Responsiveness and good information is still there. CDLT. Mr. Allard Bruno.")</f>
        <v>I am satisfied with the bonus, correct in view of the displacement of the motorcycle. AMV remains for me a reference to advise for all bikers. Responsiveness and good information is still there. CDLT. Mr. Allard Bruno.</v>
      </c>
    </row>
    <row r="677" ht="15.75" customHeight="1">
      <c r="A677" s="2">
        <v>4.0</v>
      </c>
      <c r="B677" s="2" t="s">
        <v>1927</v>
      </c>
      <c r="C677" s="2" t="s">
        <v>1928</v>
      </c>
      <c r="D677" s="2" t="s">
        <v>117</v>
      </c>
      <c r="E677" s="2" t="s">
        <v>14</v>
      </c>
      <c r="F677" s="2" t="s">
        <v>15</v>
      </c>
      <c r="G677" s="2" t="s">
        <v>1929</v>
      </c>
      <c r="H677" s="2" t="s">
        <v>39</v>
      </c>
      <c r="I677" s="2" t="str">
        <f>IFERROR(__xludf.DUMMYFUNCTION("GOOGLETRANSLATE(C677,""fr"",""en"")"),"I am very satisfied with the online GMF service, fast, efficient and simple. Our interlocutors are competent and pleasant. Available. Meets our expectations")</f>
        <v>I am very satisfied with the online GMF service, fast, efficient and simple. Our interlocutors are competent and pleasant. Available. Meets our expectations</v>
      </c>
    </row>
    <row r="678" ht="15.75" customHeight="1">
      <c r="A678" s="2">
        <v>1.0</v>
      </c>
      <c r="B678" s="2" t="s">
        <v>1930</v>
      </c>
      <c r="C678" s="2" t="s">
        <v>1931</v>
      </c>
      <c r="D678" s="2" t="s">
        <v>496</v>
      </c>
      <c r="E678" s="2" t="s">
        <v>21</v>
      </c>
      <c r="F678" s="2" t="s">
        <v>15</v>
      </c>
      <c r="G678" s="2" t="s">
        <v>1932</v>
      </c>
      <c r="H678" s="2" t="s">
        <v>122</v>
      </c>
      <c r="I678" s="2" t="str">
        <f>IFERROR(__xludf.DUMMYFUNCTION("GOOGLETRANSLATE(C678,""fr"",""en"")"),"Absence of portability in the event failure of the employer !!! Termination without compliance with the notice and in the middle of the month, without the possibility of joining another insurance before the beginning of the following month !!! No informat"&amp;"ion by recommended therefore non -compliance with the general conditions !!! Despite the debit of employee contributions, not respecting the codes and charters of the profession ... In short, flee !!!")</f>
        <v>Absence of portability in the event failure of the employer !!! Termination without compliance with the notice and in the middle of the month, without the possibility of joining another insurance before the beginning of the following month !!! No information by recommended therefore non -compliance with the general conditions !!! Despite the debit of employee contributions, not respecting the codes and charters of the profession ... In short, flee !!!</v>
      </c>
    </row>
    <row r="679" ht="15.75" customHeight="1">
      <c r="A679" s="2">
        <v>5.0</v>
      </c>
      <c r="B679" s="2" t="s">
        <v>1933</v>
      </c>
      <c r="C679" s="2" t="s">
        <v>1934</v>
      </c>
      <c r="D679" s="2" t="s">
        <v>222</v>
      </c>
      <c r="E679" s="2" t="s">
        <v>21</v>
      </c>
      <c r="F679" s="2" t="s">
        <v>15</v>
      </c>
      <c r="G679" s="2" t="s">
        <v>321</v>
      </c>
      <c r="H679" s="2" t="s">
        <v>39</v>
      </c>
      <c r="I679" s="2" t="str">
        <f>IFERROR(__xludf.DUMMYFUNCTION("GOOGLETRANSLATE(C679,""fr"",""en"")"),"Soukaina is very welcoming, kind, courteous and kind. I had a clarity of all my questions. Frankly at the top of Soukaina tops. I recommend it to you")</f>
        <v>Soukaina is very welcoming, kind, courteous and kind. I had a clarity of all my questions. Frankly at the top of Soukaina tops. I recommend it to you</v>
      </c>
    </row>
    <row r="680" ht="15.75" customHeight="1">
      <c r="A680" s="2">
        <v>5.0</v>
      </c>
      <c r="B680" s="2" t="s">
        <v>1935</v>
      </c>
      <c r="C680" s="2" t="s">
        <v>1936</v>
      </c>
      <c r="D680" s="2" t="s">
        <v>13</v>
      </c>
      <c r="E680" s="2" t="s">
        <v>14</v>
      </c>
      <c r="F680" s="2" t="s">
        <v>15</v>
      </c>
      <c r="G680" s="2" t="s">
        <v>543</v>
      </c>
      <c r="H680" s="2" t="s">
        <v>17</v>
      </c>
      <c r="I680" s="2" t="str">
        <f>IFERROR(__xludf.DUMMYFUNCTION("GOOGLETRANSLATE(C680,""fr"",""en"")"),"I am satisfied with the price and responsiveness report of salespeople.
I am completely happy I am completely happy
I am completely happy
")</f>
        <v>I am satisfied with the price and responsiveness report of salespeople.
I am completely happy I am completely happy
I am completely happy
</v>
      </c>
    </row>
    <row r="681" ht="15.75" customHeight="1">
      <c r="A681" s="2">
        <v>1.0</v>
      </c>
      <c r="B681" s="2" t="s">
        <v>1937</v>
      </c>
      <c r="C681" s="2" t="s">
        <v>1938</v>
      </c>
      <c r="D681" s="2" t="s">
        <v>157</v>
      </c>
      <c r="E681" s="2" t="s">
        <v>21</v>
      </c>
      <c r="F681" s="2" t="s">
        <v>15</v>
      </c>
      <c r="G681" s="2" t="s">
        <v>405</v>
      </c>
      <c r="H681" s="2" t="s">
        <v>23</v>
      </c>
      <c r="I681" s="2" t="str">
        <f>IFERROR(__xludf.DUMMYFUNCTION("GOOGLETRANSLATE(C681,""fr"",""en"")"),"To flee, alas I must continue with them because it is a compulsory group. Otherwise I would go to see elsewhere. Too long reimbursement times, error on the amount of reimbursements. I contribute in a comfort formula and I have a refund based on the econom"&amp;"ic formula ..... Find the error !!! Invoice sent in November 2020 and problem still not solved to date !! A shame !!! No response to emails, a very evasive response on the phone ""your file is underway"", ""we are going back up the information"", ""longer"&amp;" deadlines linked to the COVVI-19"". By cons no delay to collect contributions !!!!!!!!! Really we don't care about the insured royally.")</f>
        <v>To flee, alas I must continue with them because it is a compulsory group. Otherwise I would go to see elsewhere. Too long reimbursement times, error on the amount of reimbursements. I contribute in a comfort formula and I have a refund based on the economic formula ..... Find the error !!! Invoice sent in November 2020 and problem still not solved to date !! A shame !!! No response to emails, a very evasive response on the phone "your file is underway", "we are going back up the information", "longer deadlines linked to the COVVI-19". By cons no delay to collect contributions !!!!!!!!! Really we don't care about the insured royally.</v>
      </c>
    </row>
    <row r="682" ht="15.75" customHeight="1">
      <c r="A682" s="2">
        <v>4.0</v>
      </c>
      <c r="B682" s="2" t="s">
        <v>1939</v>
      </c>
      <c r="C682" s="2" t="s">
        <v>1940</v>
      </c>
      <c r="D682" s="2" t="s">
        <v>84</v>
      </c>
      <c r="E682" s="2" t="s">
        <v>14</v>
      </c>
      <c r="F682" s="2" t="s">
        <v>15</v>
      </c>
      <c r="G682" s="2" t="s">
        <v>1941</v>
      </c>
      <c r="H682" s="2" t="s">
        <v>130</v>
      </c>
      <c r="I682" s="2" t="str">
        <f>IFERROR(__xludf.DUMMYFUNCTION("GOOGLETRANSLATE(C682,""fr"",""en"")"),"Insurance is always too expensive. This year particularly because the car will have rolled very little with the health restrictions. For the moment no declared claim. Advisors available easy to reach.")</f>
        <v>Insurance is always too expensive. This year particularly because the car will have rolled very little with the health restrictions. For the moment no declared claim. Advisors available easy to reach.</v>
      </c>
    </row>
    <row r="683" ht="15.75" customHeight="1">
      <c r="A683" s="2">
        <v>5.0</v>
      </c>
      <c r="B683" s="2" t="s">
        <v>1942</v>
      </c>
      <c r="C683" s="2" t="s">
        <v>1943</v>
      </c>
      <c r="D683" s="2" t="s">
        <v>13</v>
      </c>
      <c r="E683" s="2" t="s">
        <v>14</v>
      </c>
      <c r="F683" s="2" t="s">
        <v>15</v>
      </c>
      <c r="G683" s="2" t="s">
        <v>1944</v>
      </c>
      <c r="H683" s="2" t="s">
        <v>39</v>
      </c>
      <c r="I683" s="2" t="str">
        <f>IFERROR(__xludf.DUMMYFUNCTION("GOOGLETRANSLATE(C683,""fr"",""en"")"),"The prices and the services offered suit me perfectly. Much cheaper than my previous insurance. The termination service of the old insurance is super practical.")</f>
        <v>The prices and the services offered suit me perfectly. Much cheaper than my previous insurance. The termination service of the old insurance is super practical.</v>
      </c>
    </row>
    <row r="684" ht="15.75" customHeight="1">
      <c r="A684" s="2">
        <v>1.0</v>
      </c>
      <c r="B684" s="2" t="s">
        <v>1945</v>
      </c>
      <c r="C684" s="2" t="s">
        <v>1946</v>
      </c>
      <c r="D684" s="2" t="s">
        <v>1807</v>
      </c>
      <c r="E684" s="2" t="s">
        <v>103</v>
      </c>
      <c r="F684" s="2" t="s">
        <v>15</v>
      </c>
      <c r="G684" s="2" t="s">
        <v>1947</v>
      </c>
      <c r="H684" s="2" t="s">
        <v>295</v>
      </c>
      <c r="I684" s="2" t="str">
        <f>IFERROR(__xludf.DUMMYFUNCTION("GOOGLETRANSLATE(C684,""fr"",""en"")"),"During my house. Insurance has increased by 200 euros.
Following my refusal to pay this increase. He resilled me and yet he had already received the annual contribution of the home entirely and on this insurance he owes me 5 .88. This means that my subsc"&amp;"ription is paying for the year.
My car insurance has increased and this insurance that I refuse to pay. And yet they cashed the annual subscription when my car was at my old home.
Well, they have resilled car insurance and home insurance.
This insuranc"&amp;"e I do not advise you.
. Mix the contracts and blocks all the files even those in the rule.
Catastrophic. Make fuel fuel
")</f>
        <v>During my house. Insurance has increased by 200 euros.
Following my refusal to pay this increase. He resilled me and yet he had already received the annual contribution of the home entirely and on this insurance he owes me 5 .88. This means that my subscription is paying for the year.
My car insurance has increased and this insurance that I refuse to pay. And yet they cashed the annual subscription when my car was at my old home.
Well, they have resilled car insurance and home insurance.
This insurance I do not advise you.
. Mix the contracts and blocks all the files even those in the rule.
Catastrophic. Make fuel fuel
</v>
      </c>
    </row>
    <row r="685" ht="15.75" customHeight="1">
      <c r="A685" s="2">
        <v>5.0</v>
      </c>
      <c r="B685" s="2" t="s">
        <v>1948</v>
      </c>
      <c r="C685" s="2" t="s">
        <v>1949</v>
      </c>
      <c r="D685" s="2" t="s">
        <v>256</v>
      </c>
      <c r="E685" s="2" t="s">
        <v>1950</v>
      </c>
      <c r="F685" s="2" t="s">
        <v>15</v>
      </c>
      <c r="G685" s="2" t="s">
        <v>1027</v>
      </c>
      <c r="H685" s="2" t="s">
        <v>50</v>
      </c>
      <c r="I685" s="2" t="str">
        <f>IFERROR(__xludf.DUMMYFUNCTION("GOOGLETRANSLATE(C685,""fr"",""en"")"),"Hello everyone I am sorry for all those who are still waiting for the processing of their file concerning Allianz and Tego.
But me personally it is going very quickly and above all being very bad I did not even know my rights it is Tego who contacted me "&amp;"and who did all the steps by guiding me on the documents to be provided ..... So I don't know if it will continue ... but for the moment and my case very good insurance ...... who bcp help and who still helps me today")</f>
        <v>Hello everyone I am sorry for all those who are still waiting for the processing of their file concerning Allianz and Tego.
But me personally it is going very quickly and above all being very bad I did not even know my rights it is Tego who contacted me and who did all the steps by guiding me on the documents to be provided ..... So I don't know if it will continue ... but for the moment and my case very good insurance ...... who bcp help and who still helps me today</v>
      </c>
    </row>
    <row r="686" ht="15.75" customHeight="1">
      <c r="A686" s="2">
        <v>4.0</v>
      </c>
      <c r="B686" s="2" t="s">
        <v>1951</v>
      </c>
      <c r="C686" s="2" t="s">
        <v>1952</v>
      </c>
      <c r="D686" s="2" t="s">
        <v>13</v>
      </c>
      <c r="E686" s="2" t="s">
        <v>14</v>
      </c>
      <c r="F686" s="2" t="s">
        <v>15</v>
      </c>
      <c r="G686" s="2" t="s">
        <v>165</v>
      </c>
      <c r="H686" s="2" t="s">
        <v>17</v>
      </c>
      <c r="I686" s="2" t="str">
        <f>IFERROR(__xludf.DUMMYFUNCTION("GOOGLETRANSLATE(C686,""fr"",""en"")"),"I am satisfied with the telephone reception made today, the guarantees offered by my interlocutor, prices and guarantees offered.
")</f>
        <v>I am satisfied with the telephone reception made today, the guarantees offered by my interlocutor, prices and guarantees offered.
</v>
      </c>
    </row>
    <row r="687" ht="15.75" customHeight="1">
      <c r="A687" s="2">
        <v>4.0</v>
      </c>
      <c r="B687" s="2" t="s">
        <v>1953</v>
      </c>
      <c r="C687" s="2" t="s">
        <v>1954</v>
      </c>
      <c r="D687" s="2" t="s">
        <v>31</v>
      </c>
      <c r="E687" s="2" t="s">
        <v>14</v>
      </c>
      <c r="F687" s="2" t="s">
        <v>15</v>
      </c>
      <c r="G687" s="2" t="s">
        <v>1955</v>
      </c>
      <c r="H687" s="2" t="s">
        <v>76</v>
      </c>
      <c r="I687" s="2" t="str">
        <f>IFERROR(__xludf.DUMMYFUNCTION("GOOGLETRANSLATE(C687,""fr"",""en"")"),"Difficult to judge my satisfaction with the Olivier insurance now.
This will be appreciated over time and with the quality of service and responsiveness.")</f>
        <v>Difficult to judge my satisfaction with the Olivier insurance now.
This will be appreciated over time and with the quality of service and responsiveness.</v>
      </c>
    </row>
    <row r="688" ht="15.75" customHeight="1">
      <c r="A688" s="2">
        <v>5.0</v>
      </c>
      <c r="B688" s="2" t="s">
        <v>1956</v>
      </c>
      <c r="C688" s="2" t="s">
        <v>1957</v>
      </c>
      <c r="D688" s="2" t="s">
        <v>26</v>
      </c>
      <c r="E688" s="2" t="s">
        <v>21</v>
      </c>
      <c r="F688" s="2" t="s">
        <v>15</v>
      </c>
      <c r="G688" s="2" t="s">
        <v>913</v>
      </c>
      <c r="H688" s="2" t="s">
        <v>107</v>
      </c>
      <c r="I688" s="2" t="str">
        <f>IFERROR(__xludf.DUMMYFUNCTION("GOOGLETRANSLATE(C688,""fr"",""en"")"),"Thank you to Nisrine Aimable Person very pleasant is Proffessional I guide for my cancellation contract super nothing to say my request to be treated thank you for her help on the customer service site neoliane belle j a vous delannoy Nathalie")</f>
        <v>Thank you to Nisrine Aimable Person very pleasant is Proffessional I guide for my cancellation contract super nothing to say my request to be treated thank you for her help on the customer service site neoliane belle j a vous delannoy Nathalie</v>
      </c>
    </row>
    <row r="689" ht="15.75" customHeight="1">
      <c r="A689" s="2">
        <v>4.0</v>
      </c>
      <c r="B689" s="2" t="s">
        <v>1958</v>
      </c>
      <c r="C689" s="2" t="s">
        <v>1959</v>
      </c>
      <c r="D689" s="2" t="s">
        <v>31</v>
      </c>
      <c r="E689" s="2" t="s">
        <v>14</v>
      </c>
      <c r="F689" s="2" t="s">
        <v>15</v>
      </c>
      <c r="G689" s="2" t="s">
        <v>200</v>
      </c>
      <c r="H689" s="2" t="s">
        <v>107</v>
      </c>
      <c r="I689" s="2" t="str">
        <f>IFERROR(__xludf.DUMMYFUNCTION("GOOGLETRANSLATE(C689,""fr"",""en"")"),"So there is good .... and less good: after a year without any disaster, increase of more than € 100 of the annual premium ... Response to the phone: in your geographic sector, the claims are Coming on ... I replied that this was not my problem, suddenly a"&amp;" drop was granted to me, that is to me ... but by making a comparison on the web, the Olivier offers, as a new Customer, a price lower than that which I paid for the first year of insurance, and therefore largely lower than the contribution requested for "&amp;"2021-2022. Conclusion: At maturity 2022, I resilled without negotiation because I have the unpleasant feeling of being taken for a C .....")</f>
        <v>So there is good .... and less good: after a year without any disaster, increase of more than € 100 of the annual premium ... Response to the phone: in your geographic sector, the claims are Coming on ... I replied that this was not my problem, suddenly a drop was granted to me, that is to me ... but by making a comparison on the web, the Olivier offers, as a new Customer, a price lower than that which I paid for the first year of insurance, and therefore largely lower than the contribution requested for 2021-2022. Conclusion: At maturity 2022, I resilled without negotiation because I have the unpleasant feeling of being taken for a C .....</v>
      </c>
    </row>
    <row r="690" ht="15.75" customHeight="1">
      <c r="A690" s="2">
        <v>5.0</v>
      </c>
      <c r="B690" s="2" t="s">
        <v>1960</v>
      </c>
      <c r="C690" s="2" t="s">
        <v>1961</v>
      </c>
      <c r="D690" s="2" t="s">
        <v>128</v>
      </c>
      <c r="E690" s="2" t="s">
        <v>14</v>
      </c>
      <c r="F690" s="2" t="s">
        <v>15</v>
      </c>
      <c r="G690" s="2" t="s">
        <v>1962</v>
      </c>
      <c r="H690" s="2" t="s">
        <v>28</v>
      </c>
      <c r="I690" s="2" t="str">
        <f>IFERROR(__xludf.DUMMYFUNCTION("GOOGLETRANSLATE(C690,""fr"",""en"")"),"Being at the Matmut for more than 6 years, I have nothing to blame them, I also moved in the 95 and I was able to keep my Arpajon agency (91) or the team is top!
Unfortunately, I had to open my first claim this month following the flight of my vehicle.
"&amp;"The file is under investigation but the matmut is responsive and responds very well to my questions :)
I will update my notation with REDEX once my disaster is closed, but I advise you this insurance.
I did a few months (1 year) at Direct Insurance for "&amp;"a non -occupying owner contract and it is less ..... human, and the less interesting prices.")</f>
        <v>Being at the Matmut for more than 6 years, I have nothing to blame them, I also moved in the 95 and I was able to keep my Arpajon agency (91) or the team is top!
Unfortunately, I had to open my first claim this month following the flight of my vehicle.
The file is under investigation but the matmut is responsive and responds very well to my questions :)
I will update my notation with REDEX once my disaster is closed, but I advise you this insurance.
I did a few months (1 year) at Direct Insurance for a non -occupying owner contract and it is less ..... human, and the less interesting prices.</v>
      </c>
    </row>
    <row r="691" ht="15.75" customHeight="1">
      <c r="A691" s="2">
        <v>5.0</v>
      </c>
      <c r="B691" s="2" t="s">
        <v>1963</v>
      </c>
      <c r="C691" s="2" t="s">
        <v>1964</v>
      </c>
      <c r="D691" s="2" t="s">
        <v>1965</v>
      </c>
      <c r="E691" s="2" t="s">
        <v>37</v>
      </c>
      <c r="F691" s="2" t="s">
        <v>15</v>
      </c>
      <c r="G691" s="2" t="s">
        <v>213</v>
      </c>
      <c r="H691" s="2" t="s">
        <v>130</v>
      </c>
      <c r="I691" s="2" t="str">
        <f>IFERROR(__xludf.DUMMYFUNCTION("GOOGLETRANSLATE(C691,""fr"",""en"")"),"I highly recommend Assur O'Poil for the following reasons:
* Very professional telephone reception, kind and above all attentive
* Correct price 3 prices proposals and with detail explicit services
* Sending treatment sheets by email
* Quick treatment"&amp;" and reimbursement
* Ensures dogs even if they are 9 years old and more and until the end
* And above all French insurance with offices in France and a number of such which begins with 01.
")</f>
        <v>I highly recommend Assur O'Poil for the following reasons:
* Very professional telephone reception, kind and above all attentive
* Correct price 3 prices proposals and with detail explicit services
* Sending treatment sheets by email
* Quick treatment and reimbursement
* Ensures dogs even if they are 9 years old and more and until the end
* And above all French insurance with offices in France and a number of such which begins with 01.
</v>
      </c>
    </row>
    <row r="692" ht="15.75" customHeight="1">
      <c r="A692" s="2">
        <v>1.0</v>
      </c>
      <c r="B692" s="2" t="s">
        <v>1966</v>
      </c>
      <c r="C692" s="2" t="s">
        <v>1967</v>
      </c>
      <c r="D692" s="2" t="s">
        <v>496</v>
      </c>
      <c r="E692" s="2" t="s">
        <v>21</v>
      </c>
      <c r="F692" s="2" t="s">
        <v>15</v>
      </c>
      <c r="G692" s="2" t="s">
        <v>1209</v>
      </c>
      <c r="H692" s="2" t="s">
        <v>17</v>
      </c>
      <c r="I692" s="2" t="str">
        <f>IFERROR(__xludf.DUMMYFUNCTION("GOOGLETRANSLATE(C692,""fr"",""en"")"),"I am dismayed to read all these messages which confirm what I think of this mutual !! I do not know if there are other cases similar to mine ... a few weeks ago I made an online simul to have Info on pricing and services offered of course I was contacted "&amp;"by a lot of mutuals I asked for information from each other and I had the unconsciousness to give information by phone in particular I have always indicated on the phone my banking iban But it was all of it received by email a contract I have absolutely s"&amp;"igned nothing referred !!!! They made it as if I was a member sent me the 2 cards for my wife and me !!! And the height they have just presented The 1st deadline on my account when I pointed out to them that did not follow up on their proposal ...... I on"&amp;"ly have to make scandalous opposition")</f>
        <v>I am dismayed to read all these messages which confirm what I think of this mutual !! I do not know if there are other cases similar to mine ... a few weeks ago I made an online simul to have Info on pricing and services offered of course I was contacted by a lot of mutuals I asked for information from each other and I had the unconsciousness to give information by phone in particular I have always indicated on the phone my banking iban But it was all of it received by email a contract I have absolutely signed nothing referred !!!! They made it as if I was a member sent me the 2 cards for my wife and me !!! And the height they have just presented The 1st deadline on my account when I pointed out to them that did not follow up on their proposal ...... I only have to make scandalous opposition</v>
      </c>
    </row>
    <row r="693" ht="15.75" customHeight="1">
      <c r="A693" s="2">
        <v>3.0</v>
      </c>
      <c r="B693" s="2" t="s">
        <v>1968</v>
      </c>
      <c r="C693" s="2" t="s">
        <v>1969</v>
      </c>
      <c r="D693" s="2" t="s">
        <v>13</v>
      </c>
      <c r="E693" s="2" t="s">
        <v>103</v>
      </c>
      <c r="F693" s="2" t="s">
        <v>15</v>
      </c>
      <c r="G693" s="2" t="s">
        <v>1970</v>
      </c>
      <c r="H693" s="2" t="s">
        <v>142</v>
      </c>
      <c r="I693" s="2" t="str">
        <f>IFERROR(__xludf.DUMMYFUNCTION("GOOGLETRANSLATE(C693,""fr"",""en"")"),"Unreachable on the phone .............. for an online bank you have to do it! I really regret having subscribed to Direct Insurance and as soon as possible I flee ..............")</f>
        <v>Unreachable on the phone .............. for an online bank you have to do it! I really regret having subscribed to Direct Insurance and as soon as possible I flee ..............</v>
      </c>
    </row>
    <row r="694" ht="15.75" customHeight="1">
      <c r="A694" s="2">
        <v>5.0</v>
      </c>
      <c r="B694" s="2" t="s">
        <v>1971</v>
      </c>
      <c r="C694" s="2" t="s">
        <v>1972</v>
      </c>
      <c r="D694" s="2" t="s">
        <v>31</v>
      </c>
      <c r="E694" s="2" t="s">
        <v>14</v>
      </c>
      <c r="F694" s="2" t="s">
        <v>15</v>
      </c>
      <c r="G694" s="2" t="s">
        <v>1973</v>
      </c>
      <c r="H694" s="2" t="s">
        <v>60</v>
      </c>
      <c r="I694" s="2" t="str">
        <f>IFERROR(__xludf.DUMMYFUNCTION("GOOGLETRANSLATE(C694,""fr"",""en"")"),"Very satisfactory price for the moment now you have to see how it goes in the event of a disaster, if it is still satisfactory or not. Thank you.")</f>
        <v>Very satisfactory price for the moment now you have to see how it goes in the event of a disaster, if it is still satisfactory or not. Thank you.</v>
      </c>
    </row>
    <row r="695" ht="15.75" customHeight="1">
      <c r="A695" s="2">
        <v>5.0</v>
      </c>
      <c r="B695" s="2" t="s">
        <v>1974</v>
      </c>
      <c r="C695" s="2" t="s">
        <v>1975</v>
      </c>
      <c r="D695" s="2" t="s">
        <v>31</v>
      </c>
      <c r="E695" s="2" t="s">
        <v>14</v>
      </c>
      <c r="F695" s="2" t="s">
        <v>15</v>
      </c>
      <c r="G695" s="2" t="s">
        <v>646</v>
      </c>
      <c r="H695" s="2" t="s">
        <v>33</v>
      </c>
      <c r="I695" s="2" t="str">
        <f>IFERROR(__xludf.DUMMYFUNCTION("GOOGLETRANSLATE(C695,""fr"",""en"")"),"I am satisfied by prices and services.
I have been insured with the olive tree since 2017 for my vehicles and I am very satisfied with prices and services
I recommend")</f>
        <v>I am satisfied by prices and services.
I have been insured with the olive tree since 2017 for my vehicles and I am very satisfied with prices and services
I recommend</v>
      </c>
    </row>
    <row r="696" ht="15.75" customHeight="1">
      <c r="A696" s="2">
        <v>4.0</v>
      </c>
      <c r="B696" s="2" t="s">
        <v>1976</v>
      </c>
      <c r="C696" s="2" t="s">
        <v>1977</v>
      </c>
      <c r="D696" s="2" t="s">
        <v>13</v>
      </c>
      <c r="E696" s="2" t="s">
        <v>14</v>
      </c>
      <c r="F696" s="2" t="s">
        <v>15</v>
      </c>
      <c r="G696" s="2" t="s">
        <v>1243</v>
      </c>
      <c r="H696" s="2" t="s">
        <v>60</v>
      </c>
      <c r="I696" s="2" t="str">
        <f>IFERROR(__xludf.DUMMYFUNCTION("GOOGLETRANSLATE(C696,""fr"",""en"")"),"Lots of very practical options available like broken ice without deductible.
Competitive price and very simple to subscribe.
I recommend this insurer.")</f>
        <v>Lots of very practical options available like broken ice without deductible.
Competitive price and very simple to subscribe.
I recommend this insurer.</v>
      </c>
    </row>
    <row r="697" ht="15.75" customHeight="1">
      <c r="A697" s="2">
        <v>4.0</v>
      </c>
      <c r="B697" s="2" t="s">
        <v>1978</v>
      </c>
      <c r="C697" s="2" t="s">
        <v>1979</v>
      </c>
      <c r="D697" s="2" t="s">
        <v>31</v>
      </c>
      <c r="E697" s="2" t="s">
        <v>14</v>
      </c>
      <c r="F697" s="2" t="s">
        <v>15</v>
      </c>
      <c r="G697" s="2" t="s">
        <v>313</v>
      </c>
      <c r="H697" s="2" t="s">
        <v>313</v>
      </c>
      <c r="I697" s="2" t="str">
        <f>IFERROR(__xludf.DUMMYFUNCTION("GOOGLETRANSLATE(C697,""fr"",""en"")"),"I was looking for internet insurance for a new vehicle, I received a proposal very quickly that I was able to adjust to my needs by Lolivier. Once the contract is concluded, the documents of the documents was very simple and quick. I needed to ask a quest"&amp;"ion the answer was not long in coming. A person called me to find out if everything was going well. I am fully satisfied to have signed with this company.")</f>
        <v>I was looking for internet insurance for a new vehicle, I received a proposal very quickly that I was able to adjust to my needs by Lolivier. Once the contract is concluded, the documents of the documents was very simple and quick. I needed to ask a question the answer was not long in coming. A person called me to find out if everything was going well. I am fully satisfied to have signed with this company.</v>
      </c>
    </row>
    <row r="698" ht="15.75" customHeight="1">
      <c r="A698" s="2">
        <v>1.0</v>
      </c>
      <c r="B698" s="2" t="s">
        <v>1980</v>
      </c>
      <c r="C698" s="2" t="s">
        <v>1981</v>
      </c>
      <c r="D698" s="2" t="s">
        <v>256</v>
      </c>
      <c r="E698" s="2" t="s">
        <v>14</v>
      </c>
      <c r="F698" s="2" t="s">
        <v>15</v>
      </c>
      <c r="G698" s="2" t="s">
        <v>248</v>
      </c>
      <c r="H698" s="2" t="s">
        <v>249</v>
      </c>
      <c r="I698" s="2" t="str">
        <f>IFERROR(__xludf.DUMMYFUNCTION("GOOGLETRANSLATE(C698,""fr"",""en"")"),"Watch out for the subscription of an online allianz car insurance (Eallianz).
I declared 1 year of bonus 50% and sent the documents.
Allianz returns an amendment to me with an increase in prices telling myself that I declared 2 years of bonus.
Fortunat"&amp;"ely, I had made a screenshot that shows that I chose 1 year well.
3 telephone calls and each time 10 to 23 minutes of waiting.
A connection to the impossible customer area and I am answered: to connect, you should not copy and paste the email address "&amp;"or password!
I sent a complaint email and my screen copy. I hope they will answer me and not in 1 month.
This is my situation 1 day after having subscribed. Great !!")</f>
        <v>Watch out for the subscription of an online allianz car insurance (Eallianz).
I declared 1 year of bonus 50% and sent the documents.
Allianz returns an amendment to me with an increase in prices telling myself that I declared 2 years of bonus.
Fortunately, I had made a screenshot that shows that I chose 1 year well.
3 telephone calls and each time 10 to 23 minutes of waiting.
A connection to the impossible customer area and I am answered: to connect, you should not copy and paste the email address or password!
I sent a complaint email and my screen copy. I hope they will answer me and not in 1 month.
This is my situation 1 day after having subscribed. Great !!</v>
      </c>
    </row>
    <row r="699" ht="15.75" customHeight="1">
      <c r="A699" s="2">
        <v>1.0</v>
      </c>
      <c r="B699" s="2" t="s">
        <v>1982</v>
      </c>
      <c r="C699" s="2" t="s">
        <v>1983</v>
      </c>
      <c r="D699" s="2" t="s">
        <v>1807</v>
      </c>
      <c r="E699" s="2" t="s">
        <v>103</v>
      </c>
      <c r="F699" s="2" t="s">
        <v>15</v>
      </c>
      <c r="G699" s="2" t="s">
        <v>1984</v>
      </c>
      <c r="H699" s="2" t="s">
        <v>992</v>
      </c>
      <c r="I699" s="2" t="str">
        <f>IFERROR(__xludf.DUMMYFUNCTION("GOOGLETRANSLATE(C699,""fr"",""en"")"),"Insurer for those who have no problems or sinister
I was robbed in March and to date no return no compensation
I spent two days fighting to reach them in order to obtain the intervention of a locksmith if not no door at my home but it does not worry any"&amp;"one at Sogessur that a family with an infant spends several nights with a vandalized door that no longer closes in Marseille
unreachable service that does not feel concerned
Yet I am employed Société Générale when it is said that the shoemakers are the "&amp;"most ill -fitted it is true the price without the reduction used is high for a quality of mediocre service and say that we are forced to sell this insurance every day is A scandal I am ashamed of our customers")</f>
        <v>Insurer for those who have no problems or sinister
I was robbed in March and to date no return no compensation
I spent two days fighting to reach them in order to obtain the intervention of a locksmith if not no door at my home but it does not worry anyone at Sogessur that a family with an infant spends several nights with a vandalized door that no longer closes in Marseille
unreachable service that does not feel concerned
Yet I am employed Société Générale when it is said that the shoemakers are the most ill -fitted it is true the price without the reduction used is high for a quality of mediocre service and say that we are forced to sell this insurance every day is A scandal I am ashamed of our customers</v>
      </c>
    </row>
    <row r="700" ht="15.75" customHeight="1">
      <c r="A700" s="2">
        <v>5.0</v>
      </c>
      <c r="B700" s="2" t="s">
        <v>1985</v>
      </c>
      <c r="C700" s="2" t="s">
        <v>1986</v>
      </c>
      <c r="D700" s="2" t="s">
        <v>240</v>
      </c>
      <c r="E700" s="2" t="s">
        <v>241</v>
      </c>
      <c r="F700" s="2" t="s">
        <v>15</v>
      </c>
      <c r="G700" s="2" t="s">
        <v>1987</v>
      </c>
      <c r="H700" s="2" t="s">
        <v>184</v>
      </c>
      <c r="I700" s="2" t="str">
        <f>IFERROR(__xludf.DUMMYFUNCTION("GOOGLETRANSLATE(C700,""fr"",""en"")"),"Efficient service, proposal for alternative solutions, relationship with a single advisor that follows the file.
simple and clear digital platform.")</f>
        <v>Efficient service, proposal for alternative solutions, relationship with a single advisor that follows the file.
simple and clear digital platform.</v>
      </c>
    </row>
    <row r="701" ht="15.75" customHeight="1">
      <c r="A701" s="2">
        <v>5.0</v>
      </c>
      <c r="B701" s="2" t="s">
        <v>1988</v>
      </c>
      <c r="C701" s="2" t="s">
        <v>1989</v>
      </c>
      <c r="D701" s="2" t="s">
        <v>240</v>
      </c>
      <c r="E701" s="2" t="s">
        <v>241</v>
      </c>
      <c r="F701" s="2" t="s">
        <v>15</v>
      </c>
      <c r="G701" s="2" t="s">
        <v>1990</v>
      </c>
      <c r="H701" s="2" t="s">
        <v>76</v>
      </c>
      <c r="I701" s="2" t="str">
        <f>IFERROR(__xludf.DUMMYFUNCTION("GOOGLETRANSLATE(C701,""fr"",""en"")"),"Very good value for money.
Competent and attentive staff.
I recommend this type of insurance.
Ease of implementation and follow -up.
Successful change")</f>
        <v>Very good value for money.
Competent and attentive staff.
I recommend this type of insurance.
Ease of implementation and follow -up.
Successful change</v>
      </c>
    </row>
    <row r="702" ht="15.75" customHeight="1">
      <c r="A702" s="2">
        <v>4.0</v>
      </c>
      <c r="B702" s="2" t="s">
        <v>1991</v>
      </c>
      <c r="C702" s="2" t="s">
        <v>1992</v>
      </c>
      <c r="D702" s="2" t="s">
        <v>13</v>
      </c>
      <c r="E702" s="2" t="s">
        <v>14</v>
      </c>
      <c r="F702" s="2" t="s">
        <v>15</v>
      </c>
      <c r="G702" s="2" t="s">
        <v>114</v>
      </c>
      <c r="H702" s="2" t="s">
        <v>50</v>
      </c>
      <c r="I702" s="2" t="str">
        <f>IFERROR(__xludf.DUMMYFUNCTION("GOOGLETRANSLATE(C702,""fr"",""en"")"),"Satisfied. To see later,
Hoping to have only good relationship with your brand in the coming years.
With that, very good day to you.")</f>
        <v>Satisfied. To see later,
Hoping to have only good relationship with your brand in the coming years.
With that, very good day to you.</v>
      </c>
    </row>
    <row r="703" ht="15.75" customHeight="1">
      <c r="A703" s="2">
        <v>1.0</v>
      </c>
      <c r="B703" s="2" t="s">
        <v>1993</v>
      </c>
      <c r="C703" s="2" t="s">
        <v>1994</v>
      </c>
      <c r="D703" s="2" t="s">
        <v>31</v>
      </c>
      <c r="E703" s="2" t="s">
        <v>14</v>
      </c>
      <c r="F703" s="2" t="s">
        <v>15</v>
      </c>
      <c r="G703" s="2" t="s">
        <v>1995</v>
      </c>
      <c r="H703" s="2" t="s">
        <v>76</v>
      </c>
      <c r="I703" s="2" t="str">
        <f>IFERROR(__xludf.DUMMYFUNCTION("GOOGLETRANSLATE(C703,""fr"",""en"")"),"To flee !!!!
Having had a concern with my car which dates from October 2020 .. I am still not compensated and we are in April 2021 !!! ...
They drag things .... Despite several calls, impossible to reach the service concerned, it hangs up all the time ."&amp;"..
The last person we had told us that we would be compensated soon ... without having previously offered an amount ... amount that we have still not received ... !!
We are still paying car insurance when we haven't had it for 6 months ...
So to claim "&amp;"their due, they are champions, but to take care of real victims, there is no one anymore !!!!
Never go, or ...... don't worry !!")</f>
        <v>To flee !!!!
Having had a concern with my car which dates from October 2020 .. I am still not compensated and we are in April 2021 !!! ...
They drag things .... Despite several calls, impossible to reach the service concerned, it hangs up all the time ...
The last person we had told us that we would be compensated soon ... without having previously offered an amount ... amount that we have still not received ... !!
We are still paying car insurance when we haven't had it for 6 months ...
So to claim their due, they are champions, but to take care of real victims, there is no one anymore !!!!
Never go, or ...... don't worry !!</v>
      </c>
    </row>
    <row r="704" ht="15.75" customHeight="1">
      <c r="A704" s="2">
        <v>4.0</v>
      </c>
      <c r="B704" s="2" t="s">
        <v>1996</v>
      </c>
      <c r="C704" s="2" t="s">
        <v>1997</v>
      </c>
      <c r="D704" s="2" t="s">
        <v>13</v>
      </c>
      <c r="E704" s="2" t="s">
        <v>14</v>
      </c>
      <c r="F704" s="2" t="s">
        <v>15</v>
      </c>
      <c r="G704" s="2" t="s">
        <v>1998</v>
      </c>
      <c r="H704" s="2" t="s">
        <v>76</v>
      </c>
      <c r="I704" s="2" t="str">
        <f>IFERROR(__xludf.DUMMYFUNCTION("GOOGLETRANSLATE(C704,""fr"",""en"")"),"It is amazing that to ensure my second large displacement vehicle in all risks this triples the price while making carpooling with it. I had to return to Crédit Mutuel to have a price that is lower.")</f>
        <v>It is amazing that to ensure my second large displacement vehicle in all risks this triples the price while making carpooling with it. I had to return to Crédit Mutuel to have a price that is lower.</v>
      </c>
    </row>
    <row r="705" ht="15.75" customHeight="1">
      <c r="A705" s="2">
        <v>1.0</v>
      </c>
      <c r="B705" s="2" t="s">
        <v>1999</v>
      </c>
      <c r="C705" s="2" t="s">
        <v>2000</v>
      </c>
      <c r="D705" s="2" t="s">
        <v>293</v>
      </c>
      <c r="E705" s="2" t="s">
        <v>14</v>
      </c>
      <c r="F705" s="2" t="s">
        <v>15</v>
      </c>
      <c r="G705" s="2" t="s">
        <v>2001</v>
      </c>
      <c r="H705" s="2" t="s">
        <v>566</v>
      </c>
      <c r="I705" s="2" t="str">
        <f>IFERROR(__xludf.DUMMYFUNCTION("GOOGLETRANSLATE(C705,""fr"",""en"")"),"Hello,
N ° 274892
I have been insured with you since November 2017, however my former insurer terminated me for default of payment of my contributions, because you did not indicate the right contract number when you have terminated under the Hamon law"&amp;" and therefore I remained affiliated with them while being assured in your home a situation that I do not understand.
I would be grateful to inform me of the situation.")</f>
        <v>Hello,
N ° 274892
I have been insured with you since November 2017, however my former insurer terminated me for default of payment of my contributions, because you did not indicate the right contract number when you have terminated under the Hamon law and therefore I remained affiliated with them while being assured in your home a situation that I do not understand.
I would be grateful to inform me of the situation.</v>
      </c>
    </row>
    <row r="706" ht="15.75" customHeight="1">
      <c r="A706" s="2">
        <v>1.0</v>
      </c>
      <c r="B706" s="2" t="s">
        <v>2002</v>
      </c>
      <c r="C706" s="2" t="s">
        <v>2003</v>
      </c>
      <c r="D706" s="2" t="s">
        <v>256</v>
      </c>
      <c r="E706" s="2" t="s">
        <v>103</v>
      </c>
      <c r="F706" s="2" t="s">
        <v>15</v>
      </c>
      <c r="G706" s="2" t="s">
        <v>716</v>
      </c>
      <c r="H706" s="2" t="s">
        <v>60</v>
      </c>
      <c r="I706" s="2" t="str">
        <f>IFERROR(__xludf.DUMMYFUNCTION("GOOGLETRANSLATE(C706,""fr"",""en"")"),"Following the torrential rains from the beginning of June in the Paris region, water infiltrations in a room at the garden level. The first time since we occupied it in 25 years. Allianz mandates a company looking for causes of leaks (€ 139 deductible to "&amp;"pay). Barely arrived, the technician claims that the room is not up to standard (the construction of the house dates from the early 1960s!) And is not ventilated where ""condensation"" (the term is not innocent). This part of a dozen m2 includes 2 large w"&amp;"indows allowing a ventilation by interbow and has never shown signs of condensation (in terms of windows for example). On the other hand, the cellar of the neighboring house was completely flooded following these torrential rains in early June. The techni"&amp;"cian's tone quickly makes me understand that to be assured at Allianz, it is best to have a recent house up to standards. My question is therefore: if water damage affecting old houses are not covered because by definition non -compliant with modern stand"&amp;"ards, why pay an ""water damage"" insurance premium? Insatisfaction = termination")</f>
        <v>Following the torrential rains from the beginning of June in the Paris region, water infiltrations in a room at the garden level. The first time since we occupied it in 25 years. Allianz mandates a company looking for causes of leaks (€ 139 deductible to pay). Barely arrived, the technician claims that the room is not up to standard (the construction of the house dates from the early 1960s!) And is not ventilated where "condensation" (the term is not innocent). This part of a dozen m2 includes 2 large windows allowing a ventilation by interbow and has never shown signs of condensation (in terms of windows for example). On the other hand, the cellar of the neighboring house was completely flooded following these torrential rains in early June. The technician's tone quickly makes me understand that to be assured at Allianz, it is best to have a recent house up to standards. My question is therefore: if water damage affecting old houses are not covered because by definition non -compliant with modern standards, why pay an "water damage" insurance premium? Insatisfaction = termination</v>
      </c>
    </row>
    <row r="707" ht="15.75" customHeight="1">
      <c r="A707" s="2">
        <v>1.0</v>
      </c>
      <c r="B707" s="2" t="s">
        <v>2004</v>
      </c>
      <c r="C707" s="2" t="s">
        <v>2005</v>
      </c>
      <c r="D707" s="2" t="s">
        <v>57</v>
      </c>
      <c r="E707" s="2" t="s">
        <v>58</v>
      </c>
      <c r="F707" s="2" t="s">
        <v>15</v>
      </c>
      <c r="G707" s="2" t="s">
        <v>1447</v>
      </c>
      <c r="H707" s="2" t="s">
        <v>549</v>
      </c>
      <c r="I707" s="2" t="str">
        <f>IFERROR(__xludf.DUMMYFUNCTION("GOOGLETRANSLATE(C707,""fr"",""en"")"),"Disastrous experience we are asked 450th deductible for the flight of the battery plus the cut cables (obviously cheaper than the franchise package) in short I am told that if the repairs are cheaper than this price it is better for me that I Do not decla"&amp;"re the disaster. The franchise is the same for the flight of a retro -mounted of a cache or the whole vehicle. I am told that the franchise is 50% cheaper if the scooter is engraved regardless of whether the stolen piece was or not.
This insurance is not"&amp;" expensive as long as we have no claim (we understand why)
To be absolutely avoiding. The provisions will be taken as soon as possible to change insurance")</f>
        <v>Disastrous experience we are asked 450th deductible for the flight of the battery plus the cut cables (obviously cheaper than the franchise package) in short I am told that if the repairs are cheaper than this price it is better for me that I Do not declare the disaster. The franchise is the same for the flight of a retro -mounted of a cache or the whole vehicle. I am told that the franchise is 50% cheaper if the scooter is engraved regardless of whether the stolen piece was or not.
This insurance is not expensive as long as we have no claim (we understand why)
To be absolutely avoiding. The provisions will be taken as soon as possible to change insurance</v>
      </c>
    </row>
    <row r="708" ht="15.75" customHeight="1">
      <c r="A708" s="2">
        <v>1.0</v>
      </c>
      <c r="B708" s="2" t="s">
        <v>2006</v>
      </c>
      <c r="C708" s="2" t="s">
        <v>2007</v>
      </c>
      <c r="D708" s="2" t="s">
        <v>13</v>
      </c>
      <c r="E708" s="2" t="s">
        <v>14</v>
      </c>
      <c r="F708" s="2" t="s">
        <v>15</v>
      </c>
      <c r="G708" s="2" t="s">
        <v>2008</v>
      </c>
      <c r="H708" s="2" t="s">
        <v>93</v>
      </c>
      <c r="I708" s="2" t="str">
        <f>IFERROR(__xludf.DUMMYFUNCTION("GOOGLETRANSLATE(C708,""fr"",""en"")"),"I do not recommend this insurance at all !! Sinister for ice breaks declared in early August, warned insurance, experienced expert for observation before treatment at the repairer. We paid the entire windshield (740 euros!) And direct insurance to send th"&amp;"e check to the bad address (poorly rated by the advisor) therefore opposition to the check. And to date still no refund! Simply unacceptable !!")</f>
        <v>I do not recommend this insurance at all !! Sinister for ice breaks declared in early August, warned insurance, experienced expert for observation before treatment at the repairer. We paid the entire windshield (740 euros!) And direct insurance to send the check to the bad address (poorly rated by the advisor) therefore opposition to the check. And to date still no refund! Simply unacceptable !!</v>
      </c>
    </row>
    <row r="709" ht="15.75" customHeight="1">
      <c r="A709" s="2">
        <v>5.0</v>
      </c>
      <c r="B709" s="2" t="s">
        <v>2009</v>
      </c>
      <c r="C709" s="2" t="s">
        <v>2010</v>
      </c>
      <c r="D709" s="2" t="s">
        <v>31</v>
      </c>
      <c r="E709" s="2" t="s">
        <v>14</v>
      </c>
      <c r="F709" s="2" t="s">
        <v>15</v>
      </c>
      <c r="G709" s="2" t="s">
        <v>1111</v>
      </c>
      <c r="H709" s="2" t="s">
        <v>60</v>
      </c>
      <c r="I709" s="2" t="str">
        <f>IFERROR(__xludf.DUMMYFUNCTION("GOOGLETRANSLATE(C709,""fr"",""en"")"),"Very satisfied with the service, listening to requests and everything is well explained in detail. Insurance prices are also satisfactory. I recommend for a young driver.")</f>
        <v>Very satisfied with the service, listening to requests and everything is well explained in detail. Insurance prices are also satisfactory. I recommend for a young driver.</v>
      </c>
    </row>
    <row r="710" ht="15.75" customHeight="1">
      <c r="A710" s="2">
        <v>1.0</v>
      </c>
      <c r="B710" s="2" t="s">
        <v>2011</v>
      </c>
      <c r="C710" s="2" t="s">
        <v>2012</v>
      </c>
      <c r="D710" s="2" t="s">
        <v>26</v>
      </c>
      <c r="E710" s="2" t="s">
        <v>21</v>
      </c>
      <c r="F710" s="2" t="s">
        <v>15</v>
      </c>
      <c r="G710" s="2" t="s">
        <v>1793</v>
      </c>
      <c r="H710" s="2" t="s">
        <v>207</v>
      </c>
      <c r="I710" s="2" t="str">
        <f>IFERROR(__xludf.DUMMYFUNCTION("GOOGLETRANSLATE(C710,""fr"",""en"")"),"Daily telephone harassment on the part of this company which does not hesitate to use telephone numbers belonging to individuals to call you and lie to the state of your current protection despite registration on Bloctel. ashamed !!!
They answer that it "&amp;"does not come from their society but then the directors work for them without telling them ??? anything !!!")</f>
        <v>Daily telephone harassment on the part of this company which does not hesitate to use telephone numbers belonging to individuals to call you and lie to the state of your current protection despite registration on Bloctel. ashamed !!!
They answer that it does not come from their society but then the directors work for them without telling them ??? anything !!!</v>
      </c>
    </row>
    <row r="711" ht="15.75" customHeight="1">
      <c r="A711" s="2">
        <v>4.0</v>
      </c>
      <c r="B711" s="2" t="s">
        <v>2013</v>
      </c>
      <c r="C711" s="2" t="s">
        <v>2014</v>
      </c>
      <c r="D711" s="2" t="s">
        <v>31</v>
      </c>
      <c r="E711" s="2" t="s">
        <v>14</v>
      </c>
      <c r="F711" s="2" t="s">
        <v>15</v>
      </c>
      <c r="G711" s="2" t="s">
        <v>2015</v>
      </c>
      <c r="H711" s="2" t="s">
        <v>33</v>
      </c>
      <c r="I711" s="2" t="str">
        <f>IFERROR(__xludf.DUMMYFUNCTION("GOOGLETRANSLATE(C711,""fr"",""en"")"),"The explanations are clear, the prices are affordable, they provide young drivers and advisers are pleasant and advise very well; I recommend!")</f>
        <v>The explanations are clear, the prices are affordable, they provide young drivers and advisers are pleasant and advise very well; I recommend!</v>
      </c>
    </row>
    <row r="712" ht="15.75" customHeight="1">
      <c r="A712" s="2">
        <v>5.0</v>
      </c>
      <c r="B712" s="2" t="s">
        <v>2016</v>
      </c>
      <c r="C712" s="2" t="s">
        <v>2017</v>
      </c>
      <c r="D712" s="2" t="s">
        <v>316</v>
      </c>
      <c r="E712" s="2" t="s">
        <v>317</v>
      </c>
      <c r="F712" s="2" t="s">
        <v>15</v>
      </c>
      <c r="G712" s="2" t="s">
        <v>913</v>
      </c>
      <c r="H712" s="2" t="s">
        <v>107</v>
      </c>
      <c r="I712" s="2" t="str">
        <f>IFERROR(__xludf.DUMMYFUNCTION("GOOGLETRANSLATE(C712,""fr"",""en"")"),"As a beneficiary of 2 life insurance, I was settled in 48 hours once the file mounted on the SOGECAP beneficiary area.
I add that the few telephone contacts beforehand had always been positive with a benevolent welcome from my interlocutors. I recommend "&amp;"SOGECAP without hesitation as life insurance company")</f>
        <v>As a beneficiary of 2 life insurance, I was settled in 48 hours once the file mounted on the SOGECAP beneficiary area.
I add that the few telephone contacts beforehand had always been positive with a benevolent welcome from my interlocutors. I recommend SOGECAP without hesitation as life insurance company</v>
      </c>
    </row>
    <row r="713" ht="15.75" customHeight="1">
      <c r="A713" s="2">
        <v>3.0</v>
      </c>
      <c r="B713" s="2" t="s">
        <v>2018</v>
      </c>
      <c r="C713" s="2" t="s">
        <v>2019</v>
      </c>
      <c r="D713" s="2" t="s">
        <v>160</v>
      </c>
      <c r="E713" s="2" t="s">
        <v>462</v>
      </c>
      <c r="F713" s="2" t="s">
        <v>15</v>
      </c>
      <c r="G713" s="2" t="s">
        <v>2020</v>
      </c>
      <c r="H713" s="2" t="s">
        <v>138</v>
      </c>
      <c r="I713" s="2" t="str">
        <f>IFERROR(__xludf.DUMMYFUNCTION("GOOGLETRANSLATE(C713,""fr"",""en"")"),"Fed up with his people on the phone has been doing since October 2018 that I am told that I have the right to my maternity leave from January 20, 2018 so send the file in December and finally and the answer and you do not be entitled to me because I did n"&amp;"ot work until December 13 and that there is a new reform from January but I would not have had to have the new reform since I was throwing on sick leave from November 15, 201i to January 19, 2019 C Inadmissible I give birth to a child dead nee followed by"&amp;" 2 miscarriages therefore stop sick Forge against my will and ultimately nothing of all have not lost a child for their beautiful eyes I still carved charges of 20 to 25lg max c really distressing anyway")</f>
        <v>Fed up with his people on the phone has been doing since October 2018 that I am told that I have the right to my maternity leave from January 20, 2018 so send the file in December and finally and the answer and you do not be entitled to me because I did not work until December 13 and that there is a new reform from January but I would not have had to have the new reform since I was throwing on sick leave from November 15, 201i to January 19, 2019 C Inadmissible I give birth to a child dead nee followed by 2 miscarriages therefore stop sick Forge against my will and ultimately nothing of all have not lost a child for their beautiful eyes I still carved charges of 20 to 25lg max c really distressing anyway</v>
      </c>
    </row>
    <row r="714" ht="15.75" customHeight="1">
      <c r="A714" s="2">
        <v>4.0</v>
      </c>
      <c r="B714" s="2" t="s">
        <v>2021</v>
      </c>
      <c r="C714" s="2" t="s">
        <v>2022</v>
      </c>
      <c r="D714" s="2" t="s">
        <v>13</v>
      </c>
      <c r="E714" s="2" t="s">
        <v>14</v>
      </c>
      <c r="F714" s="2" t="s">
        <v>15</v>
      </c>
      <c r="G714" s="2" t="s">
        <v>245</v>
      </c>
      <c r="H714" s="2" t="s">
        <v>50</v>
      </c>
      <c r="I714" s="2" t="str">
        <f>IFERROR(__xludf.DUMMYFUNCTION("GOOGLETRANSLATE(C714,""fr"",""en"")")," 1st time I take 1 online insurance, I found it simple and fast, to see in time how it goes, I hope everything will go well!")</f>
        <v> 1st time I take 1 online insurance, I found it simple and fast, to see in time how it goes, I hope everything will go well!</v>
      </c>
    </row>
    <row r="715" ht="15.75" customHeight="1">
      <c r="A715" s="2">
        <v>2.0</v>
      </c>
      <c r="B715" s="2" t="s">
        <v>2023</v>
      </c>
      <c r="C715" s="2" t="s">
        <v>2024</v>
      </c>
      <c r="D715" s="2" t="s">
        <v>31</v>
      </c>
      <c r="E715" s="2" t="s">
        <v>14</v>
      </c>
      <c r="F715" s="2" t="s">
        <v>15</v>
      </c>
      <c r="G715" s="2" t="s">
        <v>2025</v>
      </c>
      <c r="H715" s="2" t="s">
        <v>971</v>
      </c>
      <c r="I715" s="2" t="str">
        <f>IFERROR(__xludf.DUMMYFUNCTION("GOOGLETRANSLATE(C715,""fr"",""en"")"),"Everything is fine until someone happens to you ...")</f>
        <v>Everything is fine until someone happens to you ...</v>
      </c>
    </row>
    <row r="716" ht="15.75" customHeight="1">
      <c r="A716" s="2">
        <v>5.0</v>
      </c>
      <c r="B716" s="2" t="s">
        <v>2026</v>
      </c>
      <c r="C716" s="2" t="s">
        <v>2027</v>
      </c>
      <c r="D716" s="2" t="s">
        <v>74</v>
      </c>
      <c r="E716" s="2" t="s">
        <v>58</v>
      </c>
      <c r="F716" s="2" t="s">
        <v>15</v>
      </c>
      <c r="G716" s="2" t="s">
        <v>519</v>
      </c>
      <c r="H716" s="2" t="s">
        <v>50</v>
      </c>
      <c r="I716" s="2" t="str">
        <f>IFERROR(__xludf.DUMMYFUNCTION("GOOGLETRANSLATE(C716,""fr"",""en"")"),"Very good price, I liked the friendship of registering, I want to know when I will receive the green card to be very quiet. Thank you")</f>
        <v>Very good price, I liked the friendship of registering, I want to know when I will receive the green card to be very quiet. Thank you</v>
      </c>
    </row>
    <row r="717" ht="15.75" customHeight="1">
      <c r="A717" s="2">
        <v>4.0</v>
      </c>
      <c r="B717" s="2" t="s">
        <v>2028</v>
      </c>
      <c r="C717" s="2" t="s">
        <v>2029</v>
      </c>
      <c r="D717" s="2" t="s">
        <v>160</v>
      </c>
      <c r="E717" s="2" t="s">
        <v>21</v>
      </c>
      <c r="F717" s="2" t="s">
        <v>15</v>
      </c>
      <c r="G717" s="2" t="s">
        <v>53</v>
      </c>
      <c r="H717" s="2" t="s">
        <v>54</v>
      </c>
      <c r="I717" s="2" t="str">
        <f>IFERROR(__xludf.DUMMYFUNCTION("GOOGLETRANSLATE(C717,""fr"",""en"")"),"I was afraid in view of the opinions but I had very clear explanations. Alexandre was attentive and to enlighten my doubts. Having high medical costs thank you")</f>
        <v>I was afraid in view of the opinions but I had very clear explanations. Alexandre was attentive and to enlighten my doubts. Having high medical costs thank you</v>
      </c>
    </row>
    <row r="718" ht="15.75" customHeight="1">
      <c r="A718" s="2">
        <v>4.0</v>
      </c>
      <c r="B718" s="2" t="s">
        <v>2030</v>
      </c>
      <c r="C718" s="2" t="s">
        <v>2031</v>
      </c>
      <c r="D718" s="2" t="s">
        <v>20</v>
      </c>
      <c r="E718" s="2" t="s">
        <v>21</v>
      </c>
      <c r="F718" s="2" t="s">
        <v>15</v>
      </c>
      <c r="G718" s="2" t="s">
        <v>913</v>
      </c>
      <c r="H718" s="2" t="s">
        <v>107</v>
      </c>
      <c r="I718" s="2" t="str">
        <f>IFERROR(__xludf.DUMMYFUNCTION("GOOGLETRANSLATE(C718,""fr"",""en"")"),"At 54, I absolutely do not regret having in a police school chosen the MGP.
The younger police officers ask me for my opinion as for the mutuals, I answer from what I hear on both sides or even on the part of my father, retired policeman having changed m"&amp;"utuals than yours, that The MGP is a little more expensive but at least, the MGP is there! The MGP is present! And the steps are easy with the MGP.
Thank you the MGP as well as its employees.
Take great care of you in these difficult times from COVID-19"&amp;".")</f>
        <v>At 54, I absolutely do not regret having in a police school chosen the MGP.
The younger police officers ask me for my opinion as for the mutuals, I answer from what I hear on both sides or even on the part of my father, retired policeman having changed mutuals than yours, that The MGP is a little more expensive but at least, the MGP is there! The MGP is present! And the steps are easy with the MGP.
Thank you the MGP as well as its employees.
Take great care of you in these difficult times from COVID-19.</v>
      </c>
    </row>
    <row r="719" ht="15.75" customHeight="1">
      <c r="A719" s="2">
        <v>3.0</v>
      </c>
      <c r="B719" s="2" t="s">
        <v>2032</v>
      </c>
      <c r="C719" s="2" t="s">
        <v>2033</v>
      </c>
      <c r="D719" s="2" t="s">
        <v>13</v>
      </c>
      <c r="E719" s="2" t="s">
        <v>14</v>
      </c>
      <c r="F719" s="2" t="s">
        <v>15</v>
      </c>
      <c r="G719" s="2" t="s">
        <v>1568</v>
      </c>
      <c r="H719" s="2" t="s">
        <v>111</v>
      </c>
      <c r="I719" s="2" t="str">
        <f>IFERROR(__xludf.DUMMYFUNCTION("GOOGLETRANSLATE(C719,""fr"",""en"")"),"I'm satisfied
I'm satisfied
I am satisfied I am satisfied I am satisfied I am satisfied I am satisfied I am satisfied")</f>
        <v>I'm satisfied
I'm satisfied
I am satisfied I am satisfied I am satisfied I am satisfied I am satisfied I am satisfied</v>
      </c>
    </row>
    <row r="720" ht="15.75" customHeight="1">
      <c r="A720" s="2">
        <v>4.0</v>
      </c>
      <c r="B720" s="2" t="s">
        <v>2034</v>
      </c>
      <c r="C720" s="2" t="s">
        <v>2035</v>
      </c>
      <c r="D720" s="2" t="s">
        <v>13</v>
      </c>
      <c r="E720" s="2" t="s">
        <v>14</v>
      </c>
      <c r="F720" s="2" t="s">
        <v>15</v>
      </c>
      <c r="G720" s="2" t="s">
        <v>398</v>
      </c>
      <c r="H720" s="2" t="s">
        <v>39</v>
      </c>
      <c r="I720" s="2" t="str">
        <f>IFERROR(__xludf.DUMMYFUNCTION("GOOGLETRANSLATE(C720,""fr"",""en"")"),"I am satisfied with the service until now. But it must be recognized that I had no claim. As long as it lasts a long time. I hope ....")</f>
        <v>I am satisfied with the service until now. But it must be recognized that I had no claim. As long as it lasts a long time. I hope ....</v>
      </c>
    </row>
    <row r="721" ht="15.75" customHeight="1">
      <c r="A721" s="2">
        <v>3.0</v>
      </c>
      <c r="B721" s="2" t="s">
        <v>2036</v>
      </c>
      <c r="C721" s="2" t="s">
        <v>2037</v>
      </c>
      <c r="D721" s="2" t="s">
        <v>1052</v>
      </c>
      <c r="E721" s="2" t="s">
        <v>462</v>
      </c>
      <c r="F721" s="2" t="s">
        <v>15</v>
      </c>
      <c r="G721" s="2" t="s">
        <v>2038</v>
      </c>
      <c r="H721" s="2" t="s">
        <v>767</v>
      </c>
      <c r="I721" s="2" t="str">
        <f>IFERROR(__xludf.DUMMYFUNCTION("GOOGLETRANSLATE(C721,""fr"",""en"")"),"On stop since March, and at the request of my employer, I sent to Swisslife, the IJSS certificate to touch my supplements. Still nothing, and no response to my recovery emails. I managed to have a Swisslife person online, who agreed to answer me, and info"&amp;"rmed me that it was my employer to pay my supplements, knowing that it was my employer who asked me to send them my IJSS to touch the supplements! I pay 360 euros per month Swisslife Provident. It's pure anything!")</f>
        <v>On stop since March, and at the request of my employer, I sent to Swisslife, the IJSS certificate to touch my supplements. Still nothing, and no response to my recovery emails. I managed to have a Swisslife person online, who agreed to answer me, and informed me that it was my employer to pay my supplements, knowing that it was my employer who asked me to send them my IJSS to touch the supplements! I pay 360 euros per month Swisslife Provident. It's pure anything!</v>
      </c>
    </row>
    <row r="722" ht="15.75" customHeight="1">
      <c r="A722" s="2">
        <v>4.0</v>
      </c>
      <c r="B722" s="2" t="s">
        <v>2039</v>
      </c>
      <c r="C722" s="2" t="s">
        <v>2040</v>
      </c>
      <c r="D722" s="2" t="s">
        <v>20</v>
      </c>
      <c r="E722" s="2" t="s">
        <v>21</v>
      </c>
      <c r="F722" s="2" t="s">
        <v>15</v>
      </c>
      <c r="G722" s="2" t="s">
        <v>22</v>
      </c>
      <c r="H722" s="2" t="s">
        <v>23</v>
      </c>
      <c r="I722" s="2" t="str">
        <f>IFERROR(__xludf.DUMMYFUNCTION("GOOGLETRANSLATE(C722,""fr"",""en"")"),"I joined the MGP in 1969. Since that date I have not encountered any particular problem, at least any situations that have not found me a solution. I know I have good health coverage. Of course I find the monthly payments quite high compared to other mutu"&amp;"als, but I think that the management of my mutual is serious and honest. Regarding my membership in the death capital I regret that the rights end at the age of 80 (I am not sure of this clarification) but what is certain is that he should not have age li"&amp;"mit. This is the only negative observation I make. Overall I am satisfied.")</f>
        <v>I joined the MGP in 1969. Since that date I have not encountered any particular problem, at least any situations that have not found me a solution. I know I have good health coverage. Of course I find the monthly payments quite high compared to other mutuals, but I think that the management of my mutual is serious and honest. Regarding my membership in the death capital I regret that the rights end at the age of 80 (I am not sure of this clarification) but what is certain is that he should not have age limit. This is the only negative observation I make. Overall I am satisfied.</v>
      </c>
    </row>
    <row r="723" ht="15.75" customHeight="1">
      <c r="A723" s="2">
        <v>4.0</v>
      </c>
      <c r="B723" s="2" t="s">
        <v>2041</v>
      </c>
      <c r="C723" s="2" t="s">
        <v>2042</v>
      </c>
      <c r="D723" s="2" t="s">
        <v>31</v>
      </c>
      <c r="E723" s="2" t="s">
        <v>14</v>
      </c>
      <c r="F723" s="2" t="s">
        <v>15</v>
      </c>
      <c r="G723" s="2" t="s">
        <v>63</v>
      </c>
      <c r="H723" s="2" t="s">
        <v>50</v>
      </c>
      <c r="I723" s="2" t="str">
        <f>IFERROR(__xludf.DUMMYFUNCTION("GOOGLETRANSLATE(C723,""fr"",""en"")"),"I am satisfied with the service and communication with the agents. The price suits me perfectly, thank you in advance especially for your patience!")</f>
        <v>I am satisfied with the service and communication with the agents. The price suits me perfectly, thank you in advance especially for your patience!</v>
      </c>
    </row>
    <row r="724" ht="15.75" customHeight="1">
      <c r="A724" s="2">
        <v>5.0</v>
      </c>
      <c r="B724" s="2" t="s">
        <v>2043</v>
      </c>
      <c r="C724" s="2" t="s">
        <v>2044</v>
      </c>
      <c r="D724" s="2" t="s">
        <v>31</v>
      </c>
      <c r="E724" s="2" t="s">
        <v>14</v>
      </c>
      <c r="F724" s="2" t="s">
        <v>15</v>
      </c>
      <c r="G724" s="2" t="s">
        <v>2045</v>
      </c>
      <c r="H724" s="2" t="s">
        <v>107</v>
      </c>
      <c r="I724" s="2" t="str">
        <f>IFERROR(__xludf.DUMMYFUNCTION("GOOGLETRANSLATE(C724,""fr"",""en"")"),"Very satisfactory, the telephone advisers are very available and there is not too much waiting at the Tel, advice and adaptation of the quote, reception of the quick and simple quote")</f>
        <v>Very satisfactory, the telephone advisers are very available and there is not too much waiting at the Tel, advice and adaptation of the quote, reception of the quick and simple quote</v>
      </c>
    </row>
    <row r="725" ht="15.75" customHeight="1">
      <c r="A725" s="2">
        <v>4.0</v>
      </c>
      <c r="B725" s="2" t="s">
        <v>2046</v>
      </c>
      <c r="C725" s="2" t="s">
        <v>2047</v>
      </c>
      <c r="D725" s="2" t="s">
        <v>13</v>
      </c>
      <c r="E725" s="2" t="s">
        <v>14</v>
      </c>
      <c r="F725" s="2" t="s">
        <v>15</v>
      </c>
      <c r="G725" s="2" t="s">
        <v>1344</v>
      </c>
      <c r="H725" s="2" t="s">
        <v>17</v>
      </c>
      <c r="I725" s="2" t="str">
        <f>IFERROR(__xludf.DUMMYFUNCTION("GOOGLETRANSLATE(C725,""fr"",""en"")"),"The prices are pretty good, now it is the first faith that I assure myself dear direct insurance I had heard talking in good so we will see with the years there is no reason.")</f>
        <v>The prices are pretty good, now it is the first faith that I assure myself dear direct insurance I had heard talking in good so we will see with the years there is no reason.</v>
      </c>
    </row>
    <row r="726" ht="15.75" customHeight="1">
      <c r="A726" s="2">
        <v>1.0</v>
      </c>
      <c r="B726" s="2" t="s">
        <v>2048</v>
      </c>
      <c r="C726" s="2" t="s">
        <v>2049</v>
      </c>
      <c r="D726" s="2" t="s">
        <v>31</v>
      </c>
      <c r="E726" s="2" t="s">
        <v>14</v>
      </c>
      <c r="F726" s="2" t="s">
        <v>15</v>
      </c>
      <c r="G726" s="2" t="s">
        <v>2050</v>
      </c>
      <c r="H726" s="2" t="s">
        <v>46</v>
      </c>
      <c r="I726" s="2" t="str">
        <f>IFERROR(__xludf.DUMMYFUNCTION("GOOGLETRANSLATE(C726,""fr"",""en"")"),"Hi there,
Please note, this insurer must be flee, total absence of file monitoring and information. A shame, your file is followed by a manager but who? when ? How? 'Or' What ? It is a ghost.
Cdt
Stéphane Llorente")</f>
        <v>Hi there,
Please note, this insurer must be flee, total absence of file monitoring and information. A shame, your file is followed by a manager but who? when ? How? 'Or' What ? It is a ghost.
Cdt
Stéphane Llorente</v>
      </c>
    </row>
    <row r="727" ht="15.75" customHeight="1">
      <c r="A727" s="2">
        <v>2.0</v>
      </c>
      <c r="B727" s="2" t="s">
        <v>2051</v>
      </c>
      <c r="C727" s="2" t="s">
        <v>2052</v>
      </c>
      <c r="D727" s="2" t="s">
        <v>136</v>
      </c>
      <c r="E727" s="2" t="s">
        <v>14</v>
      </c>
      <c r="F727" s="2" t="s">
        <v>15</v>
      </c>
      <c r="G727" s="2" t="s">
        <v>265</v>
      </c>
      <c r="H727" s="2" t="s">
        <v>60</v>
      </c>
      <c r="I727" s="2" t="str">
        <f>IFERROR(__xludf.DUMMYFUNCTION("GOOGLETRANSLATE(C727,""fr"",""en"")"),"Very very disappointed.
I had an accident, not responsible, any full risk.
So the insurance is waiting for insurance for a car. The time that an expert is working.
The expert is to deceive a garage but he does not bother to call me to tell me, suddenly"&amp;" 10 days later I remember, and I take up an appointment so that the expert passes to see my car in the right garage And it's been 1 week battery that I am still waiting for.
And in the end the garage reminds me today to tell me that they do not have the "&amp;"keys, and that the expert can do nothing without the keys of the car.
Of course in the meantime I had called 3 times BCA expertise to find out where it is, they tell me we transfer the message and I learn from the garage so that the expert never read the"&amp;"se message! Fortunately, the garage calls me so I don't know how long I will be without news.
Even the garage itself told me that the experts that Pacifica has been zero and very long!
Ah yes of course being given that the expert takes time, the 12 "&amp;"days of car loans are going and guess what?! Insurance does not lend me any other car waiting for it, and you know what I have been told ""you have to manage by your own means""!
The worst in fact is that I will lose my work, and that the insurance does "&amp;"not care, while I am not wrong and that I am all risk !!
I've been waiting for 3 weeks now! And I don't have a car! How do I do ?
Should I file a complaint? Against who ? Insurance, or the accident manager, my morale takes a big blow!")</f>
        <v>Very very disappointed.
I had an accident, not responsible, any full risk.
So the insurance is waiting for insurance for a car. The time that an expert is working.
The expert is to deceive a garage but he does not bother to call me to tell me, suddenly 10 days later I remember, and I take up an appointment so that the expert passes to see my car in the right garage And it's been 1 week battery that I am still waiting for.
And in the end the garage reminds me today to tell me that they do not have the keys, and that the expert can do nothing without the keys of the car.
Of course in the meantime I had called 3 times BCA expertise to find out where it is, they tell me we transfer the message and I learn from the garage so that the expert never read these message! Fortunately, the garage calls me so I don't know how long I will be without news.
Even the garage itself told me that the experts that Pacifica has been zero and very long!
Ah yes of course being given that the expert takes time, the 12 days of car loans are going and guess what?! Insurance does not lend me any other car waiting for it, and you know what I have been told "you have to manage by your own means"!
The worst in fact is that I will lose my work, and that the insurance does not care, while I am not wrong and that I am all risk !!
I've been waiting for 3 weeks now! And I don't have a car! How do I do ?
Should I file a complaint? Against who ? Insurance, or the accident manager, my morale takes a big blow!</v>
      </c>
    </row>
    <row r="728" ht="15.75" customHeight="1">
      <c r="A728" s="2">
        <v>5.0</v>
      </c>
      <c r="B728" s="2" t="s">
        <v>2053</v>
      </c>
      <c r="C728" s="2" t="s">
        <v>2054</v>
      </c>
      <c r="D728" s="2" t="s">
        <v>13</v>
      </c>
      <c r="E728" s="2" t="s">
        <v>14</v>
      </c>
      <c r="F728" s="2" t="s">
        <v>15</v>
      </c>
      <c r="G728" s="2" t="s">
        <v>528</v>
      </c>
      <c r="H728" s="2" t="s">
        <v>184</v>
      </c>
      <c r="I728" s="2" t="str">
        <f>IFERROR(__xludf.DUMMYFUNCTION("GOOGLETRANSLATE(C728,""fr"",""en"")"),"I am very satisfied with this insurance, it is good insurance,
They are always available at the end of the
Frankly I have nothing to say against direct insurance")</f>
        <v>I am very satisfied with this insurance, it is good insurance,
They are always available at the end of the
Frankly I have nothing to say against direct insurance</v>
      </c>
    </row>
    <row r="729" ht="15.75" customHeight="1">
      <c r="A729" s="2">
        <v>5.0</v>
      </c>
      <c r="B729" s="2" t="s">
        <v>2055</v>
      </c>
      <c r="C729" s="2" t="s">
        <v>2056</v>
      </c>
      <c r="D729" s="2" t="s">
        <v>31</v>
      </c>
      <c r="E729" s="2" t="s">
        <v>14</v>
      </c>
      <c r="F729" s="2" t="s">
        <v>15</v>
      </c>
      <c r="G729" s="2" t="s">
        <v>395</v>
      </c>
      <c r="H729" s="2" t="s">
        <v>33</v>
      </c>
      <c r="I729" s="2" t="str">
        <f>IFERROR(__xludf.DUMMYFUNCTION("GOOGLETRANSLATE(C729,""fr"",""en"")"),"I am satisfied the price is correct, however your site Deconne a lot I had trouble entering in it to send the documents that I sent by email.")</f>
        <v>I am satisfied the price is correct, however your site Deconne a lot I had trouble entering in it to send the documents that I sent by email.</v>
      </c>
    </row>
    <row r="730" ht="15.75" customHeight="1">
      <c r="A730" s="2">
        <v>5.0</v>
      </c>
      <c r="B730" s="2" t="s">
        <v>2057</v>
      </c>
      <c r="C730" s="2" t="s">
        <v>2058</v>
      </c>
      <c r="D730" s="2" t="s">
        <v>240</v>
      </c>
      <c r="E730" s="2" t="s">
        <v>241</v>
      </c>
      <c r="F730" s="2" t="s">
        <v>15</v>
      </c>
      <c r="G730" s="2" t="s">
        <v>698</v>
      </c>
      <c r="H730" s="2" t="s">
        <v>184</v>
      </c>
      <c r="I730" s="2" t="str">
        <f>IFERROR(__xludf.DUMMYFUNCTION("GOOGLETRANSLATE(C730,""fr"",""en"")"),"Great service!
Once again thank you to Benjamin for his professionalism and his responsiveness!
Very happy to continue the adventure with Zen'up that I will not hesitate to recommend!")</f>
        <v>Great service!
Once again thank you to Benjamin for his professionalism and his responsiveness!
Very happy to continue the adventure with Zen'up that I will not hesitate to recommend!</v>
      </c>
    </row>
    <row r="731" ht="15.75" customHeight="1">
      <c r="A731" s="2">
        <v>1.0</v>
      </c>
      <c r="B731" s="2" t="s">
        <v>2059</v>
      </c>
      <c r="C731" s="2" t="s">
        <v>2060</v>
      </c>
      <c r="D731" s="2" t="s">
        <v>102</v>
      </c>
      <c r="E731" s="2" t="s">
        <v>103</v>
      </c>
      <c r="F731" s="2" t="s">
        <v>15</v>
      </c>
      <c r="G731" s="2" t="s">
        <v>2061</v>
      </c>
      <c r="H731" s="2" t="s">
        <v>249</v>
      </c>
      <c r="I731" s="2" t="str">
        <f>IFERROR(__xludf.DUMMYFUNCTION("GOOGLETRANSLATE(C731,""fr"",""en"")"),"Abandoned by the MAIF. Monday morning I was unable to go home with my business inside without my papers without my wallet and my laptop. A neighbor was kind enough to search the internet the contact details of a locksmith and call him for me. I asked him "&amp;"to hit Locksmith Maif Authorized Paris. I had the locksmith on the phone asked him if he worked with the maif he replied that yes and I therefore asked him to come. When he came he assured me that I will only have the deductible to pay that the rest would"&amp;" be taken care of but that he had to enter and make the quote inside to see the lock. So he opened after a long time. He directly established an invoice asking me to pay. Seeing the amount I found it high. I refused to pay before I called Maif assistance."&amp;" When I called, the locksmith raised my tone I felt threatened. I was alone at home and made him almost 2 meters. I still had the Maif advisor who assured me that it was taken care of up to 1600 euros (lie). I asked him confirmation before the height of t"&amp;"he amount. She replied yes, priority being my security. I hung. And the locksmith told me that he was waiting for the regulations, that in any case I had no choice. And before it starts to install the lock. I was afraid, I paid, I was already in shock fro"&amp;"m the break -in. I have the payment heel which proves the schedule. There was abuse of weakness, I realized it following the interview with the expert today. But I do not know market prices, I am not in the profession (384 euros a priori). Today, I asked "&amp;"a locks in her opinion, she told me that unfortunately, the profession was not monitored, that the prices were free and unregulated. She told me that in these circumstances, it was difficult for me to do differently, under stress and that I had to be take"&amp;"n care of in full as the end customer. I also contacted UFC Que Choisir, who told me that my maif insurance would certainly be understanding and that it would take care of in full, then that it would help me to repair the damage to the scammer ( Absolutel"&amp;"y not, abandonment of maif). I feel disillusioned, it's a huge sum. I am unemployed and earn 900 euros per month. I have been insured MAIF for a long time, like the rest of my family. I really counted on the understanding of the MAIF, its assistance and i"&amp;"ts support as a militant insurer to assist me in this disaster which I have been the victim and which traumatizes me. Verdict: reimbursement of 250 euro from Maif, I am at least 1000 euros for the rest of the month. Thank you for your abandonment!")</f>
        <v>Abandoned by the MAIF. Monday morning I was unable to go home with my business inside without my papers without my wallet and my laptop. A neighbor was kind enough to search the internet the contact details of a locksmith and call him for me. I asked him to hit Locksmith Maif Authorized Paris. I had the locksmith on the phone asked him if he worked with the maif he replied that yes and I therefore asked him to come. When he came he assured me that I will only have the deductible to pay that the rest would be taken care of but that he had to enter and make the quote inside to see the lock. So he opened after a long time. He directly established an invoice asking me to pay. Seeing the amount I found it high. I refused to pay before I called Maif assistance. When I called, the locksmith raised my tone I felt threatened. I was alone at home and made him almost 2 meters. I still had the Maif advisor who assured me that it was taken care of up to 1600 euros (lie). I asked him confirmation before the height of the amount. She replied yes, priority being my security. I hung. And the locksmith told me that he was waiting for the regulations, that in any case I had no choice. And before it starts to install the lock. I was afraid, I paid, I was already in shock from the break -in. I have the payment heel which proves the schedule. There was abuse of weakness, I realized it following the interview with the expert today. But I do not know market prices, I am not in the profession (384 euros a priori). Today, I asked a locks in her opinion, she told me that unfortunately, the profession was not monitored, that the prices were free and unregulated. She told me that in these circumstances, it was difficult for me to do differently, under stress and that I had to be taken care of in full as the end customer. I also contacted UFC Que Choisir, who told me that my maif insurance would certainly be understanding and that it would take care of in full, then that it would help me to repair the damage to the scammer ( Absolutely not, abandonment of maif). I feel disillusioned, it's a huge sum. I am unemployed and earn 900 euros per month. I have been insured MAIF for a long time, like the rest of my family. I really counted on the understanding of the MAIF, its assistance and its support as a militant insurer to assist me in this disaster which I have been the victim and which traumatizes me. Verdict: reimbursement of 250 euro from Maif, I am at least 1000 euros for the rest of the month. Thank you for your abandonment!</v>
      </c>
    </row>
    <row r="732" ht="15.75" customHeight="1">
      <c r="A732" s="2">
        <v>5.0</v>
      </c>
      <c r="B732" s="2" t="s">
        <v>2062</v>
      </c>
      <c r="C732" s="2" t="s">
        <v>2063</v>
      </c>
      <c r="D732" s="2" t="s">
        <v>222</v>
      </c>
      <c r="E732" s="2" t="s">
        <v>21</v>
      </c>
      <c r="F732" s="2" t="s">
        <v>15</v>
      </c>
      <c r="G732" s="2" t="s">
        <v>2064</v>
      </c>
      <c r="H732" s="2" t="s">
        <v>1572</v>
      </c>
      <c r="I732" s="2" t="str">
        <f>IFERROR(__xludf.DUMMYFUNCTION("GOOGLETRANSLATE(C732,""fr"",""en"")"),"I think it's time to stop with bad faith. Santiane.fr is a very serious broker that meets the expectations of its customers. By reading all these comments, I think of the competition which by all means trying to harm the reputation of Santiane.fr. Santian"&amp;"e customer for 3 years I have never had a problem: a serious customer relationship management service, available ... professional commercial advisers ... in short stop your opinions ... null.")</f>
        <v>I think it's time to stop with bad faith. Santiane.fr is a very serious broker that meets the expectations of its customers. By reading all these comments, I think of the competition which by all means trying to harm the reputation of Santiane.fr. Santiane customer for 3 years I have never had a problem: a serious customer relationship management service, available ... professional commercial advisers ... in short stop your opinions ... null.</v>
      </c>
    </row>
    <row r="733" ht="15.75" customHeight="1">
      <c r="A733" s="2">
        <v>1.0</v>
      </c>
      <c r="B733" s="2" t="s">
        <v>2065</v>
      </c>
      <c r="C733" s="2" t="s">
        <v>2066</v>
      </c>
      <c r="D733" s="2" t="s">
        <v>136</v>
      </c>
      <c r="E733" s="2" t="s">
        <v>103</v>
      </c>
      <c r="F733" s="2" t="s">
        <v>15</v>
      </c>
      <c r="G733" s="2" t="s">
        <v>2067</v>
      </c>
      <c r="H733" s="2" t="s">
        <v>130</v>
      </c>
      <c r="I733" s="2" t="str">
        <f>IFERROR(__xludf.DUMMYFUNCTION("GOOGLETRANSLATE(C733,""fr"",""en"")"),"To avoid. High rate, reduced guarantees.
Purely imposed home insurance to obtain my mortgage at Crédit Agricole.
During a sinister water damage, the search for leaks is not taken care of by Pacifica!
I take advantage of the possibility of terminating t"&amp;"he contract at 1 year to go to Groupama where the guaranteed/price ratio is more attractive.")</f>
        <v>To avoid. High rate, reduced guarantees.
Purely imposed home insurance to obtain my mortgage at Crédit Agricole.
During a sinister water damage, the search for leaks is not taken care of by Pacifica!
I take advantage of the possibility of terminating the contract at 1 year to go to Groupama where the guaranteed/price ratio is more attractive.</v>
      </c>
    </row>
    <row r="734" ht="15.75" customHeight="1">
      <c r="A734" s="2">
        <v>1.0</v>
      </c>
      <c r="B734" s="2" t="s">
        <v>2068</v>
      </c>
      <c r="C734" s="2" t="s">
        <v>2069</v>
      </c>
      <c r="D734" s="2" t="s">
        <v>2070</v>
      </c>
      <c r="E734" s="2" t="s">
        <v>37</v>
      </c>
      <c r="F734" s="2" t="s">
        <v>15</v>
      </c>
      <c r="G734" s="2" t="s">
        <v>2071</v>
      </c>
      <c r="H734" s="2" t="s">
        <v>479</v>
      </c>
      <c r="I734" s="2" t="str">
        <f>IFERROR(__xludf.DUMMYFUNCTION("GOOGLETRANSLATE(C734,""fr"",""en"")"),"Big liars on the contract. We had certified the management of our puppy with atopic allergies since its birth. First non-reimbursed care sheet because this one had this pathology before signing. Thank you Santevet. Obviously and non -terminable one year c"&amp;"ontract.")</f>
        <v>Big liars on the contract. We had certified the management of our puppy with atopic allergies since its birth. First non-reimbursed care sheet because this one had this pathology before signing. Thank you Santevet. Obviously and non -terminable one year contract.</v>
      </c>
    </row>
    <row r="735" ht="15.75" customHeight="1">
      <c r="A735" s="2">
        <v>5.0</v>
      </c>
      <c r="B735" s="2" t="s">
        <v>2072</v>
      </c>
      <c r="C735" s="2" t="s">
        <v>2073</v>
      </c>
      <c r="D735" s="2" t="s">
        <v>13</v>
      </c>
      <c r="E735" s="2" t="s">
        <v>14</v>
      </c>
      <c r="F735" s="2" t="s">
        <v>15</v>
      </c>
      <c r="G735" s="2" t="s">
        <v>599</v>
      </c>
      <c r="H735" s="2" t="s">
        <v>76</v>
      </c>
      <c r="I735" s="2" t="str">
        <f>IFERROR(__xludf.DUMMYFUNCTION("GOOGLETRANSLATE(C735,""fr"",""en"")"),"I am very satisfied with the service, the advisers are very nice and I always find an answer very quickly, the prices suit me and to finish the aplication is simple and practical.
Thank you direct insurance")</f>
        <v>I am very satisfied with the service, the advisers are very nice and I always find an answer very quickly, the prices suit me and to finish the aplication is simple and practical.
Thank you direct insurance</v>
      </c>
    </row>
    <row r="736" ht="15.75" customHeight="1">
      <c r="A736" s="2">
        <v>4.0</v>
      </c>
      <c r="B736" s="2" t="s">
        <v>2074</v>
      </c>
      <c r="C736" s="2" t="s">
        <v>2075</v>
      </c>
      <c r="D736" s="2" t="s">
        <v>74</v>
      </c>
      <c r="E736" s="2" t="s">
        <v>58</v>
      </c>
      <c r="F736" s="2" t="s">
        <v>15</v>
      </c>
      <c r="G736" s="2" t="s">
        <v>729</v>
      </c>
      <c r="H736" s="2" t="s">
        <v>107</v>
      </c>
      <c r="I736" s="2" t="str">
        <f>IFERROR(__xludf.DUMMYFUNCTION("GOOGLETRANSLATE(C736,""fr"",""en"")"),"Good website, attractive prices, but untimely calls on my phone. With compensation at 5 % invalidity it would have been great :) To see how it goes on on the road!")</f>
        <v>Good website, attractive prices, but untimely calls on my phone. With compensation at 5 % invalidity it would have been great :) To see how it goes on on the road!</v>
      </c>
    </row>
    <row r="737" ht="15.75" customHeight="1">
      <c r="A737" s="2">
        <v>3.0</v>
      </c>
      <c r="B737" s="2" t="s">
        <v>2076</v>
      </c>
      <c r="C737" s="2" t="s">
        <v>2077</v>
      </c>
      <c r="D737" s="2" t="s">
        <v>13</v>
      </c>
      <c r="E737" s="2" t="s">
        <v>14</v>
      </c>
      <c r="F737" s="2" t="s">
        <v>15</v>
      </c>
      <c r="G737" s="2" t="s">
        <v>420</v>
      </c>
      <c r="H737" s="2" t="s">
        <v>76</v>
      </c>
      <c r="I737" s="2" t="str">
        <f>IFERROR(__xludf.DUMMYFUNCTION("GOOGLETRANSLATE(C737,""fr"",""en"")"),"hello, 
Thank you for the speed and ease with which I have to subscribe to the insurance for my first car.
Best regards,
F. Babin")</f>
        <v>hello, 
Thank you for the speed and ease with which I have to subscribe to the insurance for my first car.
Best regards,
F. Babin</v>
      </c>
    </row>
    <row r="738" ht="15.75" customHeight="1">
      <c r="A738" s="2">
        <v>1.0</v>
      </c>
      <c r="B738" s="2" t="s">
        <v>2078</v>
      </c>
      <c r="C738" s="2" t="s">
        <v>2079</v>
      </c>
      <c r="D738" s="2" t="s">
        <v>102</v>
      </c>
      <c r="E738" s="2" t="s">
        <v>103</v>
      </c>
      <c r="F738" s="2" t="s">
        <v>15</v>
      </c>
      <c r="G738" s="2" t="s">
        <v>1494</v>
      </c>
      <c r="H738" s="2" t="s">
        <v>632</v>
      </c>
      <c r="I738" s="2" t="str">
        <f>IFERROR(__xludf.DUMMYFUNCTION("GOOGLETRANSLATE(C738,""fr"",""en"")"),"I was a customer at MAIF for my home for more than 6 years. I settled with my companion, so I logically terminated my Maif insurance at the end of 2016.
For this, I contacted customer service in December 2016 to warn them of my termination by asking fo"&amp;"r an end of contract on the day of my release on January 6, 2017.
They asked me for the inventory of the exit of my apartment as proof.
We made the inventory as scheduled on January 6. So I provided the document by email to my advisor Maif.
My prev"&amp;"ious contract, which I had settled for the year 2016, arrived annually by December 31, 2016. So I had to settle the first 6 days of 2017.
In January, I receive a vocal message from the maif telling me that I had a sum of € 33 to pay.
This supplement"&amp;" corresponding to the pro-rat of the first 6 days of the year seemed excessive because it would correspond to an annual subscription of 2007 € (365/6)*33, knowing that my contract on 2016 was 209.86 €
I immediately contacted your advice who told me tha"&amp;"t it had to be a mistake and that I should not settle this sum.
During May, the recovery service makes me a poru letter tell me to pay the € 33 without any additional proof. I returned an email to the MAIF to have more explanations on June 1.
On Jun"&amp;"e 13, I receive a new maif letter asking for payment without any explanation.
This day I received a formal notice from the legal service before awarded to a bailiff, ... without more justification.
I am really surprised in how to do the maif. There "&amp;"is no effort to take into account my situation when it is clearly an error on the part of the MAIF.
The use of a strong way to impose an unjustified payment gives me an image of the MAIF very far from that put forward in its advertisements.
I was a "&amp;"good customer for more than 6 years without any worries. At this stage, I can only share my dissatisfaction with you in the face of the lack of communication of customer service and strongly advise you on to become SOCETARY OF MAIF.
Cordially.
")</f>
        <v>I was a customer at MAIF for my home for more than 6 years. I settled with my companion, so I logically terminated my Maif insurance at the end of 2016.
For this, I contacted customer service in December 2016 to warn them of my termination by asking for an end of contract on the day of my release on January 6, 2017.
They asked me for the inventory of the exit of my apartment as proof.
We made the inventory as scheduled on January 6. So I provided the document by email to my advisor Maif.
My previous contract, which I had settled for the year 2016, arrived annually by December 31, 2016. So I had to settle the first 6 days of 2017.
In January, I receive a vocal message from the maif telling me that I had a sum of € 33 to pay.
This supplement corresponding to the pro-rat of the first 6 days of the year seemed excessive because it would correspond to an annual subscription of 2007 € (365/6)*33, knowing that my contract on 2016 was 209.86 €
I immediately contacted your advice who told me that it had to be a mistake and that I should not settle this sum.
During May, the recovery service makes me a poru letter tell me to pay the € 33 without any additional proof. I returned an email to the MAIF to have more explanations on June 1.
On June 13, I receive a new maif letter asking for payment without any explanation.
This day I received a formal notice from the legal service before awarded to a bailiff, ... without more justification.
I am really surprised in how to do the maif. There is no effort to take into account my situation when it is clearly an error on the part of the MAIF.
The use of a strong way to impose an unjustified payment gives me an image of the MAIF very far from that put forward in its advertisements.
I was a good customer for more than 6 years without any worries. At this stage, I can only share my dissatisfaction with you in the face of the lack of communication of customer service and strongly advise you on to become SOCETARY OF MAIF.
Cordially.
</v>
      </c>
    </row>
    <row r="739" ht="15.75" customHeight="1">
      <c r="A739" s="2">
        <v>1.0</v>
      </c>
      <c r="B739" s="2" t="s">
        <v>2080</v>
      </c>
      <c r="C739" s="2" t="s">
        <v>2081</v>
      </c>
      <c r="D739" s="2" t="s">
        <v>136</v>
      </c>
      <c r="E739" s="2" t="s">
        <v>103</v>
      </c>
      <c r="F739" s="2" t="s">
        <v>15</v>
      </c>
      <c r="G739" s="2" t="s">
        <v>1607</v>
      </c>
      <c r="H739" s="2" t="s">
        <v>111</v>
      </c>
      <c r="I739" s="2" t="str">
        <f>IFERROR(__xludf.DUMMYFUNCTION("GOOGLETRANSLATE(C739,""fr"",""en"")"),"Victim of burglary, this insurance did not reimburse me from what I was stolen (jewelry)
Ashamed !!!!
Suddenly I would like to leave, in addition to not being compensated I am stuck, because when you declare a flight to your insurance company, you a"&amp;"re marked in red ink (no one you want)
Double pain for once !!!
It's not normal.
In addition to give yourself a good conscience, it sends you a message with a link in order to answer it ""How did it go by the treatment of your disaster?"", But the link"&amp;" does not work.
No risk to take !!!
Strongly that I go from this insurance!")</f>
        <v>Victim of burglary, this insurance did not reimburse me from what I was stolen (jewelry)
Ashamed !!!!
Suddenly I would like to leave, in addition to not being compensated I am stuck, because when you declare a flight to your insurance company, you are marked in red ink (no one you want)
Double pain for once !!!
It's not normal.
In addition to give yourself a good conscience, it sends you a message with a link in order to answer it "How did it go by the treatment of your disaster?", But the link does not work.
No risk to take !!!
Strongly that I go from this insurance!</v>
      </c>
    </row>
    <row r="740" ht="15.75" customHeight="1">
      <c r="A740" s="2">
        <v>4.0</v>
      </c>
      <c r="B740" s="2" t="s">
        <v>2082</v>
      </c>
      <c r="C740" s="2" t="s">
        <v>2083</v>
      </c>
      <c r="D740" s="2" t="s">
        <v>117</v>
      </c>
      <c r="E740" s="2" t="s">
        <v>14</v>
      </c>
      <c r="F740" s="2" t="s">
        <v>15</v>
      </c>
      <c r="G740" s="2" t="s">
        <v>2084</v>
      </c>
      <c r="H740" s="2" t="s">
        <v>33</v>
      </c>
      <c r="I740" s="2" t="str">
        <f>IFERROR(__xludf.DUMMYFUNCTION("GOOGLETRANSLATE(C740,""fr"",""en"")"),"I am satisfied the correspondence and the contacts are fast as well as the reimbursements
The site is clear and understandable.")</f>
        <v>I am satisfied the correspondence and the contacts are fast as well as the reimbursements
The site is clear and understandable.</v>
      </c>
    </row>
    <row r="741" ht="15.75" customHeight="1">
      <c r="A741" s="2">
        <v>4.0</v>
      </c>
      <c r="B741" s="2" t="s">
        <v>2085</v>
      </c>
      <c r="C741" s="2" t="s">
        <v>2086</v>
      </c>
      <c r="D741" s="2" t="s">
        <v>31</v>
      </c>
      <c r="E741" s="2" t="s">
        <v>14</v>
      </c>
      <c r="F741" s="2" t="s">
        <v>15</v>
      </c>
      <c r="G741" s="2" t="s">
        <v>499</v>
      </c>
      <c r="H741" s="2" t="s">
        <v>107</v>
      </c>
      <c r="I741" s="2" t="str">
        <f>IFERROR(__xludf.DUMMYFUNCTION("GOOGLETRANSLATE(C741,""fr"",""en"")"),"Fast and listening impeccable service responds quickly. I am satisfied with the contact that the prices have on the phone are correct and clear.")</f>
        <v>Fast and listening impeccable service responds quickly. I am satisfied with the contact that the prices have on the phone are correct and clear.</v>
      </c>
    </row>
    <row r="742" ht="15.75" customHeight="1">
      <c r="A742" s="2">
        <v>3.0</v>
      </c>
      <c r="B742" s="2" t="s">
        <v>2087</v>
      </c>
      <c r="C742" s="2" t="s">
        <v>2088</v>
      </c>
      <c r="D742" s="2" t="s">
        <v>31</v>
      </c>
      <c r="E742" s="2" t="s">
        <v>14</v>
      </c>
      <c r="F742" s="2" t="s">
        <v>15</v>
      </c>
      <c r="G742" s="2" t="s">
        <v>2089</v>
      </c>
      <c r="H742" s="2" t="s">
        <v>1486</v>
      </c>
      <c r="I742" s="2" t="str">
        <f>IFERROR(__xludf.DUMMYFUNCTION("GOOGLETRANSLATE(C742,""fr"",""en"")"),"Following an optical flight with degradation on the public highway, the advisor tells me that I am not covered for this kind of flight. Formula any risk with serenity assistance pack. To be continued")</f>
        <v>Following an optical flight with degradation on the public highway, the advisor tells me that I am not covered for this kind of flight. Formula any risk with serenity assistance pack. To be continued</v>
      </c>
    </row>
    <row r="743" ht="15.75" customHeight="1">
      <c r="A743" s="2">
        <v>5.0</v>
      </c>
      <c r="B743" s="2" t="s">
        <v>2090</v>
      </c>
      <c r="C743" s="2" t="s">
        <v>2091</v>
      </c>
      <c r="D743" s="2" t="s">
        <v>222</v>
      </c>
      <c r="E743" s="2" t="s">
        <v>21</v>
      </c>
      <c r="F743" s="2" t="s">
        <v>15</v>
      </c>
      <c r="G743" s="2" t="s">
        <v>2092</v>
      </c>
      <c r="H743" s="2" t="s">
        <v>313</v>
      </c>
      <c r="I743" s="2" t="str">
        <f>IFERROR(__xludf.DUMMYFUNCTION("GOOGLETRANSLATE(C743,""fr"",""en"")"),"Super explanation on all information
Top advisor
I recommend..........................................")</f>
        <v>Super explanation on all information
Top advisor
I recommend..........................................</v>
      </c>
    </row>
    <row r="744" ht="15.75" customHeight="1">
      <c r="A744" s="2">
        <v>2.0</v>
      </c>
      <c r="B744" s="2" t="s">
        <v>2093</v>
      </c>
      <c r="C744" s="2" t="s">
        <v>2094</v>
      </c>
      <c r="D744" s="2" t="s">
        <v>117</v>
      </c>
      <c r="E744" s="2" t="s">
        <v>14</v>
      </c>
      <c r="F744" s="2" t="s">
        <v>15</v>
      </c>
      <c r="G744" s="2" t="s">
        <v>362</v>
      </c>
      <c r="H744" s="2" t="s">
        <v>93</v>
      </c>
      <c r="I744" s="2" t="str">
        <f>IFERROR(__xludf.DUMMYFUNCTION("GOOGLETRANSLATE(C744,""fr"",""en"")"),"Unreachable by phone, waiting time indicated divided by four. Lamentable. sent a fax to the agency no response !!!")</f>
        <v>Unreachable by phone, waiting time indicated divided by four. Lamentable. sent a fax to the agency no response !!!</v>
      </c>
    </row>
    <row r="745" ht="15.75" customHeight="1">
      <c r="A745" s="2">
        <v>5.0</v>
      </c>
      <c r="B745" s="2" t="s">
        <v>2095</v>
      </c>
      <c r="C745" s="2" t="s">
        <v>2096</v>
      </c>
      <c r="D745" s="2" t="s">
        <v>31</v>
      </c>
      <c r="E745" s="2" t="s">
        <v>14</v>
      </c>
      <c r="F745" s="2" t="s">
        <v>15</v>
      </c>
      <c r="G745" s="2" t="s">
        <v>1198</v>
      </c>
      <c r="H745" s="2" t="s">
        <v>76</v>
      </c>
      <c r="I745" s="2" t="str">
        <f>IFERROR(__xludf.DUMMYFUNCTION("GOOGLETRANSLATE(C745,""fr"",""en"")"),"I am satisfied with the contract a very affordable price for a mally driver and very professional telephone advisor who know how to respond to my many requests")</f>
        <v>I am satisfied with the contract a very affordable price for a mally driver and very professional telephone advisor who know how to respond to my many requests</v>
      </c>
    </row>
    <row r="746" ht="15.75" customHeight="1">
      <c r="A746" s="2">
        <v>1.0</v>
      </c>
      <c r="B746" s="2" t="s">
        <v>2097</v>
      </c>
      <c r="C746" s="2" t="s">
        <v>2098</v>
      </c>
      <c r="D746" s="2" t="s">
        <v>496</v>
      </c>
      <c r="E746" s="2" t="s">
        <v>21</v>
      </c>
      <c r="F746" s="2" t="s">
        <v>15</v>
      </c>
      <c r="G746" s="2" t="s">
        <v>2099</v>
      </c>
      <c r="H746" s="2" t="s">
        <v>1096</v>
      </c>
      <c r="I746" s="2" t="str">
        <f>IFERROR(__xludf.DUMMYFUNCTION("GOOGLETRANSLATE(C746,""fr"",""en"")"),"Very well in recent years, because I had only a few visits to my general practitioner. In recent months of teeth problems, views and also an accident has brought me to unusual health expenses and there obviously it is no longer quite the same atmosphere! "&amp;"Derisory reimbursements compared to the price of the mutual insurance company, you must send by mail all the documents (are they aware of the modern means of communication?), in short dissatisfied with the whole.")</f>
        <v>Very well in recent years, because I had only a few visits to my general practitioner. In recent months of teeth problems, views and also an accident has brought me to unusual health expenses and there obviously it is no longer quite the same atmosphere! Derisory reimbursements compared to the price of the mutual insurance company, you must send by mail all the documents (are they aware of the modern means of communication?), in short dissatisfied with the whole.</v>
      </c>
    </row>
    <row r="747" ht="15.75" customHeight="1">
      <c r="A747" s="2">
        <v>4.0</v>
      </c>
      <c r="B747" s="2" t="s">
        <v>2100</v>
      </c>
      <c r="C747" s="2" t="s">
        <v>2101</v>
      </c>
      <c r="D747" s="2" t="s">
        <v>13</v>
      </c>
      <c r="E747" s="2" t="s">
        <v>14</v>
      </c>
      <c r="F747" s="2" t="s">
        <v>15</v>
      </c>
      <c r="G747" s="2" t="s">
        <v>1344</v>
      </c>
      <c r="H747" s="2" t="s">
        <v>17</v>
      </c>
      <c r="I747" s="2" t="str">
        <f>IFERROR(__xludf.DUMMYFUNCTION("GOOGLETRANSLATE(C747,""fr"",""en"")"),"I am satisfied with the online service and especially the service by phone.
To continue !
And yes, I will recommend this insurer to those around me!")</f>
        <v>I am satisfied with the online service and especially the service by phone.
To continue !
And yes, I will recommend this insurer to those around me!</v>
      </c>
    </row>
    <row r="748" ht="15.75" customHeight="1">
      <c r="A748" s="2">
        <v>4.0</v>
      </c>
      <c r="B748" s="2" t="s">
        <v>2102</v>
      </c>
      <c r="C748" s="2" t="s">
        <v>2103</v>
      </c>
      <c r="D748" s="2" t="s">
        <v>31</v>
      </c>
      <c r="E748" s="2" t="s">
        <v>14</v>
      </c>
      <c r="F748" s="2" t="s">
        <v>15</v>
      </c>
      <c r="G748" s="2" t="s">
        <v>2104</v>
      </c>
      <c r="H748" s="2" t="s">
        <v>93</v>
      </c>
      <c r="I748" s="2" t="str">
        <f>IFERROR(__xludf.DUMMYFUNCTION("GOOGLETRANSLATE(C748,""fr"",""en"")"),"Very good quality of customer service with clear and precise explanations. Ease and simplicity of subscription.")</f>
        <v>Very good quality of customer service with clear and precise explanations. Ease and simplicity of subscription.</v>
      </c>
    </row>
    <row r="749" ht="15.75" customHeight="1">
      <c r="A749" s="2">
        <v>4.0</v>
      </c>
      <c r="B749" s="2" t="s">
        <v>2105</v>
      </c>
      <c r="C749" s="2" t="s">
        <v>2106</v>
      </c>
      <c r="D749" s="2" t="s">
        <v>79</v>
      </c>
      <c r="E749" s="2" t="s">
        <v>21</v>
      </c>
      <c r="F749" s="2" t="s">
        <v>15</v>
      </c>
      <c r="G749" s="2" t="s">
        <v>2107</v>
      </c>
      <c r="H749" s="2" t="s">
        <v>774</v>
      </c>
      <c r="I749" s="2" t="str">
        <f>IFERROR(__xludf.DUMMYFUNCTION("GOOGLETRANSLATE(C749,""fr"",""en"")"),"Very little telephone waiting. Very friendly interlocutors who really take the time to explain all the steps to take.")</f>
        <v>Very little telephone waiting. Very friendly interlocutors who really take the time to explain all the steps to take.</v>
      </c>
    </row>
    <row r="750" ht="15.75" customHeight="1">
      <c r="A750" s="2">
        <v>1.0</v>
      </c>
      <c r="B750" s="2" t="s">
        <v>2108</v>
      </c>
      <c r="C750" s="2" t="s">
        <v>2109</v>
      </c>
      <c r="D750" s="2" t="s">
        <v>128</v>
      </c>
      <c r="E750" s="2" t="s">
        <v>103</v>
      </c>
      <c r="F750" s="2" t="s">
        <v>15</v>
      </c>
      <c r="G750" s="2" t="s">
        <v>2110</v>
      </c>
      <c r="H750" s="2" t="s">
        <v>356</v>
      </c>
      <c r="I750" s="2" t="str">
        <f>IFERROR(__xludf.DUMMYFUNCTION("GOOGLETRANSLATE(C750,""fr"",""en"")"),"Water damage on October 28, 2018
2nd expertise on June 28, 2018 No new 3 reminders, a baby arriving on July 29!
I specify that the file is ultra simple no other affected part, neither common nor neighbor! Purely internal damage!")</f>
        <v>Water damage on October 28, 2018
2nd expertise on June 28, 2018 No new 3 reminders, a baby arriving on July 29!
I specify that the file is ultra simple no other affected part, neither common nor neighbor! Purely internal damage!</v>
      </c>
    </row>
    <row r="751" ht="15.75" customHeight="1">
      <c r="A751" s="2">
        <v>5.0</v>
      </c>
      <c r="B751" s="2" t="s">
        <v>2111</v>
      </c>
      <c r="C751" s="2" t="s">
        <v>2112</v>
      </c>
      <c r="D751" s="2" t="s">
        <v>57</v>
      </c>
      <c r="E751" s="2" t="s">
        <v>58</v>
      </c>
      <c r="F751" s="2" t="s">
        <v>15</v>
      </c>
      <c r="G751" s="2" t="s">
        <v>482</v>
      </c>
      <c r="H751" s="2" t="s">
        <v>60</v>
      </c>
      <c r="I751" s="2" t="str">
        <f>IFERROR(__xludf.DUMMYFUNCTION("GOOGLETRANSLATE(C751,""fr"",""en"")"),"The prices are very interesting.
The site to perform the very intuitive quote.
The group takes into account the auto bonus/penalty.
I will recommend without hesitation.")</f>
        <v>The prices are very interesting.
The site to perform the very intuitive quote.
The group takes into account the auto bonus/penalty.
I will recommend without hesitation.</v>
      </c>
    </row>
    <row r="752" ht="15.75" customHeight="1">
      <c r="A752" s="2">
        <v>2.0</v>
      </c>
      <c r="B752" s="2" t="s">
        <v>2113</v>
      </c>
      <c r="C752" s="2" t="s">
        <v>2114</v>
      </c>
      <c r="D752" s="2" t="s">
        <v>13</v>
      </c>
      <c r="E752" s="2" t="s">
        <v>14</v>
      </c>
      <c r="F752" s="2" t="s">
        <v>15</v>
      </c>
      <c r="G752" s="2" t="s">
        <v>2115</v>
      </c>
      <c r="H752" s="2" t="s">
        <v>1024</v>
      </c>
      <c r="I752" s="2" t="str">
        <f>IFERROR(__xludf.DUMMYFUNCTION("GOOGLETRANSLATE(C752,""fr"",""en"")"),"When I denounced my insurance contract on the due date, they daclanted their devois 21 euros without any justification when all the contributions had been paid to the exact value of their calls, and since then relaunch me by company Recovery then bailiff "&amp;"partner of the recovery company and this without ever bringing justification to this so-called debt despite our repeated requests.")</f>
        <v>When I denounced my insurance contract on the due date, they daclanted their devois 21 euros without any justification when all the contributions had been paid to the exact value of their calls, and since then relaunch me by company Recovery then bailiff partner of the recovery company and this without ever bringing justification to this so-called debt despite our repeated requests.</v>
      </c>
    </row>
    <row r="753" ht="15.75" customHeight="1">
      <c r="A753" s="2">
        <v>4.0</v>
      </c>
      <c r="B753" s="2" t="s">
        <v>2116</v>
      </c>
      <c r="C753" s="2" t="s">
        <v>2117</v>
      </c>
      <c r="D753" s="2" t="s">
        <v>13</v>
      </c>
      <c r="E753" s="2" t="s">
        <v>14</v>
      </c>
      <c r="F753" s="2" t="s">
        <v>15</v>
      </c>
      <c r="G753" s="2" t="s">
        <v>17</v>
      </c>
      <c r="H753" s="2" t="s">
        <v>17</v>
      </c>
      <c r="I753" s="2" t="str">
        <f>IFERROR(__xludf.DUMMYFUNCTION("GOOGLETRANSLATE(C753,""fr"",""en"")"),"I am satisfied with the overall price of your insurance and the Linda advisor was perfect and very pleasant. I had all the answers to my questions. Thank you")</f>
        <v>I am satisfied with the overall price of your insurance and the Linda advisor was perfect and very pleasant. I had all the answers to my questions. Thank you</v>
      </c>
    </row>
    <row r="754" ht="15.75" customHeight="1">
      <c r="A754" s="2">
        <v>3.0</v>
      </c>
      <c r="B754" s="2" t="s">
        <v>2118</v>
      </c>
      <c r="C754" s="2" t="s">
        <v>2119</v>
      </c>
      <c r="D754" s="2" t="s">
        <v>13</v>
      </c>
      <c r="E754" s="2" t="s">
        <v>14</v>
      </c>
      <c r="F754" s="2" t="s">
        <v>15</v>
      </c>
      <c r="G754" s="2" t="s">
        <v>1568</v>
      </c>
      <c r="H754" s="2" t="s">
        <v>111</v>
      </c>
      <c r="I754" s="2" t="str">
        <f>IFERROR(__xludf.DUMMYFUNCTION("GOOGLETRANSLATE(C754,""fr"",""en"")"),"Different quote from the previous one made on the mobile app since I am already a client. This price is more accessible.")</f>
        <v>Different quote from the previous one made on the mobile app since I am already a client. This price is more accessible.</v>
      </c>
    </row>
    <row r="755" ht="15.75" customHeight="1">
      <c r="A755" s="2">
        <v>3.0</v>
      </c>
      <c r="B755" s="2" t="s">
        <v>2120</v>
      </c>
      <c r="C755" s="2" t="s">
        <v>2121</v>
      </c>
      <c r="D755" s="2" t="s">
        <v>168</v>
      </c>
      <c r="E755" s="2" t="s">
        <v>14</v>
      </c>
      <c r="F755" s="2" t="s">
        <v>15</v>
      </c>
      <c r="G755" s="2" t="s">
        <v>2122</v>
      </c>
      <c r="H755" s="2" t="s">
        <v>516</v>
      </c>
      <c r="I755" s="2" t="str">
        <f>IFERROR(__xludf.DUMMYFUNCTION("GOOGLETRANSLATE(C755,""fr"",""en"")"),"Staff alone and unpleasant. As she is only people with an appointment first while you have been waiting for 1/4 hour under a caniar before Mrs. took me an hour and all without any information on the future of my file of course. Do not count that you never"&amp;" have the same advised for a few years. 20 years dear Maaf and the last year to flee a shame.")</f>
        <v>Staff alone and unpleasant. As she is only people with an appointment first while you have been waiting for 1/4 hour under a caniar before Mrs. took me an hour and all without any information on the future of my file of course. Do not count that you never have the same advised for a few years. 20 years dear Maaf and the last year to flee a shame.</v>
      </c>
    </row>
    <row r="756" ht="15.75" customHeight="1">
      <c r="A756" s="2">
        <v>4.0</v>
      </c>
      <c r="B756" s="2" t="s">
        <v>2123</v>
      </c>
      <c r="C756" s="2" t="s">
        <v>2124</v>
      </c>
      <c r="D756" s="2" t="s">
        <v>74</v>
      </c>
      <c r="E756" s="2" t="s">
        <v>58</v>
      </c>
      <c r="F756" s="2" t="s">
        <v>15</v>
      </c>
      <c r="G756" s="2" t="s">
        <v>2125</v>
      </c>
      <c r="H756" s="2" t="s">
        <v>39</v>
      </c>
      <c r="I756" s="2" t="str">
        <f>IFERROR(__xludf.DUMMYFUNCTION("GOOGLETRANSLATE(C756,""fr"",""en"")"),"Quick and not complicate, online without problem, breakdown for breakdown / depannage, to normal resilé, only unharmed, 2 contribution to pay at the beginning")</f>
        <v>Quick and not complicate, online without problem, breakdown for breakdown / depannage, to normal resilé, only unharmed, 2 contribution to pay at the beginning</v>
      </c>
    </row>
    <row r="757" ht="15.75" customHeight="1">
      <c r="A757" s="2">
        <v>5.0</v>
      </c>
      <c r="B757" s="2" t="s">
        <v>2126</v>
      </c>
      <c r="C757" s="2" t="s">
        <v>2127</v>
      </c>
      <c r="D757" s="2" t="s">
        <v>324</v>
      </c>
      <c r="E757" s="2" t="s">
        <v>103</v>
      </c>
      <c r="F757" s="2" t="s">
        <v>15</v>
      </c>
      <c r="G757" s="2" t="s">
        <v>2128</v>
      </c>
      <c r="H757" s="2" t="s">
        <v>28</v>
      </c>
      <c r="I757" s="2" t="str">
        <f>IFERROR(__xludf.DUMMYFUNCTION("GOOGLETRANSLATE(C757,""fr"",""en"")"),"I am glad
Groupama is very good,")</f>
        <v>I am glad
Groupama is very good,</v>
      </c>
    </row>
    <row r="758" ht="15.75" customHeight="1">
      <c r="A758" s="2">
        <v>3.0</v>
      </c>
      <c r="B758" s="2" t="s">
        <v>2129</v>
      </c>
      <c r="C758" s="2" t="s">
        <v>2130</v>
      </c>
      <c r="D758" s="2" t="s">
        <v>160</v>
      </c>
      <c r="E758" s="2" t="s">
        <v>21</v>
      </c>
      <c r="F758" s="2" t="s">
        <v>15</v>
      </c>
      <c r="G758" s="2" t="s">
        <v>2131</v>
      </c>
      <c r="H758" s="2" t="s">
        <v>566</v>
      </c>
      <c r="I758" s="2" t="str">
        <f>IFERROR(__xludf.DUMMYFUNCTION("GOOGLETRANSLATE(C758,""fr"",""en"")"),"Conventional rupture on 12/19/2017. I sent my portability file on 01/18/2018. I called 23/01 I was told that my file was going to be processed. I receive an SMS on 25/01 which tells me that my mutual card has just been sent. This day I call is I am told t"&amp;"hat my contract is closed ... An advisor must remind me ... I hope very quickly because since January 1 I therefore have no more mutual by the advisor that I 'I had online")</f>
        <v>Conventional rupture on 12/19/2017. I sent my portability file on 01/18/2018. I called 23/01 I was told that my file was going to be processed. I receive an SMS on 25/01 which tells me that my mutual card has just been sent. This day I call is I am told that my contract is closed ... An advisor must remind me ... I hope very quickly because since January 1 I therefore have no more mutual by the advisor that I 'I had online</v>
      </c>
    </row>
    <row r="759" ht="15.75" customHeight="1">
      <c r="A759" s="2">
        <v>3.0</v>
      </c>
      <c r="B759" s="2" t="s">
        <v>2132</v>
      </c>
      <c r="C759" s="2" t="s">
        <v>2133</v>
      </c>
      <c r="D759" s="2" t="s">
        <v>13</v>
      </c>
      <c r="E759" s="2" t="s">
        <v>14</v>
      </c>
      <c r="F759" s="2" t="s">
        <v>15</v>
      </c>
      <c r="G759" s="2" t="s">
        <v>148</v>
      </c>
      <c r="H759" s="2" t="s">
        <v>107</v>
      </c>
      <c r="I759" s="2" t="str">
        <f>IFERROR(__xludf.DUMMYFUNCTION("GOOGLETRANSLATE(C759,""fr"",""en"")"),"Simple and quick but it's too expensive I don't have the choice I wanted to do it in an emergency since I really need to move to move thank you you are too nice
")</f>
        <v>Simple and quick but it's too expensive I don't have the choice I wanted to do it in an emergency since I really need to move to move thank you you are too nice
</v>
      </c>
    </row>
    <row r="760" ht="15.75" customHeight="1">
      <c r="A760" s="2">
        <v>5.0</v>
      </c>
      <c r="B760" s="2" t="s">
        <v>2134</v>
      </c>
      <c r="C760" s="2" t="s">
        <v>2135</v>
      </c>
      <c r="D760" s="2" t="s">
        <v>240</v>
      </c>
      <c r="E760" s="2" t="s">
        <v>241</v>
      </c>
      <c r="F760" s="2" t="s">
        <v>15</v>
      </c>
      <c r="G760" s="2" t="s">
        <v>519</v>
      </c>
      <c r="H760" s="2" t="s">
        <v>50</v>
      </c>
      <c r="I760" s="2" t="str">
        <f>IFERROR(__xludf.DUMMYFUNCTION("GOOGLETRANSLATE(C760,""fr"",""en"")"),"Very satisfied with the service (simple, fast). Very precise explanations, very good support. No problems and the site is very well planned.")</f>
        <v>Very satisfied with the service (simple, fast). Very precise explanations, very good support. No problems and the site is very well planned.</v>
      </c>
    </row>
    <row r="761" ht="15.75" customHeight="1">
      <c r="A761" s="2">
        <v>1.0</v>
      </c>
      <c r="B761" s="2" t="s">
        <v>2136</v>
      </c>
      <c r="C761" s="2" t="s">
        <v>2137</v>
      </c>
      <c r="D761" s="2" t="s">
        <v>252</v>
      </c>
      <c r="E761" s="2" t="s">
        <v>21</v>
      </c>
      <c r="F761" s="2" t="s">
        <v>15</v>
      </c>
      <c r="G761" s="2" t="s">
        <v>621</v>
      </c>
      <c r="H761" s="2" t="s">
        <v>23</v>
      </c>
      <c r="I761" s="2" t="str">
        <f>IFERROR(__xludf.DUMMYFUNCTION("GOOGLETRANSLATE(C761,""fr"",""en"")"),"By obligation to subscribe to Mutual Harmonie through my business it starts badly ....
- The contract is illegible level level because it is up to us to do the calculation with the PPMS and even more complicated with the options and if you have children "&amp;"...
- I receive 2 cards when we are 3 major and autonomous members on health appointment ...
- I provide a complete file including our 3 RIB and filled in the monthly bank direct debit authorization document ... Now, we have registered me in quarterly p"&amp;"ayment and by check!
- and for mail the all dozens of attempts to send an email via my account on the mutual harmony app sold each time by a technical problem
Result: I will have to call them ... Following the next episode
Thank you for reading me and "&amp;"hope to be useful to you
Cordially")</f>
        <v>By obligation to subscribe to Mutual Harmonie through my business it starts badly ....
- The contract is illegible level level because it is up to us to do the calculation with the PPMS and even more complicated with the options and if you have children ...
- I receive 2 cards when we are 3 major and autonomous members on health appointment ...
- I provide a complete file including our 3 RIB and filled in the monthly bank direct debit authorization document ... Now, we have registered me in quarterly payment and by check!
- and for mail the all dozens of attempts to send an email via my account on the mutual harmony app sold each time by a technical problem
Result: I will have to call them ... Following the next episode
Thank you for reading me and hope to be useful to you
Cordially</v>
      </c>
    </row>
    <row r="762" ht="15.75" customHeight="1">
      <c r="A762" s="2">
        <v>5.0</v>
      </c>
      <c r="B762" s="2" t="s">
        <v>2138</v>
      </c>
      <c r="C762" s="2" t="s">
        <v>2139</v>
      </c>
      <c r="D762" s="2" t="s">
        <v>20</v>
      </c>
      <c r="E762" s="2" t="s">
        <v>21</v>
      </c>
      <c r="F762" s="2" t="s">
        <v>15</v>
      </c>
      <c r="G762" s="2" t="s">
        <v>54</v>
      </c>
      <c r="H762" s="2" t="s">
        <v>54</v>
      </c>
      <c r="I762" s="2" t="str">
        <f>IFERROR(__xludf.DUMMYFUNCTION("GOOGLETRANSLATE(C762,""fr"",""en"")"),"By 3 times, I called my mutual for an information request. My interlocutors have always been respectful and polite, they answered my questions quickly and without difficulty.")</f>
        <v>By 3 times, I called my mutual for an information request. My interlocutors have always been respectful and polite, they answered my questions quickly and without difficulty.</v>
      </c>
    </row>
    <row r="763" ht="15.75" customHeight="1">
      <c r="A763" s="2">
        <v>5.0</v>
      </c>
      <c r="B763" s="2" t="s">
        <v>2140</v>
      </c>
      <c r="C763" s="2" t="s">
        <v>2141</v>
      </c>
      <c r="D763" s="2" t="s">
        <v>74</v>
      </c>
      <c r="E763" s="2" t="s">
        <v>58</v>
      </c>
      <c r="F763" s="2" t="s">
        <v>15</v>
      </c>
      <c r="G763" s="2" t="s">
        <v>39</v>
      </c>
      <c r="H763" s="2" t="s">
        <v>39</v>
      </c>
      <c r="I763" s="2" t="str">
        <f>IFERROR(__xludf.DUMMYFUNCTION("GOOGLETRANSLATE(C763,""fr"",""en"")"),"I am very satisfied. The customer service and very good. The internet service very simple to use. Very fast and efficient cordially and thank you very much")</f>
        <v>I am very satisfied. The customer service and very good. The internet service very simple to use. Very fast and efficient cordially and thank you very much</v>
      </c>
    </row>
    <row r="764" ht="15.75" customHeight="1">
      <c r="A764" s="2">
        <v>5.0</v>
      </c>
      <c r="B764" s="2" t="s">
        <v>2142</v>
      </c>
      <c r="C764" s="2" t="s">
        <v>2143</v>
      </c>
      <c r="D764" s="2" t="s">
        <v>117</v>
      </c>
      <c r="E764" s="2" t="s">
        <v>14</v>
      </c>
      <c r="F764" s="2" t="s">
        <v>15</v>
      </c>
      <c r="G764" s="2" t="s">
        <v>618</v>
      </c>
      <c r="H764" s="2" t="s">
        <v>60</v>
      </c>
      <c r="I764" s="2" t="str">
        <f>IFERROR(__xludf.DUMMYFUNCTION("GOOGLETRANSLATE(C764,""fr"",""en"")"),"I am satisfied with the welcome, the prices, and explanations.
I recommend my friends.
I submitted all my contracts at GMF, facilitates the site to find the various contracts.
")</f>
        <v>I am satisfied with the welcome, the prices, and explanations.
I recommend my friends.
I submitted all my contracts at GMF, facilitates the site to find the various contracts.
</v>
      </c>
    </row>
    <row r="765" ht="15.75" customHeight="1">
      <c r="A765" s="2">
        <v>4.0</v>
      </c>
      <c r="B765" s="2" t="s">
        <v>2144</v>
      </c>
      <c r="C765" s="2" t="s">
        <v>2145</v>
      </c>
      <c r="D765" s="2" t="s">
        <v>13</v>
      </c>
      <c r="E765" s="2" t="s">
        <v>14</v>
      </c>
      <c r="F765" s="2" t="s">
        <v>15</v>
      </c>
      <c r="G765" s="2" t="s">
        <v>133</v>
      </c>
      <c r="H765" s="2" t="s">
        <v>107</v>
      </c>
      <c r="I765" s="2" t="str">
        <f>IFERROR(__xludf.DUMMYFUNCTION("GOOGLETRANSLATE(C765,""fr"",""en"")"),"Good service, rates still a little high! The follow -up of the files is satisfactory. Today there are less high prices on the insurance market")</f>
        <v>Good service, rates still a little high! The follow -up of the files is satisfactory. Today there are less high prices on the insurance market</v>
      </c>
    </row>
    <row r="766" ht="15.75" customHeight="1">
      <c r="A766" s="2">
        <v>1.0</v>
      </c>
      <c r="B766" s="2" t="s">
        <v>2146</v>
      </c>
      <c r="C766" s="2" t="s">
        <v>2147</v>
      </c>
      <c r="D766" s="2" t="s">
        <v>252</v>
      </c>
      <c r="E766" s="2" t="s">
        <v>21</v>
      </c>
      <c r="F766" s="2" t="s">
        <v>15</v>
      </c>
      <c r="G766" s="2" t="s">
        <v>2148</v>
      </c>
      <c r="H766" s="2" t="s">
        <v>111</v>
      </c>
      <c r="I766" s="2" t="str">
        <f>IFERROR(__xludf.DUMMYFUNCTION("GOOGLETRANSLATE(C766,""fr"",""en"")"),"Student, I have been asking for my SMEBA contract for 1 year (Internet mail and many telephone calls). I am told that I have to wait for the end of the contract on August 31 and send a registered mail. On June 22, 2020, I send a registered letter via the "&amp;"Post Office by Internet. On July 7, I receive a letter indicating that it is not written manually I must send another letter. I phone I am told that you have to redo the registered mail. When I see the previous messages, I wonder if this company will not "&amp;"continue to take me the coming school year. A word of advice: does not contract with this mutual ... Impossible to get out of it ... especially since the reimbursement are not at the height")</f>
        <v>Student, I have been asking for my SMEBA contract for 1 year (Internet mail and many telephone calls). I am told that I have to wait for the end of the contract on August 31 and send a registered mail. On June 22, 2020, I send a registered letter via the Post Office by Internet. On July 7, I receive a letter indicating that it is not written manually I must send another letter. I phone I am told that you have to redo the registered mail. When I see the previous messages, I wonder if this company will not continue to take me the coming school year. A word of advice: does not contract with this mutual ... Impossible to get out of it ... especially since the reimbursement are not at the height</v>
      </c>
    </row>
    <row r="767" ht="15.75" customHeight="1">
      <c r="A767" s="2">
        <v>1.0</v>
      </c>
      <c r="B767" s="2" t="s">
        <v>2149</v>
      </c>
      <c r="C767" s="2" t="s">
        <v>2150</v>
      </c>
      <c r="D767" s="2" t="s">
        <v>256</v>
      </c>
      <c r="E767" s="2" t="s">
        <v>14</v>
      </c>
      <c r="F767" s="2" t="s">
        <v>15</v>
      </c>
      <c r="G767" s="2" t="s">
        <v>2151</v>
      </c>
      <c r="H767" s="2" t="s">
        <v>249</v>
      </c>
      <c r="I767" s="2" t="str">
        <f>IFERROR(__xludf.DUMMYFUNCTION("GOOGLETRANSLATE(C767,""fr"",""en"")"),"An insurer who does not attend. Is not one of the most expensive but an insurer who does not attend. The top of the irresponsible because an insurer who does not attend.")</f>
        <v>An insurer who does not attend. Is not one of the most expensive but an insurer who does not attend. The top of the irresponsible because an insurer who does not attend.</v>
      </c>
    </row>
    <row r="768" ht="15.75" customHeight="1">
      <c r="A768" s="2">
        <v>5.0</v>
      </c>
      <c r="B768" s="2" t="s">
        <v>2152</v>
      </c>
      <c r="C768" s="2" t="s">
        <v>2153</v>
      </c>
      <c r="D768" s="2" t="s">
        <v>962</v>
      </c>
      <c r="E768" s="2" t="s">
        <v>462</v>
      </c>
      <c r="F768" s="2" t="s">
        <v>15</v>
      </c>
      <c r="G768" s="2" t="s">
        <v>2154</v>
      </c>
      <c r="H768" s="2" t="s">
        <v>86</v>
      </c>
      <c r="I768" s="2" t="str">
        <f>IFERROR(__xludf.DUMMYFUNCTION("GOOGLETRANSLATE(C768,""fr"",""en"")"),"An absolutely perfect service")</f>
        <v>An absolutely perfect service</v>
      </c>
    </row>
    <row r="769" ht="15.75" customHeight="1">
      <c r="A769" s="2">
        <v>4.0</v>
      </c>
      <c r="B769" s="2" t="s">
        <v>2155</v>
      </c>
      <c r="C769" s="2" t="s">
        <v>2156</v>
      </c>
      <c r="D769" s="2" t="s">
        <v>13</v>
      </c>
      <c r="E769" s="2" t="s">
        <v>14</v>
      </c>
      <c r="F769" s="2" t="s">
        <v>15</v>
      </c>
      <c r="G769" s="2" t="s">
        <v>318</v>
      </c>
      <c r="H769" s="2" t="s">
        <v>60</v>
      </c>
      <c r="I769" s="2" t="str">
        <f>IFERROR(__xludf.DUMMYFUNCTION("GOOGLETRANSLATE(C769,""fr"",""en"")"),"I am satisfied with the service. The experience is fluid and fast. The information is clear. The prices comply with what I expect for the guarantees chosen.")</f>
        <v>I am satisfied with the service. The experience is fluid and fast. The information is clear. The prices comply with what I expect for the guarantees chosen.</v>
      </c>
    </row>
    <row r="770" ht="15.75" customHeight="1">
      <c r="A770" s="2">
        <v>4.0</v>
      </c>
      <c r="B770" s="2" t="s">
        <v>2157</v>
      </c>
      <c r="C770" s="2" t="s">
        <v>2158</v>
      </c>
      <c r="D770" s="2" t="s">
        <v>74</v>
      </c>
      <c r="E770" s="2" t="s">
        <v>58</v>
      </c>
      <c r="F770" s="2" t="s">
        <v>15</v>
      </c>
      <c r="G770" s="2" t="s">
        <v>2159</v>
      </c>
      <c r="H770" s="2" t="s">
        <v>39</v>
      </c>
      <c r="I770" s="2" t="str">
        <f>IFERROR(__xludf.DUMMYFUNCTION("GOOGLETRANSLATE(C770,""fr"",""en"")"),"I am not very satisfied with your services because, I took a long time to send you my documents. But after the telephone reminder, I sent all the necessary documents and you still interrupted insurance.
Cordially")</f>
        <v>I am not very satisfied with your services because, I took a long time to send you my documents. But after the telephone reminder, I sent all the necessary documents and you still interrupted insurance.
Cordially</v>
      </c>
    </row>
    <row r="771" ht="15.75" customHeight="1">
      <c r="A771" s="2">
        <v>4.0</v>
      </c>
      <c r="B771" s="2" t="s">
        <v>2160</v>
      </c>
      <c r="C771" s="2" t="s">
        <v>2161</v>
      </c>
      <c r="D771" s="2" t="s">
        <v>31</v>
      </c>
      <c r="E771" s="2" t="s">
        <v>14</v>
      </c>
      <c r="F771" s="2" t="s">
        <v>15</v>
      </c>
      <c r="G771" s="2" t="s">
        <v>1226</v>
      </c>
      <c r="H771" s="2" t="s">
        <v>54</v>
      </c>
      <c r="I771" s="2" t="str">
        <f>IFERROR(__xludf.DUMMYFUNCTION("GOOGLETRANSLATE(C771,""fr"",""en"")"),"Very well, let's wait for the rest. I have not seen the amount of the discount due to sponsorship, can you communicate it to me? I thank you in advance. Cordially")</f>
        <v>Very well, let's wait for the rest. I have not seen the amount of the discount due to sponsorship, can you communicate it to me? I thank you in advance. Cordially</v>
      </c>
    </row>
    <row r="772" ht="15.75" customHeight="1">
      <c r="A772" s="2">
        <v>1.0</v>
      </c>
      <c r="B772" s="2" t="s">
        <v>2162</v>
      </c>
      <c r="C772" s="2" t="s">
        <v>2163</v>
      </c>
      <c r="D772" s="2" t="s">
        <v>136</v>
      </c>
      <c r="E772" s="2" t="s">
        <v>103</v>
      </c>
      <c r="F772" s="2" t="s">
        <v>15</v>
      </c>
      <c r="G772" s="2" t="s">
        <v>528</v>
      </c>
      <c r="H772" s="2" t="s">
        <v>184</v>
      </c>
      <c r="I772" s="2" t="str">
        <f>IFERROR(__xludf.DUMMYFUNCTION("GOOGLETRANSLATE(C772,""fr"",""en"")"),"Hello,
Do not subscribe to them.
I have 4 apartments insured at Pacifica. Snow has done damage to my slates, insurance does not take into account and this ""option"" is not addable. After two telephone calls and two advisers, the two replied, that the f"&amp;"rame had to collapse so that they can take care of !!!
I strongly recommend this insurance.")</f>
        <v>Hello,
Do not subscribe to them.
I have 4 apartments insured at Pacifica. Snow has done damage to my slates, insurance does not take into account and this "option" is not addable. After two telephone calls and two advisers, the two replied, that the frame had to collapse so that they can take care of !!!
I strongly recommend this insurance.</v>
      </c>
    </row>
    <row r="773" ht="15.75" customHeight="1">
      <c r="A773" s="2">
        <v>5.0</v>
      </c>
      <c r="B773" s="2" t="s">
        <v>2164</v>
      </c>
      <c r="C773" s="2" t="s">
        <v>2165</v>
      </c>
      <c r="D773" s="2" t="s">
        <v>74</v>
      </c>
      <c r="E773" s="2" t="s">
        <v>58</v>
      </c>
      <c r="F773" s="2" t="s">
        <v>15</v>
      </c>
      <c r="G773" s="2" t="s">
        <v>2166</v>
      </c>
      <c r="H773" s="2" t="s">
        <v>33</v>
      </c>
      <c r="I773" s="2" t="str">
        <f>IFERROR(__xludf.DUMMYFUNCTION("GOOGLETRANSLATE(C773,""fr"",""en"")"),"Very fast online insurance at very affordable prices, April Moto is synonymous with freedom! ...
I highly recommend this insurance which among so many others is not distinguished its rates, protection and options possible.")</f>
        <v>Very fast online insurance at very affordable prices, April Moto is synonymous with freedom! ...
I highly recommend this insurance which among so many others is not distinguished its rates, protection and options possible.</v>
      </c>
    </row>
    <row r="774" ht="15.75" customHeight="1">
      <c r="A774" s="2">
        <v>5.0</v>
      </c>
      <c r="B774" s="2" t="s">
        <v>2167</v>
      </c>
      <c r="C774" s="2" t="s">
        <v>2168</v>
      </c>
      <c r="D774" s="2" t="s">
        <v>13</v>
      </c>
      <c r="E774" s="2" t="s">
        <v>14</v>
      </c>
      <c r="F774" s="2" t="s">
        <v>15</v>
      </c>
      <c r="G774" s="2" t="s">
        <v>16</v>
      </c>
      <c r="H774" s="2" t="s">
        <v>17</v>
      </c>
      <c r="I774" s="2" t="str">
        <f>IFERROR(__xludf.DUMMYFUNCTION("GOOGLETRANSLATE(C774,""fr"",""en"")"),"I am satisfied with the service and the prices.
I manage to join advisers, the site is practical.
Thank you for your welcome every time.
But I would like to have a discount as I have several types of contract with you :)")</f>
        <v>I am satisfied with the service and the prices.
I manage to join advisers, the site is practical.
Thank you for your welcome every time.
But I would like to have a discount as I have several types of contract with you :)</v>
      </c>
    </row>
    <row r="775" ht="15.75" customHeight="1">
      <c r="A775" s="2">
        <v>5.0</v>
      </c>
      <c r="B775" s="2" t="s">
        <v>2169</v>
      </c>
      <c r="C775" s="2" t="s">
        <v>2170</v>
      </c>
      <c r="D775" s="2" t="s">
        <v>74</v>
      </c>
      <c r="E775" s="2" t="s">
        <v>58</v>
      </c>
      <c r="F775" s="2" t="s">
        <v>15</v>
      </c>
      <c r="G775" s="2" t="s">
        <v>729</v>
      </c>
      <c r="H775" s="2" t="s">
        <v>107</v>
      </c>
      <c r="I775" s="2" t="str">
        <f>IFERROR(__xludf.DUMMYFUNCTION("GOOGLETRANSLATE(C775,""fr"",""en"")"),"I am satisfied with your service thank you for your confidence for accepting me in your insurance I hope that I will not be disappointed I thank you for your confidence")</f>
        <v>I am satisfied with your service thank you for your confidence for accepting me in your insurance I hope that I will not be disappointed I thank you for your confidence</v>
      </c>
    </row>
    <row r="776" ht="15.75" customHeight="1">
      <c r="A776" s="2">
        <v>5.0</v>
      </c>
      <c r="B776" s="2" t="s">
        <v>2171</v>
      </c>
      <c r="C776" s="2" t="s">
        <v>2172</v>
      </c>
      <c r="D776" s="2" t="s">
        <v>31</v>
      </c>
      <c r="E776" s="2" t="s">
        <v>14</v>
      </c>
      <c r="F776" s="2" t="s">
        <v>15</v>
      </c>
      <c r="G776" s="2" t="s">
        <v>2173</v>
      </c>
      <c r="H776" s="2" t="s">
        <v>130</v>
      </c>
      <c r="I776" s="2" t="str">
        <f>IFERROR(__xludf.DUMMYFUNCTION("GOOGLETRANSLATE(C776,""fr"",""en"")"),"TOP insurance, kind and patient contacts, clear information concerning the procedures following a claim.
I greatly appreciated the loan of a vehicle during mine repairs.
Simplicity of approaches 10/10.
No complaints on the choice of the JM Carosserie g"&amp;"arage in Senlis who has done an excellent job!")</f>
        <v>TOP insurance, kind and patient contacts, clear information concerning the procedures following a claim.
I greatly appreciated the loan of a vehicle during mine repairs.
Simplicity of approaches 10/10.
No complaints on the choice of the JM Carosserie garage in Senlis who has done an excellent job!</v>
      </c>
    </row>
    <row r="777" ht="15.75" customHeight="1">
      <c r="A777" s="2">
        <v>3.0</v>
      </c>
      <c r="B777" s="2" t="s">
        <v>2174</v>
      </c>
      <c r="C777" s="2" t="s">
        <v>2175</v>
      </c>
      <c r="D777" s="2" t="s">
        <v>74</v>
      </c>
      <c r="E777" s="2" t="s">
        <v>58</v>
      </c>
      <c r="F777" s="2" t="s">
        <v>15</v>
      </c>
      <c r="G777" s="2" t="s">
        <v>1198</v>
      </c>
      <c r="H777" s="2" t="s">
        <v>76</v>
      </c>
      <c r="I777" s="2" t="str">
        <f>IFERROR(__xludf.DUMMYFUNCTION("GOOGLETRANSLATE(C777,""fr"",""en"")"),"Simple and practical to ensure a two -wheeled vehicle, satisfactory price, pleasant contact with the explanations requested in the contract proposed for this type of vehicle.
Thank you")</f>
        <v>Simple and practical to ensure a two -wheeled vehicle, satisfactory price, pleasant contact with the explanations requested in the contract proposed for this type of vehicle.
Thank you</v>
      </c>
    </row>
    <row r="778" ht="15.75" customHeight="1">
      <c r="A778" s="2">
        <v>1.0</v>
      </c>
      <c r="B778" s="2" t="s">
        <v>2176</v>
      </c>
      <c r="C778" s="2" t="s">
        <v>2177</v>
      </c>
      <c r="D778" s="2" t="s">
        <v>222</v>
      </c>
      <c r="E778" s="2" t="s">
        <v>21</v>
      </c>
      <c r="F778" s="2" t="s">
        <v>15</v>
      </c>
      <c r="G778" s="2" t="s">
        <v>2178</v>
      </c>
      <c r="H778" s="2" t="s">
        <v>532</v>
      </c>
      <c r="I778" s="2" t="str">
        <f>IFERROR(__xludf.DUMMYFUNCTION("GOOGLETRANSLATE(C778,""fr"",""en"")"),"Flee group ... It's been a year now that I can't terminate! Procedure problem ... mail dating back more than 2 months, etc ... and today I am explained to me that they cannot receive an email when it is a response to theirs without any Indication not to a"&amp;"nswer! No message in return but everything is fine ...")</f>
        <v>Flee group ... It's been a year now that I can't terminate! Procedure problem ... mail dating back more than 2 months, etc ... and today I am explained to me that they cannot receive an email when it is a response to theirs without any Indication not to answer! No message in return but everything is fine ...</v>
      </c>
    </row>
    <row r="779" ht="15.75" customHeight="1">
      <c r="A779" s="2">
        <v>1.0</v>
      </c>
      <c r="B779" s="2" t="s">
        <v>2179</v>
      </c>
      <c r="C779" s="2" t="s">
        <v>2180</v>
      </c>
      <c r="D779" s="2" t="s">
        <v>128</v>
      </c>
      <c r="E779" s="2" t="s">
        <v>14</v>
      </c>
      <c r="F779" s="2" t="s">
        <v>15</v>
      </c>
      <c r="G779" s="2" t="s">
        <v>2181</v>
      </c>
      <c r="H779" s="2" t="s">
        <v>207</v>
      </c>
      <c r="I779" s="2" t="str">
        <f>IFERROR(__xludf.DUMMYFUNCTION("GOOGLETRANSLATE(C779,""fr"",""en"")"),"Hello
For almost 3 months I have had a claim with my Renault Twingo in 2002 on Lautoroute
We are February 18, 2019
I hit a debris of hard plastic on the central track during an overtaking very much of fear but the car to roll up to the toll of Se"&amp;"nlis but when downgrading the problems starts impossible to pass the speeds I slow down as well as pain at the point Death and succeeded in passing the second before marbles in the toll unfortunately when restarting the car car being alone in lhabitacle I"&amp;" decide not to insist and call the motorway services
My car is towed to an approved garage in Senlis having had the Matmut on the phone I had specified my contact details I was not very far from my house I was told that yellowing right to a taxi etc afte"&amp;"r a little dated the mechanic tells me your gearbox is completely twisted but this should be taken care of by Lassurance
The problems start as soon as Lassurance Jappelle to be accompanied at my home the person on the phone tells me that I am 90 km from "&amp;"my home and what a look at the confused train schedules I explain to him that I am maximum 40 minutes from my home and that the file had to be ill -filled the person therefore leads a taxi which was to arrive in 30 minutes after an hour datte the taxi map"&amp;"s was sent to him a bad address
February 19, 2019
Standard request for care by lassurance vehicle assured any risk of the matmut tells us that an expert will come as soon as possible the garage calls us on the subject of the car The quote seled at 1"&amp;"142 euros to replace the gearbox with a dock And at the same time tells us about the guarding costs we call the Matmut which tells us that the guard costs will be covered by Lassurance
Lexpertise will have place that on March 05, 2019 but as the costs "&amp;"are borne by the Matmut we do not worry too much
The procedure continues and we receive Lavis of Lexpert HS gearbox but that would not be due to the claim a oil leak in the gearbox so we ask for a second expertise because it did not correspond to the g"&amp;"arage lexpertise in addition we never had a problems with this car before
Again we are assured that everything will be done as soon as possible
March 21, 2019 Letter from the Matmut saying that they continue to manage the file
We relay Lassurance on "&amp;"multiple times
April 26, 2019 We receive a letter from the MATMUT compensation service saying that the file was closed they will not support repairs
After two expertise we tell ourselves that long will send the vehicle to destruction
My brother the"&amp;"refore makes an appointment with the garage the vehicle being his name he is told when no one had come to make a second expertise when signing the session papers he even is asked how he plans to pay the security fees
He explains that this has been ag"&amp;"reed with the Matmut and that they will pay the costs lower for them given the monstrous deadlines between the expertise that are not our fact but theirs
When he doubts he calls them all the same and this time we tell him we do not pay the care of the gu"&amp;"arding in charge we are on May 09, 2019 the sender invoice at 1250 euro and we have no more vehicle
The Matmut obviously botched our file from the start there has been negligence on their part and we pay the price for their incompetence we are in no wa"&amp;"y responsible for the organizational deadlines carried out by the Matmut to achieve their expertise and their reports transmitted More than two months after the claim
We feel injured in this case from A to Zespere today that the greatest number can rea"&amp;"d this message so as not to pay insurance that lies their
We intend to withdraw all what we have assured in the Matmut in view of its blatant lack of interest for its customers and its incompetence
We still hope to be contacted by other people from "&amp;"Matmut may be more competent and more concerned with their customers to end the nightmare that we have been living for almost 3 long months
")</f>
        <v>Hello
For almost 3 months I have had a claim with my Renault Twingo in 2002 on Lautoroute
We are February 18, 2019
I hit a debris of hard plastic on the central track during an overtaking very much of fear but the car to roll up to the toll of Senlis but when downgrading the problems starts impossible to pass the speeds I slow down as well as pain at the point Death and succeeded in passing the second before marbles in the toll unfortunately when restarting the car car being alone in lhabitacle I decide not to insist and call the motorway services
My car is towed to an approved garage in Senlis having had the Matmut on the phone I had specified my contact details I was not very far from my house I was told that yellowing right to a taxi etc after a little dated the mechanic tells me your gearbox is completely twisted but this should be taken care of by Lassurance
The problems start as soon as Lassurance Jappelle to be accompanied at my home the person on the phone tells me that I am 90 km from my home and what a look at the confused train schedules I explain to him that I am maximum 40 minutes from my home and that the file had to be ill -filled the person therefore leads a taxi which was to arrive in 30 minutes after an hour datte the taxi maps was sent to him a bad address
February 19, 2019
Standard request for care by lassurance vehicle assured any risk of the matmut tells us that an expert will come as soon as possible the garage calls us on the subject of the car The quote seled at 1142 euros to replace the gearbox with a dock And at the same time tells us about the guarding costs we call the Matmut which tells us that the guard costs will be covered by Lassurance
Lexpertise will have place that on March 05, 2019 but as the costs are borne by the Matmut we do not worry too much
The procedure continues and we receive Lavis of Lexpert HS gearbox but that would not be due to the claim a oil leak in the gearbox so we ask for a second expertise because it did not correspond to the garage lexpertise in addition we never had a problems with this car before
Again we are assured that everything will be done as soon as possible
March 21, 2019 Letter from the Matmut saying that they continue to manage the file
We relay Lassurance on multiple times
April 26, 2019 We receive a letter from the MATMUT compensation service saying that the file was closed they will not support repairs
After two expertise we tell ourselves that long will send the vehicle to destruction
My brother therefore makes an appointment with the garage the vehicle being his name he is told when no one had come to make a second expertise when signing the session papers he even is asked how he plans to pay the security fees
He explains that this has been agreed with the Matmut and that they will pay the costs lower for them given the monstrous deadlines between the expertise that are not our fact but theirs
When he doubts he calls them all the same and this time we tell him we do not pay the care of the guarding in charge we are on May 09, 2019 the sender invoice at 1250 euro and we have no more vehicle
The Matmut obviously botched our file from the start there has been negligence on their part and we pay the price for their incompetence we are in no way responsible for the organizational deadlines carried out by the Matmut to achieve their expertise and their reports transmitted More than two months after the claim
We feel injured in this case from A to Zespere today that the greatest number can read this message so as not to pay insurance that lies their
We intend to withdraw all what we have assured in the Matmut in view of its blatant lack of interest for its customers and its incompetence
We still hope to be contacted by other people from Matmut may be more competent and more concerned with their customers to end the nightmare that we have been living for almost 3 long months
</v>
      </c>
    </row>
    <row r="780" ht="15.75" customHeight="1">
      <c r="A780" s="2">
        <v>4.0</v>
      </c>
      <c r="B780" s="2" t="s">
        <v>2182</v>
      </c>
      <c r="C780" s="2" t="s">
        <v>2183</v>
      </c>
      <c r="D780" s="2" t="s">
        <v>31</v>
      </c>
      <c r="E780" s="2" t="s">
        <v>14</v>
      </c>
      <c r="F780" s="2" t="s">
        <v>15</v>
      </c>
      <c r="G780" s="2" t="s">
        <v>1973</v>
      </c>
      <c r="H780" s="2" t="s">
        <v>60</v>
      </c>
      <c r="I780" s="2" t="str">
        <f>IFERROR(__xludf.DUMMYFUNCTION("GOOGLETRANSLATE(C780,""fr"",""en"")"),"Sympathetic advisor
Correct price, and clear explanations.
To see in time if the insurance is a compassant.
Hoping not to need it.
")</f>
        <v>Sympathetic advisor
Correct price, and clear explanations.
To see in time if the insurance is a compassant.
Hoping not to need it.
</v>
      </c>
    </row>
    <row r="781" ht="15.75" customHeight="1">
      <c r="A781" s="2">
        <v>2.0</v>
      </c>
      <c r="B781" s="2" t="s">
        <v>2184</v>
      </c>
      <c r="C781" s="2" t="s">
        <v>2185</v>
      </c>
      <c r="D781" s="2" t="s">
        <v>31</v>
      </c>
      <c r="E781" s="2" t="s">
        <v>14</v>
      </c>
      <c r="F781" s="2" t="s">
        <v>15</v>
      </c>
      <c r="G781" s="2" t="s">
        <v>2186</v>
      </c>
      <c r="H781" s="2" t="s">
        <v>194</v>
      </c>
      <c r="I781" s="2" t="str">
        <f>IFERROR(__xludf.DUMMYFUNCTION("GOOGLETRANSLATE(C781,""fr"",""en"")"),"I have resilled my police insurance contract108080125790, on the Hamon law, no response and against the civil code article A121-1 he had not send me my information record, so I cannot ensure otherwise with my bonus Max . I received today a request for a f"&amp;"ull year of effico in Tours for a 313.04 euros inclusive its costs, not 30 days like the Hamon law say. I need a payer 24 € on the Hamon law.
I file a complaint to the insurance mediator Avoid the olive tree not honest, no good service. I also file a com"&amp;"plaint at Admiral in UK because it is the original company")</f>
        <v>I have resilled my police insurance contract108080125790, on the Hamon law, no response and against the civil code article A121-1 he had not send me my information record, so I cannot ensure otherwise with my bonus Max . I received today a request for a full year of effico in Tours for a 313.04 euros inclusive its costs, not 30 days like the Hamon law say. I need a payer 24 € on the Hamon law.
I file a complaint to the insurance mediator Avoid the olive tree not honest, no good service. I also file a complaint at Admiral in UK because it is the original company</v>
      </c>
    </row>
    <row r="782" ht="15.75" customHeight="1">
      <c r="A782" s="2">
        <v>4.0</v>
      </c>
      <c r="B782" s="2" t="s">
        <v>2187</v>
      </c>
      <c r="C782" s="2" t="s">
        <v>2188</v>
      </c>
      <c r="D782" s="2" t="s">
        <v>57</v>
      </c>
      <c r="E782" s="2" t="s">
        <v>58</v>
      </c>
      <c r="F782" s="2" t="s">
        <v>15</v>
      </c>
      <c r="G782" s="2" t="s">
        <v>408</v>
      </c>
      <c r="H782" s="2" t="s">
        <v>76</v>
      </c>
      <c r="I782" s="2" t="str">
        <f>IFERROR(__xludf.DUMMYFUNCTION("GOOGLETRANSLATE(C782,""fr"",""en"")"),"Reactivity, availability, listening, ease of exchanges, attractive price, good file management means that AMV is highly recommended by the majority of bikers.")</f>
        <v>Reactivity, availability, listening, ease of exchanges, attractive price, good file management means that AMV is highly recommended by the majority of bikers.</v>
      </c>
    </row>
    <row r="783" ht="15.75" customHeight="1">
      <c r="A783" s="2">
        <v>2.0</v>
      </c>
      <c r="B783" s="2" t="s">
        <v>2189</v>
      </c>
      <c r="C783" s="2" t="s">
        <v>2190</v>
      </c>
      <c r="D783" s="2" t="s">
        <v>836</v>
      </c>
      <c r="E783" s="2" t="s">
        <v>103</v>
      </c>
      <c r="F783" s="2" t="s">
        <v>15</v>
      </c>
      <c r="G783" s="2" t="s">
        <v>386</v>
      </c>
      <c r="H783" s="2" t="s">
        <v>386</v>
      </c>
      <c r="I783" s="2" t="str">
        <f>IFERROR(__xludf.DUMMYFUNCTION("GOOGLETRANSLATE(C783,""fr"",""en"")"),"Insured for years, over 5 years ago, you could get an interlocutor, be recalled, etc. Now, slowness of files, vague, changing responses. If you are a little used to exchanges with after -sales service and customer services, you can very quickly feel the c"&amp;"limate. And it's not just an impression. Waited four months to decide (short standard letter) not to reimburse a claim when the first past expert had spoken of a counter-expertise to plan. I pass the details but it seems not to have had any action with th"&amp;"e other insurance. I will have accepted non-reimbursement (although the disaster was clear) but there 0 explanation. I made a complaint last month with expert copies, headquarters etc. By demanding a quick response, no news.")</f>
        <v>Insured for years, over 5 years ago, you could get an interlocutor, be recalled, etc. Now, slowness of files, vague, changing responses. If you are a little used to exchanges with after -sales service and customer services, you can very quickly feel the climate. And it's not just an impression. Waited four months to decide (short standard letter) not to reimburse a claim when the first past expert had spoken of a counter-expertise to plan. I pass the details but it seems not to have had any action with the other insurance. I will have accepted non-reimbursement (although the disaster was clear) but there 0 explanation. I made a complaint last month with expert copies, headquarters etc. By demanding a quick response, no news.</v>
      </c>
    </row>
    <row r="784" ht="15.75" customHeight="1">
      <c r="A784" s="2">
        <v>2.0</v>
      </c>
      <c r="B784" s="2" t="s">
        <v>2191</v>
      </c>
      <c r="C784" s="2" t="s">
        <v>2192</v>
      </c>
      <c r="D784" s="2" t="s">
        <v>136</v>
      </c>
      <c r="E784" s="2" t="s">
        <v>14</v>
      </c>
      <c r="F784" s="2" t="s">
        <v>15</v>
      </c>
      <c r="G784" s="2" t="s">
        <v>2193</v>
      </c>
      <c r="H784" s="2" t="s">
        <v>1024</v>
      </c>
      <c r="I784" s="2" t="str">
        <f>IFERROR(__xludf.DUMMYFUNCTION("GOOGLETRANSLATE(C784,""fr"",""en"")"),"Very long for care, an expert not in a hurry for minor damage. The garage has not been repaired for 15 days and the questioning of the opposing party did not take place until Friday June 14 for a loss of May 31")</f>
        <v>Very long for care, an expert not in a hurry for minor damage. The garage has not been repaired for 15 days and the questioning of the opposing party did not take place until Friday June 14 for a loss of May 31</v>
      </c>
    </row>
    <row r="785" ht="15.75" customHeight="1">
      <c r="A785" s="2">
        <v>2.0</v>
      </c>
      <c r="B785" s="2" t="s">
        <v>2194</v>
      </c>
      <c r="C785" s="2" t="s">
        <v>2195</v>
      </c>
      <c r="D785" s="2" t="s">
        <v>229</v>
      </c>
      <c r="E785" s="2" t="s">
        <v>58</v>
      </c>
      <c r="F785" s="2" t="s">
        <v>15</v>
      </c>
      <c r="G785" s="2" t="s">
        <v>2196</v>
      </c>
      <c r="H785" s="2" t="s">
        <v>386</v>
      </c>
      <c r="I785" s="2" t="str">
        <f>IFERROR(__xludf.DUMMYFUNCTION("GOOGLETRANSLATE(C785,""fr"",""en"")"),"I had a hung in wrong after 2 or 3 months of insurance at Euro Insurance, the reimbursements of the material damage was well taken care of, except that the person checked the bodily damage box while it does not had nothing, I tried to explain it to the in"&amp;"surer but since I had signed, my signature is once! After several me, they did not pay anything to the opposing party as a bodily injury since there were none! But on my information statement I am a young driver of 50 cc so I pay the high price in insuran"&amp;"ce when they have no proofs ... What should I do? Put them in court? Because it is a document errors!")</f>
        <v>I had a hung in wrong after 2 or 3 months of insurance at Euro Insurance, the reimbursements of the material damage was well taken care of, except that the person checked the bodily damage box while it does not had nothing, I tried to explain it to the insurer but since I had signed, my signature is once! After several me, they did not pay anything to the opposing party as a bodily injury since there were none! But on my information statement I am a young driver of 50 cc so I pay the high price in insurance when they have no proofs ... What should I do? Put them in court? Because it is a document errors!</v>
      </c>
    </row>
    <row r="786" ht="15.75" customHeight="1">
      <c r="A786" s="2">
        <v>1.0</v>
      </c>
      <c r="B786" s="2" t="s">
        <v>2197</v>
      </c>
      <c r="C786" s="2" t="s">
        <v>2198</v>
      </c>
      <c r="D786" s="2" t="s">
        <v>160</v>
      </c>
      <c r="E786" s="2" t="s">
        <v>21</v>
      </c>
      <c r="F786" s="2" t="s">
        <v>15</v>
      </c>
      <c r="G786" s="2" t="s">
        <v>2199</v>
      </c>
      <c r="H786" s="2" t="s">
        <v>138</v>
      </c>
      <c r="I786" s="2" t="str">
        <f>IFERROR(__xludf.DUMMYFUNCTION("GOOGLETRANSLATE(C786,""fr"",""en"")"),"To flee.")</f>
        <v>To flee.</v>
      </c>
    </row>
    <row r="787" ht="15.75" customHeight="1">
      <c r="A787" s="2">
        <v>5.0</v>
      </c>
      <c r="B787" s="2" t="s">
        <v>2200</v>
      </c>
      <c r="C787" s="2" t="s">
        <v>2201</v>
      </c>
      <c r="D787" s="2" t="s">
        <v>74</v>
      </c>
      <c r="E787" s="2" t="s">
        <v>58</v>
      </c>
      <c r="F787" s="2" t="s">
        <v>15</v>
      </c>
      <c r="G787" s="2" t="s">
        <v>2202</v>
      </c>
      <c r="H787" s="2" t="s">
        <v>54</v>
      </c>
      <c r="I787" s="2" t="str">
        <f>IFERROR(__xludf.DUMMYFUNCTION("GOOGLETRANSLATE(C787,""fr"",""en"")"),"Great top! Top insurance and all at the top thank you very much. Really not expensive. Very fast I recommend thoroughly thank you! I recommend ! Thanks very much")</f>
        <v>Great top! Top insurance and all at the top thank you very much. Really not expensive. Very fast I recommend thoroughly thank you! I recommend ! Thanks very much</v>
      </c>
    </row>
    <row r="788" ht="15.75" customHeight="1">
      <c r="A788" s="2">
        <v>3.0</v>
      </c>
      <c r="B788" s="2" t="s">
        <v>2203</v>
      </c>
      <c r="C788" s="2" t="s">
        <v>2204</v>
      </c>
      <c r="D788" s="2" t="s">
        <v>74</v>
      </c>
      <c r="E788" s="2" t="s">
        <v>58</v>
      </c>
      <c r="F788" s="2" t="s">
        <v>15</v>
      </c>
      <c r="G788" s="2" t="s">
        <v>729</v>
      </c>
      <c r="H788" s="2" t="s">
        <v>107</v>
      </c>
      <c r="I788" s="2" t="str">
        <f>IFERROR(__xludf.DUMMYFUNCTION("GOOGLETRANSLATE(C788,""fr"",""en"")"),"I am satisfied it's great I have no words so I am happy to have my quad I will enjoy it with my darling. Thank you April it's great")</f>
        <v>I am satisfied it's great I have no words so I am happy to have my quad I will enjoy it with my darling. Thank you April it's great</v>
      </c>
    </row>
    <row r="789" ht="15.75" customHeight="1">
      <c r="A789" s="2">
        <v>1.0</v>
      </c>
      <c r="B789" s="2" t="s">
        <v>2205</v>
      </c>
      <c r="C789" s="2" t="s">
        <v>2206</v>
      </c>
      <c r="D789" s="2" t="s">
        <v>942</v>
      </c>
      <c r="E789" s="2" t="s">
        <v>317</v>
      </c>
      <c r="F789" s="2" t="s">
        <v>15</v>
      </c>
      <c r="G789" s="2" t="s">
        <v>2207</v>
      </c>
      <c r="H789" s="2" t="s">
        <v>28</v>
      </c>
      <c r="I789" s="2" t="str">
        <f>IFERROR(__xludf.DUMMYFUNCTION("GOOGLETRANSLATE(C789,""fr"",""en"")"),"Fighter's journey to obtain partial repurchase on life insurance. Obvious bad faith, so-called loss of requests ... Final deadline exceeds 5 weeks- shame")</f>
        <v>Fighter's journey to obtain partial repurchase on life insurance. Obvious bad faith, so-called loss of requests ... Final deadline exceeds 5 weeks- shame</v>
      </c>
    </row>
    <row r="790" ht="15.75" customHeight="1">
      <c r="A790" s="2">
        <v>2.0</v>
      </c>
      <c r="B790" s="2" t="s">
        <v>2208</v>
      </c>
      <c r="C790" s="2" t="s">
        <v>2209</v>
      </c>
      <c r="D790" s="2" t="s">
        <v>13</v>
      </c>
      <c r="E790" s="2" t="s">
        <v>14</v>
      </c>
      <c r="F790" s="2" t="s">
        <v>15</v>
      </c>
      <c r="G790" s="2" t="s">
        <v>226</v>
      </c>
      <c r="H790" s="2" t="s">
        <v>17</v>
      </c>
      <c r="I790" s="2" t="str">
        <f>IFERROR(__xludf.DUMMYFUNCTION("GOOGLETRANSLATE(C790,""fr"",""en"")"),"Too bad the prices are proportional to the vehicle range, because I am satisfied with the services, but to the change of vehicle for a higher range, your prices reach up to 4 times the amount of my new insurance.
Never mind.")</f>
        <v>Too bad the prices are proportional to the vehicle range, because I am satisfied with the services, but to the change of vehicle for a higher range, your prices reach up to 4 times the amount of my new insurance.
Never mind.</v>
      </c>
    </row>
    <row r="791" ht="15.75" customHeight="1">
      <c r="A791" s="2">
        <v>4.0</v>
      </c>
      <c r="B791" s="2" t="s">
        <v>2210</v>
      </c>
      <c r="C791" s="2" t="s">
        <v>2211</v>
      </c>
      <c r="D791" s="2" t="s">
        <v>13</v>
      </c>
      <c r="E791" s="2" t="s">
        <v>14</v>
      </c>
      <c r="F791" s="2" t="s">
        <v>15</v>
      </c>
      <c r="G791" s="2" t="s">
        <v>179</v>
      </c>
      <c r="H791" s="2" t="s">
        <v>50</v>
      </c>
      <c r="I791" s="2" t="str">
        <f>IFERROR(__xludf.DUMMYFUNCTION("GOOGLETRANSLATE(C791,""fr"",""en"")"),"The price is correct and the opinions are very good. I had my permit less than a month ago, and despite the 2000kms traveled on another car (including more than 200 in Paris) I did not touch a single wall, or a single car. My relatives are surprised by my"&amp;" driving for a young driver, so I found it unfair to pay € 115 per month of insurance because of the others.")</f>
        <v>The price is correct and the opinions are very good. I had my permit less than a month ago, and despite the 2000kms traveled on another car (including more than 200 in Paris) I did not touch a single wall, or a single car. My relatives are surprised by my driving for a young driver, so I found it unfair to pay € 115 per month of insurance because of the others.</v>
      </c>
    </row>
    <row r="792" ht="15.75" customHeight="1">
      <c r="A792" s="2">
        <v>5.0</v>
      </c>
      <c r="B792" s="2" t="s">
        <v>2212</v>
      </c>
      <c r="C792" s="2" t="s">
        <v>2213</v>
      </c>
      <c r="D792" s="2" t="s">
        <v>57</v>
      </c>
      <c r="E792" s="2" t="s">
        <v>58</v>
      </c>
      <c r="F792" s="2" t="s">
        <v>15</v>
      </c>
      <c r="G792" s="2" t="s">
        <v>729</v>
      </c>
      <c r="H792" s="2" t="s">
        <v>107</v>
      </c>
      <c r="I792" s="2" t="str">
        <f>IFERROR(__xludf.DUMMYFUNCTION("GOOGLETRANSLATE(C792,""fr"",""en"")"),"No quick response fast I have all my house, car, collector's motorcycle and other to date I am satisfied with your service")</f>
        <v>No quick response fast I have all my house, car, collector's motorcycle and other to date I am satisfied with your service</v>
      </c>
    </row>
    <row r="793" ht="15.75" customHeight="1">
      <c r="A793" s="2">
        <v>5.0</v>
      </c>
      <c r="B793" s="2" t="s">
        <v>2214</v>
      </c>
      <c r="C793" s="2" t="s">
        <v>2215</v>
      </c>
      <c r="D793" s="2" t="s">
        <v>57</v>
      </c>
      <c r="E793" s="2" t="s">
        <v>58</v>
      </c>
      <c r="F793" s="2" t="s">
        <v>15</v>
      </c>
      <c r="G793" s="2" t="s">
        <v>99</v>
      </c>
      <c r="H793" s="2" t="s">
        <v>50</v>
      </c>
      <c r="I793" s="2" t="str">
        <f>IFERROR(__xludf.DUMMYFUNCTION("GOOGLETRANSLATE(C793,""fr"",""en"")"),"The prices suit me and I work with AMV through my job, always super reactive and vehicles always repaired in the extent of course.")</f>
        <v>The prices suit me and I work with AMV through my job, always super reactive and vehicles always repaired in the extent of course.</v>
      </c>
    </row>
    <row r="794" ht="15.75" customHeight="1">
      <c r="A794" s="2">
        <v>5.0</v>
      </c>
      <c r="B794" s="2" t="s">
        <v>2216</v>
      </c>
      <c r="C794" s="2" t="s">
        <v>2217</v>
      </c>
      <c r="D794" s="2" t="s">
        <v>79</v>
      </c>
      <c r="E794" s="2" t="s">
        <v>21</v>
      </c>
      <c r="F794" s="2" t="s">
        <v>15</v>
      </c>
      <c r="G794" s="2" t="s">
        <v>309</v>
      </c>
      <c r="H794" s="2" t="s">
        <v>33</v>
      </c>
      <c r="I794" s="2" t="str">
        <f>IFERROR(__xludf.DUMMYFUNCTION("GOOGLETRANSLATE(C794,""fr"",""en"")"),"A big thank you for your professionalism, simple fast and efficient.
Thanks to Paul still for your friendly you are at the top of other services should take example")</f>
        <v>A big thank you for your professionalism, simple fast and efficient.
Thanks to Paul still for your friendly you are at the top of other services should take example</v>
      </c>
    </row>
    <row r="795" ht="15.75" customHeight="1">
      <c r="A795" s="2">
        <v>5.0</v>
      </c>
      <c r="B795" s="2" t="s">
        <v>2218</v>
      </c>
      <c r="C795" s="2" t="s">
        <v>2219</v>
      </c>
      <c r="D795" s="2" t="s">
        <v>13</v>
      </c>
      <c r="E795" s="2" t="s">
        <v>14</v>
      </c>
      <c r="F795" s="2" t="s">
        <v>15</v>
      </c>
      <c r="G795" s="2" t="s">
        <v>54</v>
      </c>
      <c r="H795" s="2" t="s">
        <v>54</v>
      </c>
      <c r="I795" s="2" t="str">
        <f>IFERROR(__xludf.DUMMYFUNCTION("GOOGLETRANSLATE(C795,""fr"",""en"")"),"Simple and effective quick satisfied I recommend and do not hesitate to sponsor the people around us as well as friends and colleagues. Quality report very reasonable price and much cheaper than our old insurance")</f>
        <v>Simple and effective quick satisfied I recommend and do not hesitate to sponsor the people around us as well as friends and colleagues. Quality report very reasonable price and much cheaper than our old insurance</v>
      </c>
    </row>
    <row r="796" ht="15.75" customHeight="1">
      <c r="A796" s="2">
        <v>5.0</v>
      </c>
      <c r="B796" s="2" t="s">
        <v>2220</v>
      </c>
      <c r="C796" s="2" t="s">
        <v>2221</v>
      </c>
      <c r="D796" s="2" t="s">
        <v>31</v>
      </c>
      <c r="E796" s="2" t="s">
        <v>14</v>
      </c>
      <c r="F796" s="2" t="s">
        <v>15</v>
      </c>
      <c r="G796" s="2" t="s">
        <v>1816</v>
      </c>
      <c r="H796" s="2" t="s">
        <v>39</v>
      </c>
      <c r="I796" s="2" t="str">
        <f>IFERROR(__xludf.DUMMYFUNCTION("GOOGLETRANSLATE(C796,""fr"",""en"")"),"Satisfied with the price, pleasant advised and explaining very well the different options on the phone.
Validation of the rapid contract.
Send documents via the appreciated site.")</f>
        <v>Satisfied with the price, pleasant advised and explaining very well the different options on the phone.
Validation of the rapid contract.
Send documents via the appreciated site.</v>
      </c>
    </row>
    <row r="797" ht="15.75" customHeight="1">
      <c r="A797" s="2">
        <v>3.0</v>
      </c>
      <c r="B797" s="2" t="s">
        <v>2222</v>
      </c>
      <c r="C797" s="2" t="s">
        <v>2223</v>
      </c>
      <c r="D797" s="2" t="s">
        <v>74</v>
      </c>
      <c r="E797" s="2" t="s">
        <v>58</v>
      </c>
      <c r="F797" s="2" t="s">
        <v>15</v>
      </c>
      <c r="G797" s="2" t="s">
        <v>1076</v>
      </c>
      <c r="H797" s="2" t="s">
        <v>76</v>
      </c>
      <c r="I797" s="2" t="str">
        <f>IFERROR(__xludf.DUMMYFUNCTION("GOOGLETRANSLATE(C797,""fr"",""en"")"),"Satisfied ... for the moment ;-)
The future will tell me if my choice is truebt judicious.
I hope not to have any worries and that if I happened to me I don't know what? I count on you.
")</f>
        <v>Satisfied ... for the moment ;-)
The future will tell me if my choice is truebt judicious.
I hope not to have any worries and that if I happened to me I don't know what? I count on you.
</v>
      </c>
    </row>
    <row r="798" ht="15.75" customHeight="1">
      <c r="A798" s="2">
        <v>3.0</v>
      </c>
      <c r="B798" s="2" t="s">
        <v>2224</v>
      </c>
      <c r="C798" s="2" t="s">
        <v>2225</v>
      </c>
      <c r="D798" s="2" t="s">
        <v>496</v>
      </c>
      <c r="E798" s="2" t="s">
        <v>21</v>
      </c>
      <c r="F798" s="2" t="s">
        <v>15</v>
      </c>
      <c r="G798" s="2" t="s">
        <v>1595</v>
      </c>
      <c r="H798" s="2" t="s">
        <v>574</v>
      </c>
      <c r="I798" s="2" t="str">
        <f>IFERROR(__xludf.DUMMYFUNCTION("GOOGLETRANSLATE(C798,""fr"",""en"")"),"I would like to share my catastrophic experience as well as almost at April, no loss management after accident, no return to our multiple requests on the situation, lack of consideration and listening to its own customers.
Especially completely ineffecti"&amp;"ve !!!!
")</f>
        <v>I would like to share my catastrophic experience as well as almost at April, no loss management after accident, no return to our multiple requests on the situation, lack of consideration and listening to its own customers.
Especially completely ineffective !!!!
</v>
      </c>
    </row>
    <row r="799" ht="15.75" customHeight="1">
      <c r="A799" s="2">
        <v>1.0</v>
      </c>
      <c r="B799" s="2" t="s">
        <v>2226</v>
      </c>
      <c r="C799" s="2" t="s">
        <v>2227</v>
      </c>
      <c r="D799" s="2" t="s">
        <v>160</v>
      </c>
      <c r="E799" s="2" t="s">
        <v>462</v>
      </c>
      <c r="F799" s="2" t="s">
        <v>15</v>
      </c>
      <c r="G799" s="2" t="s">
        <v>2228</v>
      </c>
      <c r="H799" s="2" t="s">
        <v>249</v>
      </c>
      <c r="I799" s="2" t="str">
        <f>IFERROR(__xludf.DUMMYFUNCTION("GOOGLETRANSLATE(C799,""fr"",""en"")"),"I have been on maternity leave since mid-September and I have struggled to receive partial payment at the end of January. I regularly relaunch a customer service worthy of a low -end call center with technique of the striped disk, absence of empathy, lies"&amp;" and contradictions to the key to walking the beneficiaries, just to close the call when I am not hooked directly On the nose when I express my dissatisfaction.
In short, it is an insurer of intense stress for pregnant women. A horror.")</f>
        <v>I have been on maternity leave since mid-September and I have struggled to receive partial payment at the end of January. I regularly relaunch a customer service worthy of a low -end call center with technique of the striped disk, absence of empathy, lies and contradictions to the key to walking the beneficiaries, just to close the call when I am not hooked directly On the nose when I express my dissatisfaction.
In short, it is an insurer of intense stress for pregnant women. A horror.</v>
      </c>
    </row>
    <row r="800" ht="15.75" customHeight="1">
      <c r="A800" s="2">
        <v>5.0</v>
      </c>
      <c r="B800" s="2" t="s">
        <v>2229</v>
      </c>
      <c r="C800" s="2" t="s">
        <v>2230</v>
      </c>
      <c r="D800" s="2" t="s">
        <v>404</v>
      </c>
      <c r="E800" s="2" t="s">
        <v>14</v>
      </c>
      <c r="F800" s="2" t="s">
        <v>15</v>
      </c>
      <c r="G800" s="2" t="s">
        <v>2231</v>
      </c>
      <c r="H800" s="2" t="s">
        <v>81</v>
      </c>
      <c r="I800" s="2" t="str">
        <f>IFERROR(__xludf.DUMMYFUNCTION("GOOGLETRANSLATE(C800,""fr"",""en"")"),"Very professional welcome.courtoisie and responsiveness. Thank you for having established us so quickly the green card. Fortunately, the sale did not succeed but we will quickly return to Eurofil Aviva.")</f>
        <v>Very professional welcome.courtoisie and responsiveness. Thank you for having established us so quickly the green card. Fortunately, the sale did not succeed but we will quickly return to Eurofil Aviva.</v>
      </c>
    </row>
    <row r="801" ht="15.75" customHeight="1">
      <c r="A801" s="2">
        <v>5.0</v>
      </c>
      <c r="B801" s="2" t="s">
        <v>2232</v>
      </c>
      <c r="C801" s="2" t="s">
        <v>2233</v>
      </c>
      <c r="D801" s="2" t="s">
        <v>74</v>
      </c>
      <c r="E801" s="2" t="s">
        <v>58</v>
      </c>
      <c r="F801" s="2" t="s">
        <v>15</v>
      </c>
      <c r="G801" s="2" t="s">
        <v>1423</v>
      </c>
      <c r="H801" s="2" t="s">
        <v>107</v>
      </c>
      <c r="I801" s="2" t="str">
        <f>IFERROR(__xludf.DUMMYFUNCTION("GOOGLETRANSLATE(C801,""fr"",""en"")"),"I am satisfied I am new on this site we will see later so far all is well thank you to the whole team cordially blah blah blah blah blah")</f>
        <v>I am satisfied I am new on this site we will see later so far all is well thank you to the whole team cordially blah blah blah blah blah</v>
      </c>
    </row>
    <row r="802" ht="15.75" customHeight="1">
      <c r="A802" s="2">
        <v>1.0</v>
      </c>
      <c r="B802" s="2" t="s">
        <v>2234</v>
      </c>
      <c r="C802" s="2" t="s">
        <v>2235</v>
      </c>
      <c r="D802" s="2" t="s">
        <v>256</v>
      </c>
      <c r="E802" s="2" t="s">
        <v>103</v>
      </c>
      <c r="F802" s="2" t="s">
        <v>15</v>
      </c>
      <c r="G802" s="2" t="s">
        <v>910</v>
      </c>
      <c r="H802" s="2" t="s">
        <v>60</v>
      </c>
      <c r="I802" s="2" t="str">
        <f>IFERROR(__xludf.DUMMYFUNCTION("GOOGLETRANSLATE(C802,""fr"",""en"")"),"Impossible to reach customer service, an endless expectation and a non -serious team.
We agree with a telephone interview with one of their service providers no appeal passed, we had to relaunch the company ourselves.
To flee!")</f>
        <v>Impossible to reach customer service, an endless expectation and a non -serious team.
We agree with a telephone interview with one of their service providers no appeal passed, we had to relaunch the company ourselves.
To flee!</v>
      </c>
    </row>
    <row r="803" ht="15.75" customHeight="1">
      <c r="A803" s="2">
        <v>5.0</v>
      </c>
      <c r="B803" s="2" t="s">
        <v>2236</v>
      </c>
      <c r="C803" s="2" t="s">
        <v>2237</v>
      </c>
      <c r="D803" s="2" t="s">
        <v>361</v>
      </c>
      <c r="E803" s="2" t="s">
        <v>21</v>
      </c>
      <c r="F803" s="2" t="s">
        <v>15</v>
      </c>
      <c r="G803" s="2" t="s">
        <v>2238</v>
      </c>
      <c r="H803" s="2" t="s">
        <v>93</v>
      </c>
      <c r="I803" s="2" t="str">
        <f>IFERROR(__xludf.DUMMYFUNCTION("GOOGLETRANSLATE(C803,""fr"",""en"")"),"Excellent mutual - very good value for money - Great welcome - those who denigrate it does not know it - personal personal listening when you encounter problems - contributions are not higher than elsewhere")</f>
        <v>Excellent mutual - very good value for money - Great welcome - those who denigrate it does not know it - personal personal listening when you encounter problems - contributions are not higher than elsewhere</v>
      </c>
    </row>
    <row r="804" ht="15.75" customHeight="1">
      <c r="A804" s="2">
        <v>3.0</v>
      </c>
      <c r="B804" s="2" t="s">
        <v>2239</v>
      </c>
      <c r="C804" s="2" t="s">
        <v>2240</v>
      </c>
      <c r="D804" s="2" t="s">
        <v>13</v>
      </c>
      <c r="E804" s="2" t="s">
        <v>14</v>
      </c>
      <c r="F804" s="2" t="s">
        <v>15</v>
      </c>
      <c r="G804" s="2" t="s">
        <v>2241</v>
      </c>
      <c r="H804" s="2" t="s">
        <v>369</v>
      </c>
      <c r="I804" s="2" t="str">
        <f>IFERROR(__xludf.DUMMYFUNCTION("GOOGLETRANSLATE(C804,""fr"",""en"")"),"Board without advice recommend by direct insurance for 1 scale of 47 euros. Neither calls nor recovery letters. Really angry of this dubious method.")</f>
        <v>Board without advice recommend by direct insurance for 1 scale of 47 euros. Neither calls nor recovery letters. Really angry of this dubious method.</v>
      </c>
    </row>
    <row r="805" ht="15.75" customHeight="1">
      <c r="A805" s="2">
        <v>4.0</v>
      </c>
      <c r="B805" s="2" t="s">
        <v>2242</v>
      </c>
      <c r="C805" s="2" t="s">
        <v>2243</v>
      </c>
      <c r="D805" s="2" t="s">
        <v>496</v>
      </c>
      <c r="E805" s="2" t="s">
        <v>21</v>
      </c>
      <c r="F805" s="2" t="s">
        <v>15</v>
      </c>
      <c r="G805" s="2" t="s">
        <v>372</v>
      </c>
      <c r="H805" s="2" t="s">
        <v>54</v>
      </c>
      <c r="I805" s="2" t="str">
        <f>IFERROR(__xludf.DUMMYFUNCTION("GOOGLETRANSLATE(C805,""fr"",""en"")"),"I am happy with the service, the information is so clear and complete, I can choose what I want according to what I need because there are many options")</f>
        <v>I am happy with the service, the information is so clear and complete, I can choose what I want according to what I need because there are many options</v>
      </c>
    </row>
    <row r="806" ht="15.75" customHeight="1">
      <c r="A806" s="2">
        <v>5.0</v>
      </c>
      <c r="B806" s="2" t="s">
        <v>2244</v>
      </c>
      <c r="C806" s="2" t="s">
        <v>2245</v>
      </c>
      <c r="D806" s="2" t="s">
        <v>13</v>
      </c>
      <c r="E806" s="2" t="s">
        <v>14</v>
      </c>
      <c r="F806" s="2" t="s">
        <v>15</v>
      </c>
      <c r="G806" s="2" t="s">
        <v>904</v>
      </c>
      <c r="H806" s="2" t="s">
        <v>60</v>
      </c>
      <c r="I806" s="2" t="str">
        <f>IFERROR(__xludf.DUMMYFUNCTION("GOOGLETRANSLATE(C806,""fr"",""en"")"),"Very satisfied with direct insurance c why all my vehicles are with you the prices are very affordable even for insurance with a lot of guarantees")</f>
        <v>Very satisfied with direct insurance c why all my vehicles are with you the prices are very affordable even for insurance with a lot of guarantees</v>
      </c>
    </row>
    <row r="807" ht="15.75" customHeight="1">
      <c r="A807" s="2">
        <v>1.0</v>
      </c>
      <c r="B807" s="2" t="s">
        <v>2246</v>
      </c>
      <c r="C807" s="2" t="s">
        <v>2247</v>
      </c>
      <c r="D807" s="2" t="s">
        <v>256</v>
      </c>
      <c r="E807" s="2" t="s">
        <v>103</v>
      </c>
      <c r="F807" s="2" t="s">
        <v>15</v>
      </c>
      <c r="G807" s="2" t="s">
        <v>2248</v>
      </c>
      <c r="H807" s="2" t="s">
        <v>81</v>
      </c>
      <c r="I807" s="2" t="str">
        <f>IFERROR(__xludf.DUMMYFUNCTION("GOOGLETRANSLATE(C807,""fr"",""en"")"),"Hello Allianz! When a year old man who has always paid Rubis on the nail no longer pays overnight we check before raising !!!!!!!!!!!!!! A deceased person cannot go and get a registered letter !!!!!!!!!!!!!!!!! A normal letter would have allowed us to be "&amp;"aware now I want to know which insurance it is I am very angry with.")</f>
        <v>Hello Allianz! When a year old man who has always paid Rubis on the nail no longer pays overnight we check before raising !!!!!!!!!!!!!! A deceased person cannot go and get a registered letter !!!!!!!!!!!!!!!!! A normal letter would have allowed us to be aware now I want to know which insurance it is I am very angry with.</v>
      </c>
    </row>
    <row r="808" ht="15.75" customHeight="1">
      <c r="A808" s="2">
        <v>4.0</v>
      </c>
      <c r="B808" s="2" t="s">
        <v>2249</v>
      </c>
      <c r="C808" s="2" t="s">
        <v>2250</v>
      </c>
      <c r="D808" s="2" t="s">
        <v>20</v>
      </c>
      <c r="E808" s="2" t="s">
        <v>21</v>
      </c>
      <c r="F808" s="2" t="s">
        <v>15</v>
      </c>
      <c r="G808" s="2" t="s">
        <v>2251</v>
      </c>
      <c r="H808" s="2" t="s">
        <v>774</v>
      </c>
      <c r="I808" s="2" t="str">
        <f>IFERROR(__xludf.DUMMYFUNCTION("GOOGLETRANSLATE(C808,""fr"",""en"")"),"I have been a member for 30 years and I have been satisfied with the MGP. Its call center is always available and competent agents have always answered or find a solution to my questions.")</f>
        <v>I have been a member for 30 years and I have been satisfied with the MGP. Its call center is always available and competent agents have always answered or find a solution to my questions.</v>
      </c>
    </row>
    <row r="809" ht="15.75" customHeight="1">
      <c r="A809" s="2">
        <v>5.0</v>
      </c>
      <c r="B809" s="2" t="s">
        <v>2252</v>
      </c>
      <c r="C809" s="2" t="s">
        <v>2253</v>
      </c>
      <c r="D809" s="2" t="s">
        <v>74</v>
      </c>
      <c r="E809" s="2" t="s">
        <v>58</v>
      </c>
      <c r="F809" s="2" t="s">
        <v>15</v>
      </c>
      <c r="G809" s="2" t="s">
        <v>1697</v>
      </c>
      <c r="H809" s="2" t="s">
        <v>33</v>
      </c>
      <c r="I809" s="2" t="str">
        <f>IFERROR(__xludf.DUMMYFUNCTION("GOOGLETRANSLATE(C809,""fr"",""en"")"),"Very good service and good attractive price. Simple and quick. It only takes a few clicks and hop you are insured. I will recommend this insurance to those around me. Thank you.")</f>
        <v>Very good service and good attractive price. Simple and quick. It only takes a few clicks and hop you are insured. I will recommend this insurance to those around me. Thank you.</v>
      </c>
    </row>
    <row r="810" ht="15.75" customHeight="1">
      <c r="A810" s="2">
        <v>1.0</v>
      </c>
      <c r="B810" s="2" t="s">
        <v>2254</v>
      </c>
      <c r="C810" s="2" t="s">
        <v>2255</v>
      </c>
      <c r="D810" s="2" t="s">
        <v>496</v>
      </c>
      <c r="E810" s="2" t="s">
        <v>21</v>
      </c>
      <c r="F810" s="2" t="s">
        <v>15</v>
      </c>
      <c r="G810" s="2" t="s">
        <v>80</v>
      </c>
      <c r="H810" s="2" t="s">
        <v>81</v>
      </c>
      <c r="I810" s="2" t="str">
        <f>IFERROR(__xludf.DUMMYFUNCTION("GOOGLETRANSLATE(C810,""fr"",""en"")"),"Pick up advisers do not know how to inform you. Mediocre I really decide to run away. To ensure a vehicle no worries but to terminate I have been fighting for 3 months I will have to oppose the levy so that it can no longer take shame. Vain unanswered the"&amp;"y tell me that I will be contacting by an advisor in TJS agency nothing since.
Sad to flee.")</f>
        <v>Pick up advisers do not know how to inform you. Mediocre I really decide to run away. To ensure a vehicle no worries but to terminate I have been fighting for 3 months I will have to oppose the levy so that it can no longer take shame. Vain unanswered they tell me that I will be contacting by an advisor in TJS agency nothing since.
Sad to flee.</v>
      </c>
    </row>
    <row r="811" ht="15.75" customHeight="1">
      <c r="A811" s="2">
        <v>4.0</v>
      </c>
      <c r="B811" s="2" t="s">
        <v>2256</v>
      </c>
      <c r="C811" s="2" t="s">
        <v>2257</v>
      </c>
      <c r="D811" s="2" t="s">
        <v>252</v>
      </c>
      <c r="E811" s="2" t="s">
        <v>21</v>
      </c>
      <c r="F811" s="2" t="s">
        <v>15</v>
      </c>
      <c r="G811" s="2" t="s">
        <v>2258</v>
      </c>
      <c r="H811" s="2" t="s">
        <v>295</v>
      </c>
      <c r="I811" s="2" t="str">
        <f>IFERROR(__xludf.DUMMYFUNCTION("GOOGLETRANSLATE(C811,""fr"",""en"")"),"I have been a member since April 2013 and no worries at the moment. I have my invoices by email on my space and I am reimbursed within 5 days. Qd I have a question I call (sometimes a bit long waiting time) the tone is kind and the info complete unlike my"&amp;" old mutual. My family is harmony and they are also satisfied ... I recommend")</f>
        <v>I have been a member since April 2013 and no worries at the moment. I have my invoices by email on my space and I am reimbursed within 5 days. Qd I have a question I call (sometimes a bit long waiting time) the tone is kind and the info complete unlike my old mutual. My family is harmony and they are also satisfied ... I recommend</v>
      </c>
    </row>
    <row r="812" ht="15.75" customHeight="1">
      <c r="A812" s="2">
        <v>4.0</v>
      </c>
      <c r="B812" s="2" t="s">
        <v>2259</v>
      </c>
      <c r="C812" s="2" t="s">
        <v>2260</v>
      </c>
      <c r="D812" s="2" t="s">
        <v>26</v>
      </c>
      <c r="E812" s="2" t="s">
        <v>21</v>
      </c>
      <c r="F812" s="2" t="s">
        <v>15</v>
      </c>
      <c r="G812" s="2" t="s">
        <v>259</v>
      </c>
      <c r="H812" s="2" t="s">
        <v>54</v>
      </c>
      <c r="I812" s="2" t="str">
        <f>IFERROR(__xludf.DUMMYFUNCTION("GOOGLETRANSLATE(C812,""fr"",""en"")"),"Baouda my interlocutor responded well to my request. As for care, refund, deadlines are ok
So far no problem
Hoping that that say")</f>
        <v>Baouda my interlocutor responded well to my request. As for care, refund, deadlines are ok
So far no problem
Hoping that that say</v>
      </c>
    </row>
    <row r="813" ht="15.75" customHeight="1">
      <c r="A813" s="2">
        <v>1.0</v>
      </c>
      <c r="B813" s="2" t="s">
        <v>2261</v>
      </c>
      <c r="C813" s="2" t="s">
        <v>2262</v>
      </c>
      <c r="D813" s="2" t="s">
        <v>36</v>
      </c>
      <c r="E813" s="2" t="s">
        <v>37</v>
      </c>
      <c r="F813" s="2" t="s">
        <v>15</v>
      </c>
      <c r="G813" s="2" t="s">
        <v>690</v>
      </c>
      <c r="H813" s="2" t="s">
        <v>81</v>
      </c>
      <c r="I813" s="2" t="str">
        <f>IFERROR(__xludf.DUMMYFUNCTION("GOOGLETRANSLATE(C813,""fr"",""en"")"),"Not even 1 year with them and I already regret putting insure at home !!! Since July 16 I have always been a refund of my veterinarian fees, not far from € 1,500 !!! I am in the M! And it quibbles to repay! On the other hand, when the last sample has not "&amp;"passed and for good reason !! There they knew how to claim their due, and even to use my account! Obliged to make hands and feet to live with a crater on my account. In short, I leave the relay to my home insurance, the legal protection will take care of "&amp;"them, and I break from their home on the anniversary of the contracts!")</f>
        <v>Not even 1 year with them and I already regret putting insure at home !!! Since July 16 I have always been a refund of my veterinarian fees, not far from € 1,500 !!! I am in the M! And it quibbles to repay! On the other hand, when the last sample has not passed and for good reason !! There they knew how to claim their due, and even to use my account! Obliged to make hands and feet to live with a crater on my account. In short, I leave the relay to my home insurance, the legal protection will take care of them, and I break from their home on the anniversary of the contracts!</v>
      </c>
    </row>
    <row r="814" ht="15.75" customHeight="1">
      <c r="A814" s="2">
        <v>5.0</v>
      </c>
      <c r="B814" s="2" t="s">
        <v>2263</v>
      </c>
      <c r="C814" s="2" t="s">
        <v>2264</v>
      </c>
      <c r="D814" s="2" t="s">
        <v>324</v>
      </c>
      <c r="E814" s="2" t="s">
        <v>103</v>
      </c>
      <c r="F814" s="2" t="s">
        <v>15</v>
      </c>
      <c r="G814" s="2" t="s">
        <v>428</v>
      </c>
      <c r="H814" s="2" t="s">
        <v>17</v>
      </c>
      <c r="I814" s="2" t="str">
        <f>IFERROR(__xludf.DUMMYFUNCTION("GOOGLETRANSLATE(C814,""fr"",""en"")"),"Very good insurer with very professional salespeople. I am very satisfied. I recommend this Groupama insurance to all those who want confidence and proximity insurance (for the agency).")</f>
        <v>Very good insurer with very professional salespeople. I am very satisfied. I recommend this Groupama insurance to all those who want confidence and proximity insurance (for the agency).</v>
      </c>
    </row>
    <row r="815" ht="15.75" customHeight="1">
      <c r="A815" s="2">
        <v>4.0</v>
      </c>
      <c r="B815" s="2" t="s">
        <v>2265</v>
      </c>
      <c r="C815" s="2" t="s">
        <v>2266</v>
      </c>
      <c r="D815" s="2" t="s">
        <v>13</v>
      </c>
      <c r="E815" s="2" t="s">
        <v>14</v>
      </c>
      <c r="F815" s="2" t="s">
        <v>15</v>
      </c>
      <c r="G815" s="2" t="s">
        <v>2267</v>
      </c>
      <c r="H815" s="2" t="s">
        <v>111</v>
      </c>
      <c r="I815" s="2" t="str">
        <f>IFERROR(__xludf.DUMMYFUNCTION("GOOGLETRANSLATE(C815,""fr"",""en"")"),"I have been a customer for a year at Direct Assurance, as a young license. Following the reception of my new schedule I was not satisfied, I therefore contacted Aurélie of customer service via WhatsApp who spent time giving me satisfaction. In addition to"&amp;" having been effective, she managed to give me complete satisfaction.
I hope I can fall back on this lady when I change my vehicle!")</f>
        <v>I have been a customer for a year at Direct Assurance, as a young license. Following the reception of my new schedule I was not satisfied, I therefore contacted Aurélie of customer service via WhatsApp who spent time giving me satisfaction. In addition to having been effective, she managed to give me complete satisfaction.
I hope I can fall back on this lady when I change my vehicle!</v>
      </c>
    </row>
    <row r="816" ht="15.75" customHeight="1">
      <c r="A816" s="2">
        <v>3.0</v>
      </c>
      <c r="B816" s="2" t="s">
        <v>2268</v>
      </c>
      <c r="C816" s="2" t="s">
        <v>2269</v>
      </c>
      <c r="D816" s="2" t="s">
        <v>31</v>
      </c>
      <c r="E816" s="2" t="s">
        <v>14</v>
      </c>
      <c r="F816" s="2" t="s">
        <v>15</v>
      </c>
      <c r="G816" s="2" t="s">
        <v>2270</v>
      </c>
      <c r="H816" s="2" t="s">
        <v>107</v>
      </c>
      <c r="I816" s="2" t="str">
        <f>IFERROR(__xludf.DUMMYFUNCTION("GOOGLETRANSLATE(C816,""fr"",""en"")"),"I am satisfied with this insurance and the price also I am very happy with the RPIX which remains more than correct for a 0km care I really find it")</f>
        <v>I am satisfied with this insurance and the price also I am very happy with the RPIX which remains more than correct for a 0km care I really find it</v>
      </c>
    </row>
    <row r="817" ht="15.75" customHeight="1">
      <c r="A817" s="2">
        <v>5.0</v>
      </c>
      <c r="B817" s="2" t="s">
        <v>2271</v>
      </c>
      <c r="C817" s="2" t="s">
        <v>2272</v>
      </c>
      <c r="D817" s="2" t="s">
        <v>74</v>
      </c>
      <c r="E817" s="2" t="s">
        <v>58</v>
      </c>
      <c r="F817" s="2" t="s">
        <v>15</v>
      </c>
      <c r="G817" s="2" t="s">
        <v>904</v>
      </c>
      <c r="H817" s="2" t="s">
        <v>60</v>
      </c>
      <c r="I817" s="2" t="str">
        <f>IFERROR(__xludf.DUMMYFUNCTION("GOOGLETRANSLATE(C817,""fr"",""en"")"),"I was advisable by a friend who has several motorcycles. He had several times to do with the insurance that has been attentive to helpful and effective.")</f>
        <v>I was advisable by a friend who has several motorcycles. He had several times to do with the insurance that has been attentive to helpful and effective.</v>
      </c>
    </row>
    <row r="818" ht="15.75" customHeight="1">
      <c r="A818" s="2">
        <v>3.0</v>
      </c>
      <c r="B818" s="2" t="s">
        <v>2273</v>
      </c>
      <c r="C818" s="2" t="s">
        <v>2274</v>
      </c>
      <c r="D818" s="2" t="s">
        <v>13</v>
      </c>
      <c r="E818" s="2" t="s">
        <v>14</v>
      </c>
      <c r="F818" s="2" t="s">
        <v>15</v>
      </c>
      <c r="G818" s="2" t="s">
        <v>2275</v>
      </c>
      <c r="H818" s="2" t="s">
        <v>111</v>
      </c>
      <c r="I818" s="2" t="str">
        <f>IFERROR(__xludf.DUMMYFUNCTION("GOOGLETRANSLATE(C818,""fr"",""en"")"),"I am satisfied with the prices offered. It was my son who is insured at home who advised me. I hope to be happy to take out online insurance")</f>
        <v>I am satisfied with the prices offered. It was my son who is insured at home who advised me. I hope to be happy to take out online insurance</v>
      </c>
    </row>
    <row r="819" ht="15.75" customHeight="1">
      <c r="A819" s="2">
        <v>4.0</v>
      </c>
      <c r="B819" s="2" t="s">
        <v>2276</v>
      </c>
      <c r="C819" s="2" t="s">
        <v>2277</v>
      </c>
      <c r="D819" s="2" t="s">
        <v>13</v>
      </c>
      <c r="E819" s="2" t="s">
        <v>14</v>
      </c>
      <c r="F819" s="2" t="s">
        <v>15</v>
      </c>
      <c r="G819" s="2" t="s">
        <v>2278</v>
      </c>
      <c r="H819" s="2" t="s">
        <v>60</v>
      </c>
      <c r="I819" s="2" t="str">
        <f>IFERROR(__xludf.DUMMYFUNCTION("GOOGLETRANSLATE(C819,""fr"",""en"")"),"Faithful for several years. Attractive price. Telephone standard only.
However, very solising by email before subscription.
Quick response")</f>
        <v>Faithful for several years. Attractive price. Telephone standard only.
However, very solising by email before subscription.
Quick response</v>
      </c>
    </row>
    <row r="820" ht="15.75" customHeight="1">
      <c r="A820" s="2">
        <v>5.0</v>
      </c>
      <c r="B820" s="2" t="s">
        <v>2279</v>
      </c>
      <c r="C820" s="2" t="s">
        <v>2280</v>
      </c>
      <c r="D820" s="2" t="s">
        <v>20</v>
      </c>
      <c r="E820" s="2" t="s">
        <v>21</v>
      </c>
      <c r="F820" s="2" t="s">
        <v>15</v>
      </c>
      <c r="G820" s="2" t="s">
        <v>219</v>
      </c>
      <c r="H820" s="2" t="s">
        <v>184</v>
      </c>
      <c r="I820" s="2" t="str">
        <f>IFERROR(__xludf.DUMMYFUNCTION("GOOGLETRANSLATE(C820,""fr"",""en"")"),"I phoned my mutual insurance company this day- MGP Mutual Police- in order to obtain information on my MGP member space as well as on behalf Ameli.
I got a correspondent very easily. My interlocutor was very helpful and very kind. I am very satisfied wit"&amp;"h this welcome.")</f>
        <v>I phoned my mutual insurance company this day- MGP Mutual Police- in order to obtain information on my MGP member space as well as on behalf Ameli.
I got a correspondent very easily. My interlocutor was very helpful and very kind. I am very satisfied with this welcome.</v>
      </c>
    </row>
    <row r="821" ht="15.75" customHeight="1">
      <c r="A821" s="2">
        <v>3.0</v>
      </c>
      <c r="B821" s="2" t="s">
        <v>2281</v>
      </c>
      <c r="C821" s="2" t="s">
        <v>2282</v>
      </c>
      <c r="D821" s="2" t="s">
        <v>13</v>
      </c>
      <c r="E821" s="2" t="s">
        <v>103</v>
      </c>
      <c r="F821" s="2" t="s">
        <v>15</v>
      </c>
      <c r="G821" s="2" t="s">
        <v>1896</v>
      </c>
      <c r="H821" s="2" t="s">
        <v>23</v>
      </c>
      <c r="I821" s="2" t="str">
        <f>IFERROR(__xludf.DUMMYFUNCTION("GOOGLETRANSLATE(C821,""fr"",""en"")"),"Quick quote, simple and practical interface. The prices of the various insurance formulas offered are attractive.
Formulas and options recommended according to the situation.")</f>
        <v>Quick quote, simple and practical interface. The prices of the various insurance formulas offered are attractive.
Formulas and options recommended according to the situation.</v>
      </c>
    </row>
    <row r="822" ht="15.75" customHeight="1">
      <c r="A822" s="2">
        <v>1.0</v>
      </c>
      <c r="B822" s="2" t="s">
        <v>2283</v>
      </c>
      <c r="C822" s="2" t="s">
        <v>2284</v>
      </c>
      <c r="D822" s="2" t="s">
        <v>962</v>
      </c>
      <c r="E822" s="2" t="s">
        <v>462</v>
      </c>
      <c r="F822" s="2" t="s">
        <v>15</v>
      </c>
      <c r="G822" s="2" t="s">
        <v>2285</v>
      </c>
      <c r="H822" s="2" t="s">
        <v>184</v>
      </c>
      <c r="I822" s="2" t="str">
        <f>IFERROR(__xludf.DUMMYFUNCTION("GOOGLETRANSLATE(C822,""fr"",""en"")"),"In 2005, I subscribed to a CNP retirement savings plan with my postal banking financial advisor who had not enlightened me sufficiently on the disadvantages of this contract. If that had been the case, I would never have joined. After a period of unemploy"&amp;"ment and being no longer compensated by Pôle Emploi, I wanted, as the law provided, recover the sums that I had paid. I was told that my case did not fall into the early release system. Arrived at the retirement age, I asked to recover 20% of the capital "&amp;"and the balance in a life annuity as I had been able to inform me on the official site gouv.fr. Again, I was told that it was not possible to recover part of the sums paid in capital, given the date on which I signed the contract (2005). So I opted for th"&amp;"e quarterly life annuity (it seems that the CNP does not make a monthly transfer as specified in their mail). If the 1st annuity was made on my CCP, I am now obliged to contact them every 3 months, sometimes even by asking my postal banking financial advi"&amp;"sor to intervene, because they forget to pay me the sum which is due to me. There would be, it seems, a problem following the implementation of a new software. I am so unhappy that I transferred my Solandsio Vie contract, also subscribed to the CNP in 200"&amp;"5, with another much more serious insurer and attentive to its customers. In view of the impressive number of negative opinions, the CNP should question itself. For my part, I will never recommend this organization to relatives.")</f>
        <v>In 2005, I subscribed to a CNP retirement savings plan with my postal banking financial advisor who had not enlightened me sufficiently on the disadvantages of this contract. If that had been the case, I would never have joined. After a period of unemployment and being no longer compensated by Pôle Emploi, I wanted, as the law provided, recover the sums that I had paid. I was told that my case did not fall into the early release system. Arrived at the retirement age, I asked to recover 20% of the capital and the balance in a life annuity as I had been able to inform me on the official site gouv.fr. Again, I was told that it was not possible to recover part of the sums paid in capital, given the date on which I signed the contract (2005). So I opted for the quarterly life annuity (it seems that the CNP does not make a monthly transfer as specified in their mail). If the 1st annuity was made on my CCP, I am now obliged to contact them every 3 months, sometimes even by asking my postal banking financial advisor to intervene, because they forget to pay me the sum which is due to me. There would be, it seems, a problem following the implementation of a new software. I am so unhappy that I transferred my Solandsio Vie contract, also subscribed to the CNP in 2005, with another much more serious insurer and attentive to its customers. In view of the impressive number of negative opinions, the CNP should question itself. For my part, I will never recommend this organization to relatives.</v>
      </c>
    </row>
    <row r="823" ht="15.75" customHeight="1">
      <c r="A823" s="2">
        <v>4.0</v>
      </c>
      <c r="B823" s="2" t="s">
        <v>2286</v>
      </c>
      <c r="C823" s="2" t="s">
        <v>2287</v>
      </c>
      <c r="D823" s="2" t="s">
        <v>13</v>
      </c>
      <c r="E823" s="2" t="s">
        <v>14</v>
      </c>
      <c r="F823" s="2" t="s">
        <v>15</v>
      </c>
      <c r="G823" s="2" t="s">
        <v>2125</v>
      </c>
      <c r="H823" s="2" t="s">
        <v>39</v>
      </c>
      <c r="I823" s="2" t="str">
        <f>IFERROR(__xludf.DUMMYFUNCTION("GOOGLETRANSLATE(C823,""fr"",""en"")"),"Speed ​​and quality of the conditions of subscription and their ease.
Bravo it was easy to do :) even to load the documents, nothing is simpler :!")</f>
        <v>Speed ​​and quality of the conditions of subscription and their ease.
Bravo it was easy to do :) even to load the documents, nothing is simpler :!</v>
      </c>
    </row>
    <row r="824" ht="15.75" customHeight="1">
      <c r="A824" s="2">
        <v>4.0</v>
      </c>
      <c r="B824" s="2" t="s">
        <v>2288</v>
      </c>
      <c r="C824" s="2" t="s">
        <v>2289</v>
      </c>
      <c r="D824" s="2" t="s">
        <v>79</v>
      </c>
      <c r="E824" s="2" t="s">
        <v>21</v>
      </c>
      <c r="F824" s="2" t="s">
        <v>15</v>
      </c>
      <c r="G824" s="2" t="s">
        <v>2015</v>
      </c>
      <c r="H824" s="2" t="s">
        <v>33</v>
      </c>
      <c r="I824" s="2" t="str">
        <f>IFERROR(__xludf.DUMMYFUNCTION("GOOGLETRANSLATE(C824,""fr"",""en"")"),"Being able to reach you by phone is vital, despite the robot which does not understand everything, we quickly have access to an advisor who is always perfect !!! Good little problem since my call and the reception of the email I am blocked when I have not"&amp;" tried 3 times to connect")</f>
        <v>Being able to reach you by phone is vital, despite the robot which does not understand everything, we quickly have access to an advisor who is always perfect !!! Good little problem since my call and the reception of the email I am blocked when I have not tried 3 times to connect</v>
      </c>
    </row>
    <row r="825" ht="15.75" customHeight="1">
      <c r="A825" s="2">
        <v>1.0</v>
      </c>
      <c r="B825" s="2" t="s">
        <v>2290</v>
      </c>
      <c r="C825" s="2" t="s">
        <v>2291</v>
      </c>
      <c r="D825" s="2" t="s">
        <v>84</v>
      </c>
      <c r="E825" s="2" t="s">
        <v>14</v>
      </c>
      <c r="F825" s="2" t="s">
        <v>15</v>
      </c>
      <c r="G825" s="2" t="s">
        <v>2292</v>
      </c>
      <c r="H825" s="2" t="s">
        <v>509</v>
      </c>
      <c r="I825" s="2" t="str">
        <f>IFERROR(__xludf.DUMMYFUNCTION("GOOGLETRANSLATE(C825,""fr"",""en"")"),"Should change the current Macif Solidaire logo
NEVER
20 years client Macif")</f>
        <v>Should change the current Macif Solidaire logo
NEVER
20 years client Macif</v>
      </c>
    </row>
    <row r="826" ht="15.75" customHeight="1">
      <c r="A826" s="2">
        <v>4.0</v>
      </c>
      <c r="B826" s="2" t="s">
        <v>2293</v>
      </c>
      <c r="C826" s="2" t="s">
        <v>2294</v>
      </c>
      <c r="D826" s="2" t="s">
        <v>31</v>
      </c>
      <c r="E826" s="2" t="s">
        <v>14</v>
      </c>
      <c r="F826" s="2" t="s">
        <v>15</v>
      </c>
      <c r="G826" s="2" t="s">
        <v>2295</v>
      </c>
      <c r="H826" s="2" t="s">
        <v>50</v>
      </c>
      <c r="I826" s="2" t="str">
        <f>IFERROR(__xludf.DUMMYFUNCTION("GOOGLETRANSLATE(C826,""fr"",""en"")"),"I am very satisfied with the offer that was offered to me, congratulations to the interlocutor who knew how to convince me, and again congratulations for his professionalism.")</f>
        <v>I am very satisfied with the offer that was offered to me, congratulations to the interlocutor who knew how to convince me, and again congratulations for his professionalism.</v>
      </c>
    </row>
    <row r="827" ht="15.75" customHeight="1">
      <c r="A827" s="2">
        <v>2.0</v>
      </c>
      <c r="B827" s="2" t="s">
        <v>2296</v>
      </c>
      <c r="C827" s="2" t="s">
        <v>2297</v>
      </c>
      <c r="D827" s="2" t="s">
        <v>293</v>
      </c>
      <c r="E827" s="2" t="s">
        <v>14</v>
      </c>
      <c r="F827" s="2" t="s">
        <v>15</v>
      </c>
      <c r="G827" s="2" t="s">
        <v>2298</v>
      </c>
      <c r="H827" s="2" t="s">
        <v>130</v>
      </c>
      <c r="I827" s="2" t="str">
        <f>IFERROR(__xludf.DUMMYFUNCTION("GOOGLETRANSLATE(C827,""fr"",""en"")"),"I never had any concern with insurance but there I am served !!
I was lent me an old car that I quickly insured online. But when I saw the opinions I was wary and I refused the monthly levy (which they tried to make me sign ten times in a very doubtful w"&amp;"ay).
The samples still took place. I refused these. And now I receive invoices with exorbitant rejection costs, intimidation attempts and threats of suspension by phone (not in writing because illegal).
In short, I will return the car and flee from thes"&amp;"e insurers. Tip: go your way !!!")</f>
        <v>I never had any concern with insurance but there I am served !!
I was lent me an old car that I quickly insured online. But when I saw the opinions I was wary and I refused the monthly levy (which they tried to make me sign ten times in a very doubtful way).
The samples still took place. I refused these. And now I receive invoices with exorbitant rejection costs, intimidation attempts and threats of suspension by phone (not in writing because illegal).
In short, I will return the car and flee from these insurers. Tip: go your way !!!</v>
      </c>
    </row>
    <row r="828" ht="15.75" customHeight="1">
      <c r="A828" s="2">
        <v>2.0</v>
      </c>
      <c r="B828" s="2" t="s">
        <v>2299</v>
      </c>
      <c r="C828" s="2" t="s">
        <v>2300</v>
      </c>
      <c r="D828" s="2" t="s">
        <v>256</v>
      </c>
      <c r="E828" s="2" t="s">
        <v>14</v>
      </c>
      <c r="F828" s="2" t="s">
        <v>15</v>
      </c>
      <c r="G828" s="2" t="s">
        <v>2301</v>
      </c>
      <c r="H828" s="2" t="s">
        <v>1154</v>
      </c>
      <c r="I828" s="2" t="str">
        <f>IFERROR(__xludf.DUMMYFUNCTION("GOOGLETRANSLATE(C828,""fr"",""en"")"),"Not correct I warned my passage by such in the afternoon the day before and when I arrive does not close the slightest thing to warn to warn so that I do not move for nothing that will happen the day or he There will be something serious suddenly in the c"&amp;"rowd went to see another insurance and the surprise he cannot assure me before next year since I just changed my vehicle and that my contract has just restarted the other insurance my said that it was not terrible as a way of proceeding I have been at All"&amp;"ianz for about 5 years will have to wait a year more to terminate")</f>
        <v>Not correct I warned my passage by such in the afternoon the day before and when I arrive does not close the slightest thing to warn to warn so that I do not move for nothing that will happen the day or he There will be something serious suddenly in the crowd went to see another insurance and the surprise he cannot assure me before next year since I just changed my vehicle and that my contract has just restarted the other insurance my said that it was not terrible as a way of proceeding I have been at Allianz for about 5 years will have to wait a year more to terminate</v>
      </c>
    </row>
    <row r="829" ht="15.75" customHeight="1">
      <c r="A829" s="2">
        <v>3.0</v>
      </c>
      <c r="B829" s="2" t="s">
        <v>2302</v>
      </c>
      <c r="C829" s="2" t="s">
        <v>2303</v>
      </c>
      <c r="D829" s="2" t="s">
        <v>26</v>
      </c>
      <c r="E829" s="2" t="s">
        <v>21</v>
      </c>
      <c r="F829" s="2" t="s">
        <v>15</v>
      </c>
      <c r="G829" s="2" t="s">
        <v>2304</v>
      </c>
      <c r="H829" s="2" t="s">
        <v>386</v>
      </c>
      <c r="I829" s="2" t="str">
        <f>IFERROR(__xludf.DUMMYFUNCTION("GOOGLETRANSLATE(C829,""fr"",""en"")"),"I was satisfied and I was able to obtain a competitive price in terms of my mutual cover.
")</f>
        <v>I was satisfied and I was able to obtain a competitive price in terms of my mutual cover.
</v>
      </c>
    </row>
    <row r="830" ht="15.75" customHeight="1">
      <c r="A830" s="2">
        <v>2.0</v>
      </c>
      <c r="B830" s="2" t="s">
        <v>2305</v>
      </c>
      <c r="C830" s="2" t="s">
        <v>2306</v>
      </c>
      <c r="D830" s="2" t="s">
        <v>57</v>
      </c>
      <c r="E830" s="2" t="s">
        <v>58</v>
      </c>
      <c r="F830" s="2" t="s">
        <v>15</v>
      </c>
      <c r="G830" s="2" t="s">
        <v>2238</v>
      </c>
      <c r="H830" s="2" t="s">
        <v>93</v>
      </c>
      <c r="I830" s="2" t="str">
        <f>IFERROR(__xludf.DUMMYFUNCTION("GOOGLETRANSLATE(C830,""fr"",""en"")"),"Attractive on the only price plan, the quality of AMV customer service is in line: very low !! In addition, the hours of call slots are limited (in the morning, starts at 10:30 am) and it is impossible to reach the person who sends you emails to claim doc"&amp;"uments that you have already sent (personalization: zero!)")</f>
        <v>Attractive on the only price plan, the quality of AMV customer service is in line: very low !! In addition, the hours of call slots are limited (in the morning, starts at 10:30 am) and it is impossible to reach the person who sends you emails to claim documents that you have already sent (personalization: zero!)</v>
      </c>
    </row>
    <row r="831" ht="15.75" customHeight="1">
      <c r="A831" s="2">
        <v>2.0</v>
      </c>
      <c r="B831" s="2" t="s">
        <v>2307</v>
      </c>
      <c r="C831" s="2" t="s">
        <v>2308</v>
      </c>
      <c r="D831" s="2" t="s">
        <v>293</v>
      </c>
      <c r="E831" s="2" t="s">
        <v>14</v>
      </c>
      <c r="F831" s="2" t="s">
        <v>15</v>
      </c>
      <c r="G831" s="2" t="s">
        <v>2309</v>
      </c>
      <c r="H831" s="2" t="s">
        <v>549</v>
      </c>
      <c r="I831" s="2" t="str">
        <f>IFERROR(__xludf.DUMMYFUNCTION("GOOGLETRANSLATE(C831,""fr"",""en"")"),"Do not break down outside the highways. When you do not contact them emails you have no return. 4 In total for me+ a registered letter ... By phone, you are walked from a saying service to another. Very professional! We advise you to send them by email th"&amp;"e repair invoice and you are waiting for weeks for an eventual response but nothing. You boost them and still nothing ... I do not recommend subscribing to this insurance and going to see D `` other insurers.")</f>
        <v>Do not break down outside the highways. When you do not contact them emails you have no return. 4 In total for me+ a registered letter ... By phone, you are walked from a saying service to another. Very professional! We advise you to send them by email the repair invoice and you are waiting for weeks for an eventual response but nothing. You boost them and still nothing ... I do not recommend subscribing to this insurance and going to see D `` other insurers.</v>
      </c>
    </row>
    <row r="832" ht="15.75" customHeight="1">
      <c r="A832" s="2">
        <v>2.0</v>
      </c>
      <c r="B832" s="2" t="s">
        <v>2310</v>
      </c>
      <c r="C832" s="2" t="s">
        <v>2311</v>
      </c>
      <c r="D832" s="2" t="s">
        <v>437</v>
      </c>
      <c r="E832" s="2" t="s">
        <v>21</v>
      </c>
      <c r="F832" s="2" t="s">
        <v>15</v>
      </c>
      <c r="G832" s="2" t="s">
        <v>2312</v>
      </c>
      <c r="H832" s="2" t="s">
        <v>28</v>
      </c>
      <c r="I832" s="2" t="str">
        <f>IFERROR(__xludf.DUMMYFUNCTION("GOOGLETRANSLATE(C832,""fr"",""en"")"),"I terminated my contract at EU but it not still removed the teletransmission with Ameli so the other mutual cannot reimburse me because the security does not want 2 mutuals so blocked")</f>
        <v>I terminated my contract at EU but it not still removed the teletransmission with Ameli so the other mutual cannot reimburse me because the security does not want 2 mutuals so blocked</v>
      </c>
    </row>
    <row r="833" ht="15.75" customHeight="1">
      <c r="A833" s="2">
        <v>4.0</v>
      </c>
      <c r="B833" s="2" t="s">
        <v>2313</v>
      </c>
      <c r="C833" s="2" t="s">
        <v>2314</v>
      </c>
      <c r="D833" s="2" t="s">
        <v>31</v>
      </c>
      <c r="E833" s="2" t="s">
        <v>14</v>
      </c>
      <c r="F833" s="2" t="s">
        <v>15</v>
      </c>
      <c r="G833" s="2" t="s">
        <v>729</v>
      </c>
      <c r="H833" s="2" t="s">
        <v>107</v>
      </c>
      <c r="I833" s="2" t="str">
        <f>IFERROR(__xludf.DUMMYFUNCTION("GOOGLETRANSLATE(C833,""fr"",""en"")"),"Satisfied but a pity that we can set that my credit card and not by transfer or other means of payment we should see this to improve.")</f>
        <v>Satisfied but a pity that we can set that my credit card and not by transfer or other means of payment we should see this to improve.</v>
      </c>
    </row>
    <row r="834" ht="15.75" customHeight="1">
      <c r="A834" s="2">
        <v>1.0</v>
      </c>
      <c r="B834" s="2" t="s">
        <v>2315</v>
      </c>
      <c r="C834" s="2" t="s">
        <v>2316</v>
      </c>
      <c r="D834" s="2" t="s">
        <v>222</v>
      </c>
      <c r="E834" s="2" t="s">
        <v>21</v>
      </c>
      <c r="F834" s="2" t="s">
        <v>15</v>
      </c>
      <c r="G834" s="2" t="s">
        <v>2317</v>
      </c>
      <c r="H834" s="2" t="s">
        <v>130</v>
      </c>
      <c r="I834" s="2" t="str">
        <f>IFERROR(__xludf.DUMMYFUNCTION("GOOGLETRANSLATE(C834,""fr"",""en"")"),"Harassment to make you subscribe a mutual, and after there is no one.
These people are not serious.")</f>
        <v>Harassment to make you subscribe a mutual, and after there is no one.
These people are not serious.</v>
      </c>
    </row>
    <row r="835" ht="15.75" customHeight="1">
      <c r="A835" s="2">
        <v>2.0</v>
      </c>
      <c r="B835" s="2" t="s">
        <v>2318</v>
      </c>
      <c r="C835" s="2" t="s">
        <v>2319</v>
      </c>
      <c r="D835" s="2" t="s">
        <v>31</v>
      </c>
      <c r="E835" s="2" t="s">
        <v>14</v>
      </c>
      <c r="F835" s="2" t="s">
        <v>15</v>
      </c>
      <c r="G835" s="2" t="s">
        <v>1607</v>
      </c>
      <c r="H835" s="2" t="s">
        <v>111</v>
      </c>
      <c r="I835" s="2" t="str">
        <f>IFERROR(__xludf.DUMMYFUNCTION("GOOGLETRANSLATE(C835,""fr"",""en"")"),"I have taken out car insurance with this insurance. Having hesitated to take public transport to go to my workplace, I find out to have a quote in accordance with my potential new situation. After giving me the information by phone, the advisor announces "&amp;"that my contract is amended and that 15 euros for file fees are billed on this subject. Real flight in my opinion. I strongly advise against this insurance.")</f>
        <v>I have taken out car insurance with this insurance. Having hesitated to take public transport to go to my workplace, I find out to have a quote in accordance with my potential new situation. After giving me the information by phone, the advisor announces that my contract is amended and that 15 euros for file fees are billed on this subject. Real flight in my opinion. I strongly advise against this insurance.</v>
      </c>
    </row>
    <row r="836" ht="15.75" customHeight="1">
      <c r="A836" s="2">
        <v>1.0</v>
      </c>
      <c r="B836" s="2" t="s">
        <v>2320</v>
      </c>
      <c r="C836" s="2" t="s">
        <v>2321</v>
      </c>
      <c r="D836" s="2" t="s">
        <v>182</v>
      </c>
      <c r="E836" s="2" t="s">
        <v>103</v>
      </c>
      <c r="F836" s="2" t="s">
        <v>15</v>
      </c>
      <c r="G836" s="2" t="s">
        <v>2322</v>
      </c>
      <c r="H836" s="2" t="s">
        <v>162</v>
      </c>
      <c r="I836" s="2" t="str">
        <f>IFERROR(__xludf.DUMMYFUNCTION("GOOGLETRANSLATE(C836,""fr"",""en"")"),"Apporable insurance!
I have been assured at AXA for over 8 years and during my first claim I face incompetent insurance!
No file follow -up, service damage of relocating waters, not clear and changing information is given to us.
In short, the worst ins"&amp;"urance to flee ...")</f>
        <v>Apporable insurance!
I have been assured at AXA for over 8 years and during my first claim I face incompetent insurance!
No file follow -up, service damage of relocating waters, not clear and changing information is given to us.
In short, the worst insurance to flee ...</v>
      </c>
    </row>
    <row r="837" ht="15.75" customHeight="1">
      <c r="A837" s="2">
        <v>1.0</v>
      </c>
      <c r="B837" s="2" t="s">
        <v>2323</v>
      </c>
      <c r="C837" s="2" t="s">
        <v>2324</v>
      </c>
      <c r="D837" s="2" t="s">
        <v>31</v>
      </c>
      <c r="E837" s="2" t="s">
        <v>14</v>
      </c>
      <c r="F837" s="2" t="s">
        <v>15</v>
      </c>
      <c r="G837" s="2" t="s">
        <v>2325</v>
      </c>
      <c r="H837" s="2" t="s">
        <v>194</v>
      </c>
      <c r="I837" s="2" t="str">
        <f>IFERROR(__xludf.DUMMYFUNCTION("GOOGLETRANSLATE(C837,""fr"",""en"")"),"Avoid insurance, I did an auto insurance quote, I paid with my blue card and then I was wrong on the contract I retracted, the insurance took 2 months to reimburse me, the unhappy welcome I had to make a letter recommended after sending an email and a bri"&amp;"sk letter in short, very disappointed and disgust a real nightmare")</f>
        <v>Avoid insurance, I did an auto insurance quote, I paid with my blue card and then I was wrong on the contract I retracted, the insurance took 2 months to reimburse me, the unhappy welcome I had to make a letter recommended after sending an email and a brisk letter in short, very disappointed and disgust a real nightmare</v>
      </c>
    </row>
    <row r="838" ht="15.75" customHeight="1">
      <c r="A838" s="2">
        <v>2.0</v>
      </c>
      <c r="B838" s="2" t="s">
        <v>2326</v>
      </c>
      <c r="C838" s="2" t="s">
        <v>2327</v>
      </c>
      <c r="D838" s="2" t="s">
        <v>168</v>
      </c>
      <c r="E838" s="2" t="s">
        <v>14</v>
      </c>
      <c r="F838" s="2" t="s">
        <v>15</v>
      </c>
      <c r="G838" s="2" t="s">
        <v>1092</v>
      </c>
      <c r="H838" s="2" t="s">
        <v>369</v>
      </c>
      <c r="I838" s="2" t="str">
        <f>IFERROR(__xludf.DUMMYFUNCTION("GOOGLETRANSLATE(C838,""fr"",""en"")")," I was a former motorcycle client. Then wanted to put a new auto contract which was not accepted because being second driver and not appearing on the gray card La Maaf ’too rigid does not accept this condition")</f>
        <v> I was a former motorcycle client. Then wanted to put a new auto contract which was not accepted because being second driver and not appearing on the gray card La Maaf ’too rigid does not accept this condition</v>
      </c>
    </row>
    <row r="839" ht="15.75" customHeight="1">
      <c r="A839" s="2">
        <v>1.0</v>
      </c>
      <c r="B839" s="2" t="s">
        <v>2328</v>
      </c>
      <c r="C839" s="2" t="s">
        <v>2329</v>
      </c>
      <c r="D839" s="2" t="s">
        <v>361</v>
      </c>
      <c r="E839" s="2" t="s">
        <v>21</v>
      </c>
      <c r="F839" s="2" t="s">
        <v>15</v>
      </c>
      <c r="G839" s="2" t="s">
        <v>2330</v>
      </c>
      <c r="H839" s="2" t="s">
        <v>781</v>
      </c>
      <c r="I839" s="2" t="str">
        <f>IFERROR(__xludf.DUMMYFUNCTION("GOOGLETRANSLATE(C839,""fr"",""en"")"),"I put a star because we are not obliged to put at least 1 otherwise s was zero I have been there since October since it was a disaster I had asked for formula b so 46th per month because I have speech therapy sessions and appointments Orthodentist for my "&amp;"children I ended up with the formula to the least necessarily reimbursed. And to have my care reimbursements I owe them on the phone a shame this mutual")</f>
        <v>I put a star because we are not obliged to put at least 1 otherwise s was zero I have been there since October since it was a disaster I had asked for formula b so 46th per month because I have speech therapy sessions and appointments Orthodentist for my children I ended up with the formula to the least necessarily reimbursed. And to have my care reimbursements I owe them on the phone a shame this mutual</v>
      </c>
    </row>
    <row r="840" ht="15.75" customHeight="1">
      <c r="A840" s="2">
        <v>1.0</v>
      </c>
      <c r="B840" s="2" t="s">
        <v>2331</v>
      </c>
      <c r="C840" s="2" t="s">
        <v>2332</v>
      </c>
      <c r="D840" s="2" t="s">
        <v>256</v>
      </c>
      <c r="E840" s="2" t="s">
        <v>103</v>
      </c>
      <c r="F840" s="2" t="s">
        <v>15</v>
      </c>
      <c r="G840" s="2" t="s">
        <v>2333</v>
      </c>
      <c r="H840" s="2" t="s">
        <v>313</v>
      </c>
      <c r="I840" s="2" t="str">
        <f>IFERROR(__xludf.DUMMYFUNCTION("GOOGLETRANSLATE(C840,""fr"",""en"")"),"After having been the pigeon of the incredible co -via group hypocrisy (maaf+mma+gmf) I wanted to transfer the management of the incident which I was the victim on my appeal of the FFR which delegates it to combine ... has refused !! Our insurances have b"&amp;"ecome non -enemy and have become useless. They iron the baby to in the end throw it in the water with the bath water.
The real problem is there. What are they for ? Why spend heavy sums all his life to harvest in the event of a disaster only an administr"&amp;"ative nightmare, additional test in addition to the disaster due to the energies to be deployed to refuse that they detail and receive only humiliations which destroy a little more !")</f>
        <v>After having been the pigeon of the incredible co -via group hypocrisy (maaf+mma+gmf) I wanted to transfer the management of the incident which I was the victim on my appeal of the FFR which delegates it to combine ... has refused !! Our insurances have become non -enemy and have become useless. They iron the baby to in the end throw it in the water with the bath water.
The real problem is there. What are they for ? Why spend heavy sums all his life to harvest in the event of a disaster only an administrative nightmare, additional test in addition to the disaster due to the energies to be deployed to refuse that they detail and receive only humiliations which destroy a little more !</v>
      </c>
    </row>
    <row r="841" ht="15.75" customHeight="1">
      <c r="A841" s="2">
        <v>2.0</v>
      </c>
      <c r="B841" s="2" t="s">
        <v>2334</v>
      </c>
      <c r="C841" s="2" t="s">
        <v>2335</v>
      </c>
      <c r="D841" s="2" t="s">
        <v>31</v>
      </c>
      <c r="E841" s="2" t="s">
        <v>14</v>
      </c>
      <c r="F841" s="2" t="s">
        <v>15</v>
      </c>
      <c r="G841" s="2" t="s">
        <v>2336</v>
      </c>
      <c r="H841" s="2" t="s">
        <v>800</v>
      </c>
      <c r="I841" s="2" t="str">
        <f>IFERROR(__xludf.DUMMYFUNCTION("GOOGLETRANSLATE(C841,""fr"",""en"")"),"Although interest in price level, their service seems incompetent to terminate the previous insurer when they have ensured me on several occasions (several calls on the subject to make sure that I had no process to do) take care of everything.")</f>
        <v>Although interest in price level, their service seems incompetent to terminate the previous insurer when they have ensured me on several occasions (several calls on the subject to make sure that I had no process to do) take care of everything.</v>
      </c>
    </row>
    <row r="842" ht="15.75" customHeight="1">
      <c r="A842" s="2">
        <v>4.0</v>
      </c>
      <c r="B842" s="2" t="s">
        <v>2337</v>
      </c>
      <c r="C842" s="2" t="s">
        <v>2338</v>
      </c>
      <c r="D842" s="2" t="s">
        <v>13</v>
      </c>
      <c r="E842" s="2" t="s">
        <v>14</v>
      </c>
      <c r="F842" s="2" t="s">
        <v>15</v>
      </c>
      <c r="G842" s="2" t="s">
        <v>1389</v>
      </c>
      <c r="H842" s="2" t="s">
        <v>290</v>
      </c>
      <c r="I842" s="2" t="str">
        <f>IFERROR(__xludf.DUMMYFUNCTION("GOOGLETRANSLATE(C842,""fr"",""en"")"),"Nickel on all points
Quick quote competitive price and waiting to be able to take note of any franchises. To see on others and expectation of the quote")</f>
        <v>Nickel on all points
Quick quote competitive price and waiting to be able to take note of any franchises. To see on others and expectation of the quote</v>
      </c>
    </row>
    <row r="843" ht="15.75" customHeight="1">
      <c r="A843" s="2">
        <v>3.0</v>
      </c>
      <c r="B843" s="2" t="s">
        <v>2339</v>
      </c>
      <c r="C843" s="2" t="s">
        <v>2340</v>
      </c>
      <c r="D843" s="2" t="s">
        <v>31</v>
      </c>
      <c r="E843" s="2" t="s">
        <v>14</v>
      </c>
      <c r="F843" s="2" t="s">
        <v>15</v>
      </c>
      <c r="G843" s="2" t="s">
        <v>2341</v>
      </c>
      <c r="H843" s="2" t="s">
        <v>93</v>
      </c>
      <c r="I843" s="2" t="str">
        <f>IFERROR(__xludf.DUMMYFUNCTION("GOOGLETRANSLATE(C843,""fr"",""en"")"),"Very poor insurance
I had an accident 1 and a half years ago and I still haven't been reimbursing he had closed my file some time after the accident without giving me what I had to have forced to call them back to that he reopens my file
Following its I"&amp;" sent two letters recommending without ever having a response to the day I am without a car to go to work and that for 1 year and a half.
For this I launch a procedure with a lawyer.
The lawyer told me that after 2 years there is no longer any use possi"&amp;"ble it is why they drag the files
")</f>
        <v>Very poor insurance
I had an accident 1 and a half years ago and I still haven't been reimbursing he had closed my file some time after the accident without giving me what I had to have forced to call them back to that he reopens my file
Following its I sent two letters recommending without ever having a response to the day I am without a car to go to work and that for 1 year and a half.
For this I launch a procedure with a lawyer.
The lawyer told me that after 2 years there is no longer any use possible it is why they drag the files
</v>
      </c>
    </row>
    <row r="844" ht="15.75" customHeight="1">
      <c r="A844" s="2">
        <v>3.0</v>
      </c>
      <c r="B844" s="2" t="s">
        <v>2342</v>
      </c>
      <c r="C844" s="2" t="s">
        <v>2343</v>
      </c>
      <c r="D844" s="2" t="s">
        <v>13</v>
      </c>
      <c r="E844" s="2" t="s">
        <v>14</v>
      </c>
      <c r="F844" s="2" t="s">
        <v>15</v>
      </c>
      <c r="G844" s="2" t="s">
        <v>2295</v>
      </c>
      <c r="H844" s="2" t="s">
        <v>50</v>
      </c>
      <c r="I844" s="2" t="str">
        <f>IFERROR(__xludf.DUMMYFUNCTION("GOOGLETRANSLATE(C844,""fr"",""en"")"),"I am not satisfied with the service asks too many private questions.
And wants to scratch you too much money.
Unpleasant oppressive insistent
")</f>
        <v>I am not satisfied with the service asks too many private questions.
And wants to scratch you too much money.
Unpleasant oppressive insistent
</v>
      </c>
    </row>
    <row r="845" ht="15.75" customHeight="1">
      <c r="A845" s="2">
        <v>4.0</v>
      </c>
      <c r="B845" s="2" t="s">
        <v>2344</v>
      </c>
      <c r="C845" s="2" t="s">
        <v>2345</v>
      </c>
      <c r="D845" s="2" t="s">
        <v>31</v>
      </c>
      <c r="E845" s="2" t="s">
        <v>14</v>
      </c>
      <c r="F845" s="2" t="s">
        <v>15</v>
      </c>
      <c r="G845" s="2" t="s">
        <v>173</v>
      </c>
      <c r="H845" s="2" t="s">
        <v>107</v>
      </c>
      <c r="I845" s="2" t="str">
        <f>IFERROR(__xludf.DUMMYFUNCTION("GOOGLETRANSLATE(C845,""fr"",""en"")"),"I am satisfied.
I find that the price is very affordable and listening customer service.
Simple and efficient, I recommend this insurance.
Thank you.")</f>
        <v>I am satisfied.
I find that the price is very affordable and listening customer service.
Simple and efficient, I recommend this insurance.
Thank you.</v>
      </c>
    </row>
    <row r="846" ht="15.75" customHeight="1">
      <c r="A846" s="2">
        <v>1.0</v>
      </c>
      <c r="B846" s="2" t="s">
        <v>2346</v>
      </c>
      <c r="C846" s="2" t="s">
        <v>2347</v>
      </c>
      <c r="D846" s="2" t="s">
        <v>84</v>
      </c>
      <c r="E846" s="2" t="s">
        <v>103</v>
      </c>
      <c r="F846" s="2" t="s">
        <v>15</v>
      </c>
      <c r="G846" s="2" t="s">
        <v>2348</v>
      </c>
      <c r="H846" s="2" t="s">
        <v>677</v>
      </c>
      <c r="I846" s="2" t="str">
        <f>IFERROR(__xludf.DUMMYFUNCTION("GOOGLETRANSLATE(C846,""fr"",""en"")"),"Intervention deleted at the request of the Internet user.")</f>
        <v>Intervention deleted at the request of the Internet user.</v>
      </c>
    </row>
    <row r="847" ht="15.75" customHeight="1">
      <c r="A847" s="2">
        <v>1.0</v>
      </c>
      <c r="B847" s="2" t="s">
        <v>2349</v>
      </c>
      <c r="C847" s="2" t="s">
        <v>2350</v>
      </c>
      <c r="D847" s="2" t="s">
        <v>84</v>
      </c>
      <c r="E847" s="2" t="s">
        <v>14</v>
      </c>
      <c r="F847" s="2" t="s">
        <v>15</v>
      </c>
      <c r="G847" s="2" t="s">
        <v>2351</v>
      </c>
      <c r="H847" s="2" t="s">
        <v>369</v>
      </c>
      <c r="I847" s="2" t="str">
        <f>IFERROR(__xludf.DUMMYFUNCTION("GOOGLETRANSLATE(C847,""fr"",""en"")"),"End of contract after breaking the vehicle. Continue to take despite movement in agency. Closing access to the Internet account without notice cutting any possibility of dematerialized complaint.")</f>
        <v>End of contract after breaking the vehicle. Continue to take despite movement in agency. Closing access to the Internet account without notice cutting any possibility of dematerialized complaint.</v>
      </c>
    </row>
    <row r="848" ht="15.75" customHeight="1">
      <c r="A848" s="2">
        <v>5.0</v>
      </c>
      <c r="B848" s="2" t="s">
        <v>2352</v>
      </c>
      <c r="C848" s="2" t="s">
        <v>2353</v>
      </c>
      <c r="D848" s="2" t="s">
        <v>31</v>
      </c>
      <c r="E848" s="2" t="s">
        <v>14</v>
      </c>
      <c r="F848" s="2" t="s">
        <v>15</v>
      </c>
      <c r="G848" s="2" t="s">
        <v>2084</v>
      </c>
      <c r="H848" s="2" t="s">
        <v>33</v>
      </c>
      <c r="I848" s="2" t="str">
        <f>IFERROR(__xludf.DUMMYFUNCTION("GOOGLETRANSLATE(C848,""fr"",""en"")"),"I am very satisfied with my contract, whether by the price or even the speed of response of my interlocutors. I always receive quick and clear answers.")</f>
        <v>I am very satisfied with my contract, whether by the price or even the speed of response of my interlocutors. I always receive quick and clear answers.</v>
      </c>
    </row>
    <row r="849" ht="15.75" customHeight="1">
      <c r="A849" s="2">
        <v>5.0</v>
      </c>
      <c r="B849" s="2" t="s">
        <v>2354</v>
      </c>
      <c r="C849" s="2" t="s">
        <v>2355</v>
      </c>
      <c r="D849" s="2" t="s">
        <v>136</v>
      </c>
      <c r="E849" s="2" t="s">
        <v>14</v>
      </c>
      <c r="F849" s="2" t="s">
        <v>15</v>
      </c>
      <c r="G849" s="2" t="s">
        <v>1832</v>
      </c>
      <c r="H849" s="2" t="s">
        <v>17</v>
      </c>
      <c r="I849" s="2" t="str">
        <f>IFERROR(__xludf.DUMMYFUNCTION("GOOGLETRANSLATE(C849,""fr"",""en"")"),"Following flight with break -in, I obtained the reimbursement of the guaranteed tool ... Very good follow -up of Crédit Agricole and his follow -up advisor to, my efforts ... Thank you to you")</f>
        <v>Following flight with break -in, I obtained the reimbursement of the guaranteed tool ... Very good follow -up of Crédit Agricole and his follow -up advisor to, my efforts ... Thank you to you</v>
      </c>
    </row>
    <row r="850" ht="15.75" customHeight="1">
      <c r="A850" s="2">
        <v>2.0</v>
      </c>
      <c r="B850" s="2" t="s">
        <v>2356</v>
      </c>
      <c r="C850" s="2" t="s">
        <v>2357</v>
      </c>
      <c r="D850" s="2" t="s">
        <v>74</v>
      </c>
      <c r="E850" s="2" t="s">
        <v>58</v>
      </c>
      <c r="F850" s="2" t="s">
        <v>15</v>
      </c>
      <c r="G850" s="2" t="s">
        <v>2358</v>
      </c>
      <c r="H850" s="2" t="s">
        <v>28</v>
      </c>
      <c r="I850" s="2" t="str">
        <f>IFERROR(__xludf.DUMMYFUNCTION("GOOGLETRANSLATE(C850,""fr"",""en"")"),"Hello, I was insured for more than 10 years with them without any problem and fortunately according to all the comments. My concern is that I sold my motorcycle. I had to restart several times to have my reimbursement check for my subscription. In additio"&amp;"n, he sent it to my old address modified for several years on my contract. I received my glass card at the Address Subscriber, why the check 200km from my home. Happy was I was able to send it back to me. And the new surprise, 20 euros is missing on my ca"&amp;"lculation. After request, these are termination fees. Is the height. We still pay costs to make a check after x reminders sent to a bad address. April is more for me for my next motorcycle.")</f>
        <v>Hello, I was insured for more than 10 years with them without any problem and fortunately according to all the comments. My concern is that I sold my motorcycle. I had to restart several times to have my reimbursement check for my subscription. In addition, he sent it to my old address modified for several years on my contract. I received my glass card at the Address Subscriber, why the check 200km from my home. Happy was I was able to send it back to me. And the new surprise, 20 euros is missing on my calculation. After request, these are termination fees. Is the height. We still pay costs to make a check after x reminders sent to a bad address. April is more for me for my next motorcycle.</v>
      </c>
    </row>
    <row r="851" ht="15.75" customHeight="1">
      <c r="A851" s="2">
        <v>1.0</v>
      </c>
      <c r="B851" s="2" t="s">
        <v>2359</v>
      </c>
      <c r="C851" s="2" t="s">
        <v>2360</v>
      </c>
      <c r="D851" s="2" t="s">
        <v>836</v>
      </c>
      <c r="E851" s="2" t="s">
        <v>103</v>
      </c>
      <c r="F851" s="2" t="s">
        <v>15</v>
      </c>
      <c r="G851" s="2" t="s">
        <v>2361</v>
      </c>
      <c r="H851" s="2" t="s">
        <v>162</v>
      </c>
      <c r="I851" s="2" t="str">
        <f>IFERROR(__xludf.DUMMYFUNCTION("GOOGLETRANSLATE(C851,""fr"",""en"")"),"To be advised,
Insured at home as a non -occupying owner, I am terribly on it by the service.
Your shower cabin broken by the tenant, who is also assured at home, they tell him that it is up to me to take the process. After a lot of information, it was "&amp;"not up to me to take care of it, but they don't want to hear anything and forced on the fact that it is my charge.
Procedure in progress, 6 months of waiting (6 months for the tenant with a tarpaulin in the shower cabin) for a transfer and to my surprise"&amp;", there are 1,300 euros at my expense. When I point out to them, the only thing I have been answered and with an Autain air is: it is the procedure sir.
I did not find a technician at less than 2,300 euros and the insurance does not offer any business to"&amp;" meet the customer's need.
I do not recommend anyone to take insurance from them.")</f>
        <v>To be advised,
Insured at home as a non -occupying owner, I am terribly on it by the service.
Your shower cabin broken by the tenant, who is also assured at home, they tell him that it is up to me to take the process. After a lot of information, it was not up to me to take care of it, but they don't want to hear anything and forced on the fact that it is my charge.
Procedure in progress, 6 months of waiting (6 months for the tenant with a tarpaulin in the shower cabin) for a transfer and to my surprise, there are 1,300 euros at my expense. When I point out to them, the only thing I have been answered and with an Autain air is: it is the procedure sir.
I did not find a technician at less than 2,300 euros and the insurance does not offer any business to meet the customer's need.
I do not recommend anyone to take insurance from them.</v>
      </c>
    </row>
    <row r="852" ht="15.75" customHeight="1">
      <c r="A852" s="2">
        <v>1.0</v>
      </c>
      <c r="B852" s="2" t="s">
        <v>2362</v>
      </c>
      <c r="C852" s="2" t="s">
        <v>2363</v>
      </c>
      <c r="D852" s="2" t="s">
        <v>26</v>
      </c>
      <c r="E852" s="2" t="s">
        <v>21</v>
      </c>
      <c r="F852" s="2" t="s">
        <v>15</v>
      </c>
      <c r="G852" s="2" t="s">
        <v>1374</v>
      </c>
      <c r="H852" s="2" t="s">
        <v>60</v>
      </c>
      <c r="I852" s="2" t="str">
        <f>IFERROR(__xludf.DUMMYFUNCTION("GOOGLETRANSLATE(C852,""fr"",""en"")"),"Like most of the comments, I had a very bad experience with this insurance, I trusted a broker who turned out to be bad times and incompetent, no refund over the past 10 months, to flee absolutely")</f>
        <v>Like most of the comments, I had a very bad experience with this insurance, I trusted a broker who turned out to be bad times and incompetent, no refund over the past 10 months, to flee absolutely</v>
      </c>
    </row>
    <row r="853" ht="15.75" customHeight="1">
      <c r="A853" s="2">
        <v>2.0</v>
      </c>
      <c r="B853" s="2" t="s">
        <v>2364</v>
      </c>
      <c r="C853" s="2" t="s">
        <v>2365</v>
      </c>
      <c r="D853" s="2" t="s">
        <v>13</v>
      </c>
      <c r="E853" s="2" t="s">
        <v>14</v>
      </c>
      <c r="F853" s="2" t="s">
        <v>15</v>
      </c>
      <c r="G853" s="2" t="s">
        <v>1875</v>
      </c>
      <c r="H853" s="2" t="s">
        <v>111</v>
      </c>
      <c r="I853" s="2" t="str">
        <f>IFERROR(__xludf.DUMMYFUNCTION("GOOGLETRANSLATE(C853,""fr"",""en"")"),"The prices are too expensive for the simple vehicle I have. The price is too high for the Formula Choose Third Party Maxi. For a 2009 family vehicle with 110 horsepower I find it very expensive
")</f>
        <v>The prices are too expensive for the simple vehicle I have. The price is too high for the Formula Choose Third Party Maxi. For a 2009 family vehicle with 110 horsepower I find it very expensive
</v>
      </c>
    </row>
    <row r="854" ht="15.75" customHeight="1">
      <c r="A854" s="2">
        <v>1.0</v>
      </c>
      <c r="B854" s="2" t="s">
        <v>2366</v>
      </c>
      <c r="C854" s="2" t="s">
        <v>2367</v>
      </c>
      <c r="D854" s="2" t="s">
        <v>496</v>
      </c>
      <c r="E854" s="2" t="s">
        <v>21</v>
      </c>
      <c r="F854" s="2" t="s">
        <v>15</v>
      </c>
      <c r="G854" s="2" t="s">
        <v>183</v>
      </c>
      <c r="H854" s="2" t="s">
        <v>184</v>
      </c>
      <c r="I854" s="2" t="str">
        <f>IFERROR(__xludf.DUMMYFUNCTION("GOOGLETRANSLATE(C854,""fr"",""en"")"),"I am disappointed by this mutual insurance company which requires an authorization to be able to contact a doctor when you are sick abroad without any internet affair.
No information was communicated to me after sending social security documents.
What a"&amp;" desappointment !
Thank you")</f>
        <v>I am disappointed by this mutual insurance company which requires an authorization to be able to contact a doctor when you are sick abroad without any internet affair.
No information was communicated to me after sending social security documents.
What a desappointment !
Thank you</v>
      </c>
    </row>
    <row r="855" ht="15.75" customHeight="1">
      <c r="A855" s="2">
        <v>5.0</v>
      </c>
      <c r="B855" s="2" t="s">
        <v>2368</v>
      </c>
      <c r="C855" s="2" t="s">
        <v>2369</v>
      </c>
      <c r="D855" s="2" t="s">
        <v>13</v>
      </c>
      <c r="E855" s="2" t="s">
        <v>14</v>
      </c>
      <c r="F855" s="2" t="s">
        <v>15</v>
      </c>
      <c r="G855" s="2" t="s">
        <v>2370</v>
      </c>
      <c r="H855" s="2" t="s">
        <v>39</v>
      </c>
      <c r="I855" s="2" t="str">
        <f>IFERROR(__xludf.DUMMYFUNCTION("GOOGLETRANSLATE(C855,""fr"",""en"")"),"satisfied with all services. Quick response in the event of a claim and good care. For a first subscription it is ideal and good value for money.")</f>
        <v>satisfied with all services. Quick response in the event of a claim and good care. For a first subscription it is ideal and good value for money.</v>
      </c>
    </row>
    <row r="856" ht="15.75" customHeight="1">
      <c r="A856" s="2">
        <v>1.0</v>
      </c>
      <c r="B856" s="2" t="s">
        <v>2371</v>
      </c>
      <c r="C856" s="2" t="s">
        <v>2372</v>
      </c>
      <c r="D856" s="2" t="s">
        <v>404</v>
      </c>
      <c r="E856" s="2" t="s">
        <v>14</v>
      </c>
      <c r="F856" s="2" t="s">
        <v>15</v>
      </c>
      <c r="G856" s="2" t="s">
        <v>2373</v>
      </c>
      <c r="H856" s="2" t="s">
        <v>39</v>
      </c>
      <c r="I856" s="2" t="str">
        <f>IFERROR(__xludf.DUMMYFUNCTION("GOOGLETRANSLATE(C856,""fr"",""en"")"),"TO FLEE!
My insurance returned to less than € 300 per year.
A temporary contract is created the first month in order to give the insured time to send the supporting documents. This contract will cost you about 3 months of the annual price, in my case: €"&amp;" 88.
If, at their good convenience, the supporting documents are not ""compliant"", the temporary contract is terminated and the € 88 are not reimbursed!
A pure and hard escorvery.")</f>
        <v>TO FLEE!
My insurance returned to less than € 300 per year.
A temporary contract is created the first month in order to give the insured time to send the supporting documents. This contract will cost you about 3 months of the annual price, in my case: € 88.
If, at their good convenience, the supporting documents are not "compliant", the temporary contract is terminated and the € 88 are not reimbursed!
A pure and hard escorvery.</v>
      </c>
    </row>
    <row r="857" ht="15.75" customHeight="1">
      <c r="A857" s="2">
        <v>1.0</v>
      </c>
      <c r="B857" s="2" t="s">
        <v>2374</v>
      </c>
      <c r="C857" s="2" t="s">
        <v>2375</v>
      </c>
      <c r="D857" s="2" t="s">
        <v>13</v>
      </c>
      <c r="E857" s="2" t="s">
        <v>14</v>
      </c>
      <c r="F857" s="2" t="s">
        <v>15</v>
      </c>
      <c r="G857" s="2" t="s">
        <v>125</v>
      </c>
      <c r="H857" s="2" t="s">
        <v>107</v>
      </c>
      <c r="I857" s="2" t="str">
        <f>IFERROR(__xludf.DUMMYFUNCTION("GOOGLETRANSLATE(C857,""fr"",""en"")"),"I am not satisfied with the service because I am not responsible for a claim in 2019 but you increased my price for KIA PICANTO insurance
Of + you say you have tried to join me and I have never received a call from you")</f>
        <v>I am not satisfied with the service because I am not responsible for a claim in 2019 but you increased my price for KIA PICANTO insurance
Of + you say you have tried to join me and I have never received a call from you</v>
      </c>
    </row>
    <row r="858" ht="15.75" customHeight="1">
      <c r="A858" s="2">
        <v>2.0</v>
      </c>
      <c r="B858" s="2" t="s">
        <v>2376</v>
      </c>
      <c r="C858" s="2" t="s">
        <v>2377</v>
      </c>
      <c r="D858" s="2" t="s">
        <v>1965</v>
      </c>
      <c r="E858" s="2" t="s">
        <v>37</v>
      </c>
      <c r="F858" s="2" t="s">
        <v>15</v>
      </c>
      <c r="G858" s="2" t="s">
        <v>2378</v>
      </c>
      <c r="H858" s="2" t="s">
        <v>33</v>
      </c>
      <c r="I858" s="2" t="str">
        <f>IFERROR(__xludf.DUMMYFUNCTION("GOOGLETRANSLATE(C858,""fr"",""en"")"),"My turn to leave a comment on this insurer ... I recently subscribed to their service. Despite the sending of the care sheet I no longer have any news. I made different recovery without any response from them ...
I had lots of great speech before validat"&amp;"ing the contract, but since nothing, radio silence")</f>
        <v>My turn to leave a comment on this insurer ... I recently subscribed to their service. Despite the sending of the care sheet I no longer have any news. I made different recovery without any response from them ...
I had lots of great speech before validating the contract, but since nothing, radio silence</v>
      </c>
    </row>
    <row r="859" ht="15.75" customHeight="1">
      <c r="A859" s="2">
        <v>4.0</v>
      </c>
      <c r="B859" s="2" t="s">
        <v>2379</v>
      </c>
      <c r="C859" s="2" t="s">
        <v>2380</v>
      </c>
      <c r="D859" s="2" t="s">
        <v>31</v>
      </c>
      <c r="E859" s="2" t="s">
        <v>14</v>
      </c>
      <c r="F859" s="2" t="s">
        <v>15</v>
      </c>
      <c r="G859" s="2" t="s">
        <v>488</v>
      </c>
      <c r="H859" s="2" t="s">
        <v>111</v>
      </c>
      <c r="I859" s="2" t="str">
        <f>IFERROR(__xludf.DUMMYFUNCTION("GOOGLETRANSLATE(C859,""fr"",""en"")"),"Having changed insurer after the purchase of a new vehicle I was a little perplexed compared to the price requested by the olive tree. 20 euros less than my old insurance for the same guarantees. But after a few months in full containment by going to work"&amp;" I hit a deer. The degates being important I feared the worst. Well what was my surprise by finding a vehicle exercised by an approved coachbuilder. I do not regret this choice therefore and invites you to compare the prices of this insurance.")</f>
        <v>Having changed insurer after the purchase of a new vehicle I was a little perplexed compared to the price requested by the olive tree. 20 euros less than my old insurance for the same guarantees. But after a few months in full containment by going to work I hit a deer. The degates being important I feared the worst. Well what was my surprise by finding a vehicle exercised by an approved coachbuilder. I do not regret this choice therefore and invites you to compare the prices of this insurance.</v>
      </c>
    </row>
    <row r="860" ht="15.75" customHeight="1">
      <c r="A860" s="2">
        <v>5.0</v>
      </c>
      <c r="B860" s="2" t="s">
        <v>2381</v>
      </c>
      <c r="C860" s="2" t="s">
        <v>2382</v>
      </c>
      <c r="D860" s="2" t="s">
        <v>26</v>
      </c>
      <c r="E860" s="2" t="s">
        <v>21</v>
      </c>
      <c r="F860" s="2" t="s">
        <v>15</v>
      </c>
      <c r="G860" s="2" t="s">
        <v>1326</v>
      </c>
      <c r="H860" s="2" t="s">
        <v>122</v>
      </c>
      <c r="I860" s="2" t="str">
        <f>IFERROR(__xludf.DUMMYFUNCTION("GOOGLETRANSLATE(C860,""fr"",""en"")"),"Good value for money I had to do my glasses I left my business, I received a lot of quotes every day, and I found Neoliane not so expensive")</f>
        <v>Good value for money I had to do my glasses I left my business, I received a lot of quotes every day, and I found Neoliane not so expensive</v>
      </c>
    </row>
    <row r="861" ht="15.75" customHeight="1">
      <c r="A861" s="2">
        <v>3.0</v>
      </c>
      <c r="B861" s="2" t="s">
        <v>2383</v>
      </c>
      <c r="C861" s="2" t="s">
        <v>2384</v>
      </c>
      <c r="D861" s="2" t="s">
        <v>13</v>
      </c>
      <c r="E861" s="2" t="s">
        <v>14</v>
      </c>
      <c r="F861" s="2" t="s">
        <v>15</v>
      </c>
      <c r="G861" s="2" t="s">
        <v>1175</v>
      </c>
      <c r="H861" s="2" t="s">
        <v>33</v>
      </c>
      <c r="I861" s="2" t="str">
        <f>IFERROR(__xludf.DUMMYFUNCTION("GOOGLETRANSLATE(C861,""fr"",""en"")"),"Easy to subscribe. Adding the basic insurance packs quickly inflates the bill, ultimately it is not so inexpensive. For my car which does not move from the parking lot 80% of the year, it remains something suitable and adequate.")</f>
        <v>Easy to subscribe. Adding the basic insurance packs quickly inflates the bill, ultimately it is not so inexpensive. For my car which does not move from the parking lot 80% of the year, it remains something suitable and adequate.</v>
      </c>
    </row>
    <row r="862" ht="15.75" customHeight="1">
      <c r="A862" s="2">
        <v>1.0</v>
      </c>
      <c r="B862" s="2" t="s">
        <v>2385</v>
      </c>
      <c r="C862" s="2" t="s">
        <v>2386</v>
      </c>
      <c r="D862" s="2" t="s">
        <v>496</v>
      </c>
      <c r="E862" s="2" t="s">
        <v>241</v>
      </c>
      <c r="F862" s="2" t="s">
        <v>15</v>
      </c>
      <c r="G862" s="2" t="s">
        <v>950</v>
      </c>
      <c r="H862" s="2" t="s">
        <v>170</v>
      </c>
      <c r="I862" s="2" t="str">
        <f>IFERROR(__xludf.DUMMYFUNCTION("GOOGLETRANSLATE(C862,""fr"",""en"")"),"Deplorable sales service, no follow -up a change of interlocutor every week to believe that there are only temporary workers in this fixed -term contract. Everyone takes the call between each management service nonexistent for complaints. Extremely long t"&amp;"reatment times. More than 2 months for a simple loan insurance membership. 1 year there and I quickly terminated!")</f>
        <v>Deplorable sales service, no follow -up a change of interlocutor every week to believe that there are only temporary workers in this fixed -term contract. Everyone takes the call between each management service nonexistent for complaints. Extremely long treatment times. More than 2 months for a simple loan insurance membership. 1 year there and I quickly terminated!</v>
      </c>
    </row>
    <row r="863" ht="15.75" customHeight="1">
      <c r="A863" s="2">
        <v>2.0</v>
      </c>
      <c r="B863" s="2" t="s">
        <v>2387</v>
      </c>
      <c r="C863" s="2" t="s">
        <v>2388</v>
      </c>
      <c r="D863" s="2" t="s">
        <v>13</v>
      </c>
      <c r="E863" s="2" t="s">
        <v>14</v>
      </c>
      <c r="F863" s="2" t="s">
        <v>15</v>
      </c>
      <c r="G863" s="2" t="s">
        <v>2389</v>
      </c>
      <c r="H863" s="2" t="s">
        <v>992</v>
      </c>
      <c r="I863" s="2" t="str">
        <f>IFERROR(__xludf.DUMMYFUNCTION("GOOGLETRANSLATE(C863,""fr"",""en"")"),"I consult another site before this one all people are ennnchhanteeeeee yes but that opinions of new customer subscribers blablabla you are surprised to subscribe no problem but then in the event of an accident no one service more than null 3 weeks waiting"&amp;" Decision on liability and still nothing service monitoring disaster unjusting counselor incompetent advisor except of course at the service service there we put the package very nice to advertise by saying our assures save on average 200 euros per year i"&amp;"f it is to take people then For hams if you can put your 200 euros more in a correct asurance or pray Saint Maccadam to protect you")</f>
        <v>I consult another site before this one all people are ennnchhanteeeeee yes but that opinions of new customer subscribers blablabla you are surprised to subscribe no problem but then in the event of an accident no one service more than null 3 weeks waiting Decision on liability and still nothing service monitoring disaster unjusting counselor incompetent advisor except of course at the service service there we put the package very nice to advertise by saying our assures save on average 200 euros per year if it is to take people then For hams if you can put your 200 euros more in a correct asurance or pray Saint Maccadam to protect you</v>
      </c>
    </row>
    <row r="864" ht="15.75" customHeight="1">
      <c r="A864" s="2">
        <v>2.0</v>
      </c>
      <c r="B864" s="2" t="s">
        <v>2390</v>
      </c>
      <c r="C864" s="2" t="s">
        <v>2391</v>
      </c>
      <c r="D864" s="2" t="s">
        <v>26</v>
      </c>
      <c r="E864" s="2" t="s">
        <v>21</v>
      </c>
      <c r="F864" s="2" t="s">
        <v>15</v>
      </c>
      <c r="G864" s="2" t="s">
        <v>466</v>
      </c>
      <c r="H864" s="2" t="s">
        <v>107</v>
      </c>
      <c r="I864" s="2" t="str">
        <f>IFERROR(__xludf.DUMMYFUNCTION("GOOGLETRANSLATE(C864,""fr"",""en"")"),"Catastrophic organization, problems to join a correspondent, promises you but does nothing; Waiting not possible to obtain reimbursements, verification of all reimbursements because some are not made and no one warns you. In a word, avoid this mutual")</f>
        <v>Catastrophic organization, problems to join a correspondent, promises you but does nothing; Waiting not possible to obtain reimbursements, verification of all reimbursements because some are not made and no one warns you. In a word, avoid this mutual</v>
      </c>
    </row>
    <row r="865" ht="15.75" customHeight="1">
      <c r="A865" s="2">
        <v>1.0</v>
      </c>
      <c r="B865" s="2" t="s">
        <v>2392</v>
      </c>
      <c r="C865" s="2" t="s">
        <v>2393</v>
      </c>
      <c r="D865" s="2" t="s">
        <v>496</v>
      </c>
      <c r="E865" s="2" t="s">
        <v>241</v>
      </c>
      <c r="F865" s="2" t="s">
        <v>15</v>
      </c>
      <c r="G865" s="2" t="s">
        <v>1069</v>
      </c>
      <c r="H865" s="2" t="s">
        <v>774</v>
      </c>
      <c r="I865" s="2" t="str">
        <f>IFERROR(__xludf.DUMMYFUNCTION("GOOGLETRANSLATE(C865,""fr"",""en"")"),"TO FLEE. On stop since March they take all the apologies so as not to cover my borrowing. From the start of insurance begins on the 30th day April sends me a letter that after study my insurance begins on the 91 th day which is false then waiting for 3 mo"&amp;"nths during confinement with the impossibility of being reimbursed despite the letters of the ss. Lack of my file by ignoring the laws on ALD people who can have a serious form of covid; then icing on the cake despite my name and surname They cannot find "&amp;"me after in -depth research; I have been at home since 2014 !!! A proven bad faith independent profession flee this insurance no possibility of contacting them and your insurance which should help you AXA in my case cleared to flee")</f>
        <v>TO FLEE. On stop since March they take all the apologies so as not to cover my borrowing. From the start of insurance begins on the 30th day April sends me a letter that after study my insurance begins on the 91 th day which is false then waiting for 3 months during confinement with the impossibility of being reimbursed despite the letters of the ss. Lack of my file by ignoring the laws on ALD people who can have a serious form of covid; then icing on the cake despite my name and surname They cannot find me after in -depth research; I have been at home since 2014 !!! A proven bad faith independent profession flee this insurance no possibility of contacting them and your insurance which should help you AXA in my case cleared to flee</v>
      </c>
    </row>
    <row r="866" ht="15.75" customHeight="1">
      <c r="A866" s="2">
        <v>4.0</v>
      </c>
      <c r="B866" s="2" t="s">
        <v>2394</v>
      </c>
      <c r="C866" s="2" t="s">
        <v>2395</v>
      </c>
      <c r="D866" s="2" t="s">
        <v>222</v>
      </c>
      <c r="E866" s="2" t="s">
        <v>21</v>
      </c>
      <c r="F866" s="2" t="s">
        <v>15</v>
      </c>
      <c r="G866" s="2" t="s">
        <v>2396</v>
      </c>
      <c r="H866" s="2" t="s">
        <v>39</v>
      </c>
      <c r="I866" s="2" t="str">
        <f>IFERROR(__xludf.DUMMYFUNCTION("GOOGLETRANSLATE(C866,""fr"",""en"")"),"I was very well received by Maria. She explained my problem to me clearly
Very pleasant and understandable insurer. Thank you Maria.
Recently at Santiane I am delighted.")</f>
        <v>I was very well received by Maria. She explained my problem to me clearly
Very pleasant and understandable insurer. Thank you Maria.
Recently at Santiane I am delighted.</v>
      </c>
    </row>
    <row r="867" ht="15.75" customHeight="1">
      <c r="A867" s="2">
        <v>5.0</v>
      </c>
      <c r="B867" s="2" t="s">
        <v>2397</v>
      </c>
      <c r="C867" s="2" t="s">
        <v>2398</v>
      </c>
      <c r="D867" s="2" t="s">
        <v>31</v>
      </c>
      <c r="E867" s="2" t="s">
        <v>14</v>
      </c>
      <c r="F867" s="2" t="s">
        <v>15</v>
      </c>
      <c r="G867" s="2" t="s">
        <v>499</v>
      </c>
      <c r="H867" s="2" t="s">
        <v>107</v>
      </c>
      <c r="I867" s="2" t="str">
        <f>IFERROR(__xludf.DUMMYFUNCTION("GOOGLETRANSLATE(C867,""fr"",""en"")"),"I am satisfied with the service
The prices are very good and competitive
I will recommend the olive assurance to my knowledge without any problem thank you")</f>
        <v>I am satisfied with the service
The prices are very good and competitive
I will recommend the olive assurance to my knowledge without any problem thank you</v>
      </c>
    </row>
    <row r="868" ht="15.75" customHeight="1">
      <c r="A868" s="2">
        <v>1.0</v>
      </c>
      <c r="B868" s="2" t="s">
        <v>2399</v>
      </c>
      <c r="C868" s="2" t="s">
        <v>2400</v>
      </c>
      <c r="D868" s="2" t="s">
        <v>942</v>
      </c>
      <c r="E868" s="2" t="s">
        <v>241</v>
      </c>
      <c r="F868" s="2" t="s">
        <v>15</v>
      </c>
      <c r="G868" s="2" t="s">
        <v>2401</v>
      </c>
      <c r="H868" s="2" t="s">
        <v>549</v>
      </c>
      <c r="I868" s="2" t="str">
        <f>IFERROR(__xludf.DUMMYFUNCTION("GOOGLETRANSLATE(C868,""fr"",""en"")"),"File sent complete, and for 2 months still no news despite several calls, I am told that my file is processed and the answer will arrive within 48 hours and 10 days after still nothing ...")</f>
        <v>File sent complete, and for 2 months still no news despite several calls, I am told that my file is processed and the answer will arrive within 48 hours and 10 days after still nothing ...</v>
      </c>
    </row>
    <row r="869" ht="15.75" customHeight="1">
      <c r="A869" s="2">
        <v>2.0</v>
      </c>
      <c r="B869" s="2" t="s">
        <v>2402</v>
      </c>
      <c r="C869" s="2" t="s">
        <v>2403</v>
      </c>
      <c r="D869" s="2" t="s">
        <v>13</v>
      </c>
      <c r="E869" s="2" t="s">
        <v>14</v>
      </c>
      <c r="F869" s="2" t="s">
        <v>15</v>
      </c>
      <c r="G869" s="2" t="s">
        <v>2404</v>
      </c>
      <c r="H869" s="2" t="s">
        <v>142</v>
      </c>
      <c r="I869" s="2" t="str">
        <f>IFERROR(__xludf.DUMMYFUNCTION("GOOGLETRANSLATE(C869,""fr"",""en"")"),"2 months that I ask for the green sticker and I have always received nothing, my insurance is paid, impossible to reach them")</f>
        <v>2 months that I ask for the green sticker and I have always received nothing, my insurance is paid, impossible to reach them</v>
      </c>
    </row>
    <row r="870" ht="15.75" customHeight="1">
      <c r="A870" s="2">
        <v>1.0</v>
      </c>
      <c r="B870" s="2" t="s">
        <v>2405</v>
      </c>
      <c r="C870" s="2" t="s">
        <v>2406</v>
      </c>
      <c r="D870" s="2" t="s">
        <v>496</v>
      </c>
      <c r="E870" s="2" t="s">
        <v>2407</v>
      </c>
      <c r="F870" s="2" t="s">
        <v>15</v>
      </c>
      <c r="G870" s="2" t="s">
        <v>1209</v>
      </c>
      <c r="H870" s="2" t="s">
        <v>17</v>
      </c>
      <c r="I870" s="2" t="str">
        <f>IFERROR(__xludf.DUMMYFUNCTION("GOOGLETRANSLATE(C870,""fr"",""en"")"),"Hello, I am craftsman carpenter auto-entrepreneur cabinetmaker. I am therefore obliged to take out ten -year insurance at the price of € 80.97 per month at April. Having found cheaper at Groupama and with more blankets, Groupama is occupied with the termi"&amp;"nation which took place on 12/31/2020 !!! But April refuses the termination despite that everything is in good standing according to article L.113-12 of the insurance code.
And continue to take me since the beginning of 2021, the sum of € 230.97.
Despit"&amp;"e the reminders of Groupama and on my part, nothing changes.")</f>
        <v>Hello, I am craftsman carpenter auto-entrepreneur cabinetmaker. I am therefore obliged to take out ten -year insurance at the price of € 80.97 per month at April. Having found cheaper at Groupama and with more blankets, Groupama is occupied with the termination which took place on 12/31/2020 !!! But April refuses the termination despite that everything is in good standing according to article L.113-12 of the insurance code.
And continue to take me since the beginning of 2021, the sum of € 230.97.
Despite the reminders of Groupama and on my part, nothing changes.</v>
      </c>
    </row>
    <row r="871" ht="15.75" customHeight="1">
      <c r="A871" s="2">
        <v>3.0</v>
      </c>
      <c r="B871" s="2" t="s">
        <v>2408</v>
      </c>
      <c r="C871" s="2" t="s">
        <v>2409</v>
      </c>
      <c r="D871" s="2" t="s">
        <v>13</v>
      </c>
      <c r="E871" s="2" t="s">
        <v>14</v>
      </c>
      <c r="F871" s="2" t="s">
        <v>15</v>
      </c>
      <c r="G871" s="2" t="s">
        <v>580</v>
      </c>
      <c r="H871" s="2" t="s">
        <v>60</v>
      </c>
      <c r="I871" s="2" t="str">
        <f>IFERROR(__xludf.DUMMYFUNCTION("GOOGLETRANSLATE(C871,""fr"",""en"")"),"A little more expensive than the other comparator but already having my contract with you, it is simpler compared to the steps. Receptive customer service")</f>
        <v>A little more expensive than the other comparator but already having my contract with you, it is simpler compared to the steps. Receptive customer service</v>
      </c>
    </row>
    <row r="872" ht="15.75" customHeight="1">
      <c r="A872" s="2">
        <v>1.0</v>
      </c>
      <c r="B872" s="2" t="s">
        <v>2410</v>
      </c>
      <c r="C872" s="2" t="s">
        <v>2411</v>
      </c>
      <c r="D872" s="2" t="s">
        <v>13</v>
      </c>
      <c r="E872" s="2" t="s">
        <v>14</v>
      </c>
      <c r="F872" s="2" t="s">
        <v>15</v>
      </c>
      <c r="G872" s="2" t="s">
        <v>16</v>
      </c>
      <c r="H872" s="2" t="s">
        <v>17</v>
      </c>
      <c r="I872" s="2" t="str">
        <f>IFERROR(__xludf.DUMMYFUNCTION("GOOGLETRANSLATE(C872,""fr"",""en"")"),"I just received my premium opinion from 04/09/2021.
Direct Insurance offers me an increase of 17.51% of my premium I say 17.51%.
I suppose that a comma was misplaced and that the increase should have been 1.75%")</f>
        <v>I just received my premium opinion from 04/09/2021.
Direct Insurance offers me an increase of 17.51% of my premium I say 17.51%.
I suppose that a comma was misplaced and that the increase should have been 1.75%</v>
      </c>
    </row>
    <row r="873" ht="15.75" customHeight="1">
      <c r="A873" s="2">
        <v>2.0</v>
      </c>
      <c r="B873" s="2" t="s">
        <v>2412</v>
      </c>
      <c r="C873" s="2" t="s">
        <v>2413</v>
      </c>
      <c r="D873" s="2" t="s">
        <v>496</v>
      </c>
      <c r="E873" s="2" t="s">
        <v>241</v>
      </c>
      <c r="F873" s="2" t="s">
        <v>15</v>
      </c>
      <c r="G873" s="2" t="s">
        <v>2414</v>
      </c>
      <c r="H873" s="2" t="s">
        <v>559</v>
      </c>
      <c r="I873" s="2" t="str">
        <f>IFERROR(__xludf.DUMMYFUNCTION("GOOGLETRANSLATE(C873,""fr"",""en"")"),"hello, 
We encounter exactly the same problem. Despite the consolidation of my wife in invalidity Cat 2. The expert of April maintains that my wife can work !! It's scandalous.
In addition, April asks us to reimburse them from the too perceived, althoug"&amp;"h the state of health has not changed for 1 year. April, in no case is insurance. They take advantage of the weakness of the insured so as not to reimburse the deadlines. Indeed, we must go to court against April, it is unacceptable. Cordially .
")</f>
        <v>hello, 
We encounter exactly the same problem. Despite the consolidation of my wife in invalidity Cat 2. The expert of April maintains that my wife can work !! It's scandalous.
In addition, April asks us to reimburse them from the too perceived, although the state of health has not changed for 1 year. April, in no case is insurance. They take advantage of the weakness of the insured so as not to reimburse the deadlines. Indeed, we must go to court against April, it is unacceptable. Cordially .
</v>
      </c>
    </row>
    <row r="874" ht="15.75" customHeight="1">
      <c r="A874" s="2">
        <v>1.0</v>
      </c>
      <c r="B874" s="2" t="s">
        <v>2415</v>
      </c>
      <c r="C874" s="2" t="s">
        <v>2416</v>
      </c>
      <c r="D874" s="2" t="s">
        <v>836</v>
      </c>
      <c r="E874" s="2" t="s">
        <v>103</v>
      </c>
      <c r="F874" s="2" t="s">
        <v>15</v>
      </c>
      <c r="G874" s="2" t="s">
        <v>2417</v>
      </c>
      <c r="H874" s="2" t="s">
        <v>86</v>
      </c>
      <c r="I874" s="2" t="str">
        <f>IFERROR(__xludf.DUMMYFUNCTION("GOOGLETRANSLATE(C874,""fr"",""en"")"),"Unreachable interlocutor after a flight in a house. ACM wants to know nothing while papers provided. Injustable by such. No reimbursement for flight.")</f>
        <v>Unreachable interlocutor after a flight in a house. ACM wants to know nothing while papers provided. Injustable by such. No reimbursement for flight.</v>
      </c>
    </row>
    <row r="875" ht="15.75" customHeight="1">
      <c r="A875" s="2">
        <v>1.0</v>
      </c>
      <c r="B875" s="2" t="s">
        <v>2418</v>
      </c>
      <c r="C875" s="2" t="s">
        <v>2419</v>
      </c>
      <c r="D875" s="2" t="s">
        <v>182</v>
      </c>
      <c r="E875" s="2" t="s">
        <v>14</v>
      </c>
      <c r="F875" s="2" t="s">
        <v>15</v>
      </c>
      <c r="G875" s="2" t="s">
        <v>2420</v>
      </c>
      <c r="H875" s="2" t="s">
        <v>971</v>
      </c>
      <c r="I875" s="2" t="str">
        <f>IFERROR(__xludf.DUMMYFUNCTION("GOOGLETRANSLATE(C875,""fr"",""en"")"),"Overall satisfied, a downside for the very high price.")</f>
        <v>Overall satisfied, a downside for the very high price.</v>
      </c>
    </row>
    <row r="876" ht="15.75" customHeight="1">
      <c r="A876" s="2">
        <v>4.0</v>
      </c>
      <c r="B876" s="2" t="s">
        <v>2421</v>
      </c>
      <c r="C876" s="2" t="s">
        <v>2422</v>
      </c>
      <c r="D876" s="2" t="s">
        <v>26</v>
      </c>
      <c r="E876" s="2" t="s">
        <v>21</v>
      </c>
      <c r="F876" s="2" t="s">
        <v>15</v>
      </c>
      <c r="G876" s="2" t="s">
        <v>590</v>
      </c>
      <c r="H876" s="2" t="s">
        <v>46</v>
      </c>
      <c r="I876" s="2" t="str">
        <f>IFERROR(__xludf.DUMMYFUNCTION("GOOGLETRANSLATE(C876,""fr"",""en"")"),"Hello following the telephone interview that I had this morning with Madame Ndeye I am part of my full satisfaction for the answers she gave to my questions. Thanks again.")</f>
        <v>Hello following the telephone interview that I had this morning with Madame Ndeye I am part of my full satisfaction for the answers she gave to my questions. Thanks again.</v>
      </c>
    </row>
    <row r="877" ht="15.75" customHeight="1">
      <c r="A877" s="2">
        <v>1.0</v>
      </c>
      <c r="B877" s="2" t="s">
        <v>2423</v>
      </c>
      <c r="C877" s="2" t="s">
        <v>2424</v>
      </c>
      <c r="D877" s="2" t="s">
        <v>136</v>
      </c>
      <c r="E877" s="2" t="s">
        <v>14</v>
      </c>
      <c r="F877" s="2" t="s">
        <v>15</v>
      </c>
      <c r="G877" s="2" t="s">
        <v>1032</v>
      </c>
      <c r="H877" s="2" t="s">
        <v>76</v>
      </c>
      <c r="I877" s="2" t="str">
        <f>IFERROR(__xludf.DUMMYFUNCTION("GOOGLETRANSLATE(C877,""fr"",""en"")"),"I give less five stars for bad faith lying elevated price no bonus and refusal to pay the repair costs overvaluation of the cost of repairs undervaluation of the price of the car he assures assurance to run away absolutely I put a star but is less five")</f>
        <v>I give less five stars for bad faith lying elevated price no bonus and refusal to pay the repair costs overvaluation of the cost of repairs undervaluation of the price of the car he assures assurance to run away absolutely I put a star but is less five</v>
      </c>
    </row>
    <row r="878" ht="15.75" customHeight="1">
      <c r="A878" s="2">
        <v>3.0</v>
      </c>
      <c r="B878" s="2" t="s">
        <v>2425</v>
      </c>
      <c r="C878" s="2" t="s">
        <v>2426</v>
      </c>
      <c r="D878" s="2" t="s">
        <v>13</v>
      </c>
      <c r="E878" s="2" t="s">
        <v>103</v>
      </c>
      <c r="F878" s="2" t="s">
        <v>15</v>
      </c>
      <c r="G878" s="2" t="s">
        <v>248</v>
      </c>
      <c r="H878" s="2" t="s">
        <v>249</v>
      </c>
      <c r="I878" s="2" t="str">
        <f>IFERROR(__xludf.DUMMYFUNCTION("GOOGLETRANSLATE(C878,""fr"",""en"")"),"77.30 % increase in 6 years, very advantageous price at the start but 6 years later ...... and even more as soon as there is a disaster.")</f>
        <v>77.30 % increase in 6 years, very advantageous price at the start but 6 years later ...... and even more as soon as there is a disaster.</v>
      </c>
    </row>
    <row r="879" ht="15.75" customHeight="1">
      <c r="A879" s="2">
        <v>4.0</v>
      </c>
      <c r="B879" s="2" t="s">
        <v>2427</v>
      </c>
      <c r="C879" s="2" t="s">
        <v>2428</v>
      </c>
      <c r="D879" s="2" t="s">
        <v>13</v>
      </c>
      <c r="E879" s="2" t="s">
        <v>14</v>
      </c>
      <c r="F879" s="2" t="s">
        <v>15</v>
      </c>
      <c r="G879" s="2" t="s">
        <v>977</v>
      </c>
      <c r="H879" s="2" t="s">
        <v>33</v>
      </c>
      <c r="I879" s="2" t="str">
        <f>IFERROR(__xludf.DUMMYFUNCTION("GOOGLETRANSLATE(C879,""fr"",""en"")"),"I am satisfied with the possibility of securing online and online management
Simple and practical.
I just subscribed, we will see in the future if this satisfaction is confirmed.")</f>
        <v>I am satisfied with the possibility of securing online and online management
Simple and practical.
I just subscribed, we will see in the future if this satisfaction is confirmed.</v>
      </c>
    </row>
    <row r="880" ht="15.75" customHeight="1">
      <c r="A880" s="2">
        <v>1.0</v>
      </c>
      <c r="B880" s="2" t="s">
        <v>2429</v>
      </c>
      <c r="C880" s="2" t="s">
        <v>2430</v>
      </c>
      <c r="D880" s="2" t="s">
        <v>160</v>
      </c>
      <c r="E880" s="2" t="s">
        <v>21</v>
      </c>
      <c r="F880" s="2" t="s">
        <v>15</v>
      </c>
      <c r="G880" s="2" t="s">
        <v>803</v>
      </c>
      <c r="H880" s="2" t="s">
        <v>249</v>
      </c>
      <c r="I880" s="2" t="str">
        <f>IFERROR(__xludf.DUMMYFUNCTION("GOOGLETRANSLATE(C880,""fr"",""en"")"),"To avoid at all costs! Always awaiting a supplement of service despite reminders")</f>
        <v>To avoid at all costs! Always awaiting a supplement of service despite reminders</v>
      </c>
    </row>
    <row r="881" ht="15.75" customHeight="1">
      <c r="A881" s="2">
        <v>4.0</v>
      </c>
      <c r="B881" s="2" t="s">
        <v>2431</v>
      </c>
      <c r="C881" s="2" t="s">
        <v>2432</v>
      </c>
      <c r="D881" s="2" t="s">
        <v>13</v>
      </c>
      <c r="E881" s="2" t="s">
        <v>14</v>
      </c>
      <c r="F881" s="2" t="s">
        <v>15</v>
      </c>
      <c r="G881" s="2" t="s">
        <v>1682</v>
      </c>
      <c r="H881" s="2" t="s">
        <v>107</v>
      </c>
      <c r="I881" s="2" t="str">
        <f>IFERROR(__xludf.DUMMYFUNCTION("GOOGLETRANSLATE(C881,""fr"",""en"")"),"I am satisfied with Direct Insurance services as a young driver.
Only downside, I did not find how to settle monthly and not annually")</f>
        <v>I am satisfied with Direct Insurance services as a young driver.
Only downside, I did not find how to settle monthly and not annually</v>
      </c>
    </row>
    <row r="882" ht="15.75" customHeight="1">
      <c r="A882" s="2">
        <v>3.0</v>
      </c>
      <c r="B882" s="2" t="s">
        <v>2433</v>
      </c>
      <c r="C882" s="2" t="s">
        <v>2434</v>
      </c>
      <c r="D882" s="2" t="s">
        <v>13</v>
      </c>
      <c r="E882" s="2" t="s">
        <v>14</v>
      </c>
      <c r="F882" s="2" t="s">
        <v>15</v>
      </c>
      <c r="G882" s="2" t="s">
        <v>1468</v>
      </c>
      <c r="H882" s="2" t="s">
        <v>194</v>
      </c>
      <c r="I882" s="2" t="str">
        <f>IFERROR(__xludf.DUMMYFUNCTION("GOOGLETRANSLATE(C882,""fr"",""en"")"),"Following a sinister with a biker, my first reassured interlocutor, praises the common values ​​and interests which unite and guaranteed to best defend my file by collecting as much information as possible, understood there in the services of police. Two "&amp;"weeks later, after a very unpleasant discussions with another new discourt operator, which seems to me this much more coherent. Indeed, based on the information noted on the file during the first contact, the verdict is final, manage, because your respons"&amp;"ibility is engaged. Acting in such an insidious way is in my opinion a lack of professionalism. Also, I do not forget the reasons that pushes me to subscribe to them, and unfortunately the effectiveness is not part.")</f>
        <v>Following a sinister with a biker, my first reassured interlocutor, praises the common values ​​and interests which unite and guaranteed to best defend my file by collecting as much information as possible, understood there in the services of police. Two weeks later, after a very unpleasant discussions with another new discourt operator, which seems to me this much more coherent. Indeed, based on the information noted on the file during the first contact, the verdict is final, manage, because your responsibility is engaged. Acting in such an insidious way is in my opinion a lack of professionalism. Also, I do not forget the reasons that pushes me to subscribe to them, and unfortunately the effectiveness is not part.</v>
      </c>
    </row>
    <row r="883" ht="15.75" customHeight="1">
      <c r="A883" s="2">
        <v>1.0</v>
      </c>
      <c r="B883" s="2" t="s">
        <v>2435</v>
      </c>
      <c r="C883" s="2" t="s">
        <v>2436</v>
      </c>
      <c r="D883" s="2" t="s">
        <v>1508</v>
      </c>
      <c r="E883" s="2" t="s">
        <v>317</v>
      </c>
      <c r="F883" s="2" t="s">
        <v>15</v>
      </c>
      <c r="G883" s="2" t="s">
        <v>2437</v>
      </c>
      <c r="H883" s="2" t="s">
        <v>28</v>
      </c>
      <c r="I883" s="2" t="str">
        <f>IFERROR(__xludf.DUMMYFUNCTION("GOOGLETRANSLATE(C883,""fr"",""en"")"),"I have been low for several months for a succession no answers to such no answers to catastrophic management mail I have to take a lawyer to be able to touch my inheritance")</f>
        <v>I have been low for several months for a succession no answers to such no answers to catastrophic management mail I have to take a lawyer to be able to touch my inheritance</v>
      </c>
    </row>
    <row r="884" ht="15.75" customHeight="1">
      <c r="A884" s="2">
        <v>1.0</v>
      </c>
      <c r="B884" s="2" t="s">
        <v>2438</v>
      </c>
      <c r="C884" s="2" t="s">
        <v>2439</v>
      </c>
      <c r="D884" s="2" t="s">
        <v>117</v>
      </c>
      <c r="E884" s="2" t="s">
        <v>14</v>
      </c>
      <c r="F884" s="2" t="s">
        <v>15</v>
      </c>
      <c r="G884" s="2" t="s">
        <v>179</v>
      </c>
      <c r="H884" s="2" t="s">
        <v>50</v>
      </c>
      <c r="I884" s="2" t="str">
        <f>IFERROR(__xludf.DUMMYFUNCTION("GOOGLETRANSLATE(C884,""fr"",""en"")"),"I terminate all my contracts at GMF because I am not at all satisfied with the last exchange I had with a Seyne sur Mer advisor.
He did not want to ensure a boat that I bought and I told him that I was going to insure him elsewhere because I already had "&amp;"a positive response from a competing agency and that in the same time I will solve all my contracts.
 He replied: do what you want without trying to round the angles ... today I thank him because I found much cheaper elsewhere ....")</f>
        <v>I terminate all my contracts at GMF because I am not at all satisfied with the last exchange I had with a Seyne sur Mer advisor.
He did not want to ensure a boat that I bought and I told him that I was going to insure him elsewhere because I already had a positive response from a competing agency and that in the same time I will solve all my contracts.
 He replied: do what you want without trying to round the angles ... today I thank him because I found much cheaper elsewhere ....</v>
      </c>
    </row>
    <row r="885" ht="15.75" customHeight="1">
      <c r="A885" s="2">
        <v>5.0</v>
      </c>
      <c r="B885" s="2" t="s">
        <v>2440</v>
      </c>
      <c r="C885" s="2" t="s">
        <v>2441</v>
      </c>
      <c r="D885" s="2" t="s">
        <v>13</v>
      </c>
      <c r="E885" s="2" t="s">
        <v>14</v>
      </c>
      <c r="F885" s="2" t="s">
        <v>15</v>
      </c>
      <c r="G885" s="2" t="s">
        <v>2442</v>
      </c>
      <c r="H885" s="2" t="s">
        <v>50</v>
      </c>
      <c r="I885" s="2" t="str">
        <f>IFERROR(__xludf.DUMMYFUNCTION("GOOGLETRANSLATE(C885,""fr"",""en"")"),"Fast and simple. Direct insurance is not expensive. The sponsorship makes 20th to two people benefit and it's great.
I hope to find several people to subscribe and benefit from the 20th")</f>
        <v>Fast and simple. Direct insurance is not expensive. The sponsorship makes 20th to two people benefit and it's great.
I hope to find several people to subscribe and benefit from the 20th</v>
      </c>
    </row>
    <row r="886" ht="15.75" customHeight="1">
      <c r="A886" s="2">
        <v>2.0</v>
      </c>
      <c r="B886" s="2" t="s">
        <v>2443</v>
      </c>
      <c r="C886" s="2" t="s">
        <v>2444</v>
      </c>
      <c r="D886" s="2" t="s">
        <v>20</v>
      </c>
      <c r="E886" s="2" t="s">
        <v>21</v>
      </c>
      <c r="F886" s="2" t="s">
        <v>15</v>
      </c>
      <c r="G886" s="2" t="s">
        <v>336</v>
      </c>
      <c r="H886" s="2" t="s">
        <v>23</v>
      </c>
      <c r="I886" s="2" t="str">
        <f>IFERROR(__xludf.DUMMYFUNCTION("GOOGLETRANSLATE(C886,""fr"",""en"")"),"I sent you a dental quote some time ago. Yet having subscribed Lyria stature, I realize that I am not very well reimbursed, unless I go through the Healthclair Raiseau, except that these dentists do not take new customers or are too far, I find it not log"&amp;"ical at all. In addition we make you save because we take advantage of this mutual insurance no more than that could be an exception, make an effort on the price of the mutual too expensive. Cordially")</f>
        <v>I sent you a dental quote some time ago. Yet having subscribed Lyria stature, I realize that I am not very well reimbursed, unless I go through the Healthclair Raiseau, except that these dentists do not take new customers or are too far, I find it not logical at all. In addition we make you save because we take advantage of this mutual insurance no more than that could be an exception, make an effort on the price of the mutual too expensive. Cordially</v>
      </c>
    </row>
    <row r="887" ht="15.75" customHeight="1">
      <c r="A887" s="2">
        <v>1.0</v>
      </c>
      <c r="B887" s="2" t="s">
        <v>2445</v>
      </c>
      <c r="C887" s="2" t="s">
        <v>2446</v>
      </c>
      <c r="D887" s="2" t="s">
        <v>437</v>
      </c>
      <c r="E887" s="2" t="s">
        <v>21</v>
      </c>
      <c r="F887" s="2" t="s">
        <v>15</v>
      </c>
      <c r="G887" s="2" t="s">
        <v>80</v>
      </c>
      <c r="H887" s="2" t="s">
        <v>81</v>
      </c>
      <c r="I887" s="2" t="str">
        <f>IFERROR(__xludf.DUMMYFUNCTION("GOOGLETRANSLATE(C887,""fr"",""en"")"),"Despite several emails no response from their part fortunately I change mutual ends at the end of December no more results by mediocre phone is little")</f>
        <v>Despite several emails no response from their part fortunately I change mutual ends at the end of December no more results by mediocre phone is little</v>
      </c>
    </row>
    <row r="888" ht="15.75" customHeight="1">
      <c r="A888" s="2">
        <v>4.0</v>
      </c>
      <c r="B888" s="2" t="s">
        <v>2447</v>
      </c>
      <c r="C888" s="2" t="s">
        <v>2448</v>
      </c>
      <c r="D888" s="2" t="s">
        <v>31</v>
      </c>
      <c r="E888" s="2" t="s">
        <v>14</v>
      </c>
      <c r="F888" s="2" t="s">
        <v>15</v>
      </c>
      <c r="G888" s="2" t="s">
        <v>259</v>
      </c>
      <c r="H888" s="2" t="s">
        <v>54</v>
      </c>
      <c r="I888" s="2" t="str">
        <f>IFERROR(__xludf.DUMMYFUNCTION("GOOGLETRANSLATE(C888,""fr"",""en"")"),"Satisfied with your prices and your guarantees, fast, simple and efficient. I will not fail to talk about you around me for a sponsorship. Cordial welcome")</f>
        <v>Satisfied with your prices and your guarantees, fast, simple and efficient. I will not fail to talk about you around me for a sponsorship. Cordial welcome</v>
      </c>
    </row>
    <row r="889" ht="15.75" customHeight="1">
      <c r="A889" s="2">
        <v>4.0</v>
      </c>
      <c r="B889" s="2" t="s">
        <v>2449</v>
      </c>
      <c r="C889" s="2" t="s">
        <v>2450</v>
      </c>
      <c r="D889" s="2" t="s">
        <v>13</v>
      </c>
      <c r="E889" s="2" t="s">
        <v>14</v>
      </c>
      <c r="F889" s="2" t="s">
        <v>15</v>
      </c>
      <c r="G889" s="2" t="s">
        <v>599</v>
      </c>
      <c r="H889" s="2" t="s">
        <v>76</v>
      </c>
      <c r="I889" s="2" t="str">
        <f>IFERROR(__xludf.DUMMYFUNCTION("GOOGLETRANSLATE(C889,""fr"",""en"")"),"I am satisfied with the price of my second contract, I will advise my loved ones to come to your home, contact on Messenger very friendly and accommodating.")</f>
        <v>I am satisfied with the price of my second contract, I will advise my loved ones to come to your home, contact on Messenger very friendly and accommodating.</v>
      </c>
    </row>
    <row r="890" ht="15.75" customHeight="1">
      <c r="A890" s="2">
        <v>2.0</v>
      </c>
      <c r="B890" s="2" t="s">
        <v>2451</v>
      </c>
      <c r="C890" s="2" t="s">
        <v>2452</v>
      </c>
      <c r="D890" s="2" t="s">
        <v>256</v>
      </c>
      <c r="E890" s="2" t="s">
        <v>14</v>
      </c>
      <c r="F890" s="2" t="s">
        <v>15</v>
      </c>
      <c r="G890" s="2" t="s">
        <v>803</v>
      </c>
      <c r="H890" s="2" t="s">
        <v>249</v>
      </c>
      <c r="I890" s="2" t="str">
        <f>IFERROR(__xludf.DUMMYFUNCTION("GOOGLETRANSLATE(C890,""fr"",""en"")"),"For a non -responsible disaster at mid December
Forced to pay 1250 franchise
Not reimbursed to date
Vindictive and listening to telephone response")</f>
        <v>For a non -responsible disaster at mid December
Forced to pay 1250 franchise
Not reimbursed to date
Vindictive and listening to telephone response</v>
      </c>
    </row>
    <row r="891" ht="15.75" customHeight="1">
      <c r="A891" s="2">
        <v>4.0</v>
      </c>
      <c r="B891" s="2" t="s">
        <v>2453</v>
      </c>
      <c r="C891" s="2" t="s">
        <v>2454</v>
      </c>
      <c r="D891" s="2" t="s">
        <v>13</v>
      </c>
      <c r="E891" s="2" t="s">
        <v>14</v>
      </c>
      <c r="F891" s="2" t="s">
        <v>15</v>
      </c>
      <c r="G891" s="2" t="s">
        <v>321</v>
      </c>
      <c r="H891" s="2" t="s">
        <v>39</v>
      </c>
      <c r="I891" s="2" t="str">
        <f>IFERROR(__xludf.DUMMYFUNCTION("GOOGLETRANSLATE(C891,""fr"",""en"")"),"I discovered your insurance thanks to my sister and I am delighted for the moment a very friendly team, I was able to reach them easily by phone after having subscribed via the website
")</f>
        <v>I discovered your insurance thanks to my sister and I am delighted for the moment a very friendly team, I was able to reach them easily by phone after having subscribed via the website
</v>
      </c>
    </row>
    <row r="892" ht="15.75" customHeight="1">
      <c r="A892" s="2">
        <v>2.0</v>
      </c>
      <c r="B892" s="2" t="s">
        <v>2455</v>
      </c>
      <c r="C892" s="2" t="s">
        <v>2456</v>
      </c>
      <c r="D892" s="2" t="s">
        <v>168</v>
      </c>
      <c r="E892" s="2" t="s">
        <v>58</v>
      </c>
      <c r="F892" s="2" t="s">
        <v>15</v>
      </c>
      <c r="G892" s="2" t="s">
        <v>986</v>
      </c>
      <c r="H892" s="2" t="s">
        <v>194</v>
      </c>
      <c r="I892" s="2" t="str">
        <f>IFERROR(__xludf.DUMMYFUNCTION("GOOGLETRANSLATE(C892,""fr"",""en"")"),"Maaf Paris Bastille. Rather friendly reception but unable to answer simple questions follows tortuous arguments close to bad faith. Found!")</f>
        <v>Maaf Paris Bastille. Rather friendly reception but unable to answer simple questions follows tortuous arguments close to bad faith. Found!</v>
      </c>
    </row>
    <row r="893" ht="15.75" customHeight="1">
      <c r="A893" s="2">
        <v>2.0</v>
      </c>
      <c r="B893" s="2" t="s">
        <v>2457</v>
      </c>
      <c r="C893" s="2" t="s">
        <v>2458</v>
      </c>
      <c r="D893" s="2" t="s">
        <v>31</v>
      </c>
      <c r="E893" s="2" t="s">
        <v>14</v>
      </c>
      <c r="F893" s="2" t="s">
        <v>15</v>
      </c>
      <c r="G893" s="2" t="s">
        <v>50</v>
      </c>
      <c r="H893" s="2" t="s">
        <v>50</v>
      </c>
      <c r="I893" s="2" t="str">
        <f>IFERROR(__xludf.DUMMYFUNCTION("GOOGLETRANSLATE(C893,""fr"",""en"")"),"To flee
If you ask yourself why it is cheap insurance, it is explained:
Never think of having a claim because in which case if it does not concern bodywork, you will have to advance diagnostic and repair costs which will never be reimbursed, you will "&amp;"have any documents and the diagnosis of the expert You will always say after 2 months that your file and under processing and you will be forced to call on a legal association. Conclusion to flee insurance not reliable in the event of a claim.")</f>
        <v>To flee
If you ask yourself why it is cheap insurance, it is explained:
Never think of having a claim because in which case if it does not concern bodywork, you will have to advance diagnostic and repair costs which will never be reimbursed, you will have any documents and the diagnosis of the expert You will always say after 2 months that your file and under processing and you will be forced to call on a legal association. Conclusion to flee insurance not reliable in the event of a claim.</v>
      </c>
    </row>
    <row r="894" ht="15.75" customHeight="1">
      <c r="A894" s="2">
        <v>2.0</v>
      </c>
      <c r="B894" s="2" t="s">
        <v>2459</v>
      </c>
      <c r="C894" s="2" t="s">
        <v>2460</v>
      </c>
      <c r="D894" s="2" t="s">
        <v>404</v>
      </c>
      <c r="E894" s="2" t="s">
        <v>14</v>
      </c>
      <c r="F894" s="2" t="s">
        <v>15</v>
      </c>
      <c r="G894" s="2" t="s">
        <v>2461</v>
      </c>
      <c r="H894" s="2" t="s">
        <v>574</v>
      </c>
      <c r="I894" s="2" t="str">
        <f>IFERROR(__xludf.DUMMYFUNCTION("GOOGLETRANSLATE(C894,""fr"",""en"")"),"Non -insurance")</f>
        <v>Non -insurance</v>
      </c>
    </row>
    <row r="895" ht="15.75" customHeight="1">
      <c r="A895" s="2">
        <v>5.0</v>
      </c>
      <c r="B895" s="2" t="s">
        <v>2462</v>
      </c>
      <c r="C895" s="2" t="s">
        <v>2463</v>
      </c>
      <c r="D895" s="2" t="s">
        <v>117</v>
      </c>
      <c r="E895" s="2" t="s">
        <v>14</v>
      </c>
      <c r="F895" s="2" t="s">
        <v>15</v>
      </c>
      <c r="G895" s="2" t="s">
        <v>118</v>
      </c>
      <c r="H895" s="2" t="s">
        <v>107</v>
      </c>
      <c r="I895" s="2" t="str">
        <f>IFERROR(__xludf.DUMMYFUNCTION("GOOGLETRANSLATE(C895,""fr"",""en"")"),"I am satisfied with the service, speed and the price is satisfactory.
Always listening, is ready to satisfy you
I strongly advise, and the platform is quite intuitive
")</f>
        <v>I am satisfied with the service, speed and the price is satisfactory.
Always listening, is ready to satisfy you
I strongly advise, and the platform is quite intuitive
</v>
      </c>
    </row>
    <row r="896" ht="15.75" customHeight="1">
      <c r="A896" s="2">
        <v>1.0</v>
      </c>
      <c r="B896" s="2" t="s">
        <v>2464</v>
      </c>
      <c r="C896" s="2" t="s">
        <v>2465</v>
      </c>
      <c r="D896" s="2" t="s">
        <v>13</v>
      </c>
      <c r="E896" s="2" t="s">
        <v>14</v>
      </c>
      <c r="F896" s="2" t="s">
        <v>15</v>
      </c>
      <c r="G896" s="2" t="s">
        <v>1990</v>
      </c>
      <c r="H896" s="2" t="s">
        <v>76</v>
      </c>
      <c r="I896" s="2" t="str">
        <f>IFERROR(__xludf.DUMMYFUNCTION("GOOGLETRANSLATE(C896,""fr"",""en"")"),"Insastifying advisers, do not take my requests into account, if I put my 3 contracts, any way I will terminate because I raz the bowl of send 50 emails to obtain an easy answer.")</f>
        <v>Insastifying advisers, do not take my requests into account, if I put my 3 contracts, any way I will terminate because I raz the bowl of send 50 emails to obtain an easy answer.</v>
      </c>
    </row>
    <row r="897" ht="15.75" customHeight="1">
      <c r="A897" s="2">
        <v>5.0</v>
      </c>
      <c r="B897" s="2" t="s">
        <v>2466</v>
      </c>
      <c r="C897" s="2" t="s">
        <v>2467</v>
      </c>
      <c r="D897" s="2" t="s">
        <v>182</v>
      </c>
      <c r="E897" s="2" t="s">
        <v>14</v>
      </c>
      <c r="F897" s="2" t="s">
        <v>15</v>
      </c>
      <c r="G897" s="2" t="s">
        <v>2295</v>
      </c>
      <c r="H897" s="2" t="s">
        <v>60</v>
      </c>
      <c r="I897" s="2" t="str">
        <f>IFERROR(__xludf.DUMMYFUNCTION("GOOGLETRANSLATE(C897,""fr"",""en"")"),"The repairs were carried out very quickly
Troubleshooting of a loan vehicle directly at my home
I am very satisfied with this insurance agency as well as the mechanic")</f>
        <v>The repairs were carried out very quickly
Troubleshooting of a loan vehicle directly at my home
I am very satisfied with this insurance agency as well as the mechanic</v>
      </c>
    </row>
    <row r="898" ht="15.75" customHeight="1">
      <c r="A898" s="2">
        <v>4.0</v>
      </c>
      <c r="B898" s="2" t="s">
        <v>2468</v>
      </c>
      <c r="C898" s="2" t="s">
        <v>2469</v>
      </c>
      <c r="D898" s="2" t="s">
        <v>26</v>
      </c>
      <c r="E898" s="2" t="s">
        <v>21</v>
      </c>
      <c r="F898" s="2" t="s">
        <v>15</v>
      </c>
      <c r="G898" s="2" t="s">
        <v>38</v>
      </c>
      <c r="H898" s="2" t="s">
        <v>39</v>
      </c>
      <c r="I898" s="2" t="str">
        <f>IFERROR(__xludf.DUMMYFUNCTION("GOOGLETRANSLATE(C898,""fr"",""en"")"),"A letter sent on 03/23/2021 (without response)
2 th mail on 04/14/2021 (unanswered)
3 th enamel on 05/07/2021 (unanswered)
4 th telephoned on 05/16/2021 (replied but it is stipulated on my quote the date of
                                            "&amp;"     Answer on 04/23/2021 false) I received today
                                                 My quote !!!!!
Otherwise the person I had at Tel was very competent and fast.")</f>
        <v>A letter sent on 03/23/2021 (without response)
2 th mail on 04/14/2021 (unanswered)
3 th enamel on 05/07/2021 (unanswered)
4 th telephoned on 05/16/2021 (replied but it is stipulated on my quote the date of
                                                 Answer on 04/23/2021 false) I received today
                                                 My quote !!!!!
Otherwise the person I had at Tel was very competent and fast.</v>
      </c>
    </row>
    <row r="899" ht="15.75" customHeight="1">
      <c r="A899" s="2">
        <v>2.0</v>
      </c>
      <c r="B899" s="2" t="s">
        <v>2470</v>
      </c>
      <c r="C899" s="2" t="s">
        <v>2471</v>
      </c>
      <c r="D899" s="2" t="s">
        <v>157</v>
      </c>
      <c r="E899" s="2" t="s">
        <v>21</v>
      </c>
      <c r="F899" s="2" t="s">
        <v>15</v>
      </c>
      <c r="G899" s="2" t="s">
        <v>389</v>
      </c>
      <c r="H899" s="2" t="s">
        <v>28</v>
      </c>
      <c r="I899" s="2" t="str">
        <f>IFERROR(__xludf.DUMMYFUNCTION("GOOGLETRANSLATE(C899,""fr"",""en"")"),"This mutual borders on the extortion. Despite the level of contributions, their service seems volely to avoid all support for its contributors, a policy of figure that we usually meet with sulphurous lenders. A critical lack of investment in human resourc"&amp;"es probably in line with a maximum gain. All of his customers sink.")</f>
        <v>This mutual borders on the extortion. Despite the level of contributions, their service seems volely to avoid all support for its contributors, a policy of figure that we usually meet with sulphurous lenders. A critical lack of investment in human resources probably in line with a maximum gain. All of his customers sink.</v>
      </c>
    </row>
    <row r="900" ht="15.75" customHeight="1">
      <c r="A900" s="2">
        <v>1.0</v>
      </c>
      <c r="B900" s="2" t="s">
        <v>2472</v>
      </c>
      <c r="C900" s="2" t="s">
        <v>2473</v>
      </c>
      <c r="D900" s="2" t="s">
        <v>182</v>
      </c>
      <c r="E900" s="2" t="s">
        <v>14</v>
      </c>
      <c r="F900" s="2" t="s">
        <v>15</v>
      </c>
      <c r="G900" s="2" t="s">
        <v>1771</v>
      </c>
      <c r="H900" s="2" t="s">
        <v>17</v>
      </c>
      <c r="I900" s="2" t="str">
        <f>IFERROR(__xludf.DUMMYFUNCTION("GOOGLETRANSLATE(C900,""fr"",""en"")"),"This year AXA allowed itself to increase the automobile subscription by 7% compared to 2020, while the media told us that the insurers had garnered significant profits following confinement, I did not appreciate at all, it had to negotiate to have a subst"&amp;"antial discount, formerly I assured my real estate and the mutual health insurance at home, following significant increases I left them here several years. Now I will closely monitor the contribution call. Note that the accidents of life accidents increas"&amp;"ed by 4% compared to 2020.")</f>
        <v>This year AXA allowed itself to increase the automobile subscription by 7% compared to 2020, while the media told us that the insurers had garnered significant profits following confinement, I did not appreciate at all, it had to negotiate to have a substantial discount, formerly I assured my real estate and the mutual health insurance at home, following significant increases I left them here several years. Now I will closely monitor the contribution call. Note that the accidents of life accidents increased by 4% compared to 2020.</v>
      </c>
    </row>
    <row r="901" ht="15.75" customHeight="1">
      <c r="A901" s="2">
        <v>3.0</v>
      </c>
      <c r="B901" s="2" t="s">
        <v>2474</v>
      </c>
      <c r="C901" s="2" t="s">
        <v>2475</v>
      </c>
      <c r="D901" s="2" t="s">
        <v>84</v>
      </c>
      <c r="E901" s="2" t="s">
        <v>14</v>
      </c>
      <c r="F901" s="2" t="s">
        <v>15</v>
      </c>
      <c r="G901" s="2" t="s">
        <v>42</v>
      </c>
      <c r="H901" s="2" t="s">
        <v>17</v>
      </c>
      <c r="I901" s="2" t="str">
        <f>IFERROR(__xludf.DUMMYFUNCTION("GOOGLETRANSLATE(C901,""fr"",""en"")"),"Hello,
The son of my neighbor crushes my glasses that I had put on the ground (I worked in the garden) after I saw nothing because she was covered with sweat and here is the response of the Macif:
Dear member,
You ask us for the ""appeal"" warr"&amp;"anty of your contract following the incident that occurred on the XX/XX/XXXX.
The information communicated does not allow us to appeal for the following reason:
The implementation of responsibility requires the existence of a fault. However, it is not t"&amp;"he case ; Mr. XXXXXXX cannot be criticized for crushed the glasses while they were on the ground.
By leaving your glasses on the ground, you have committed an imprudence which is likely to exempt the one that worked on it.
Therefore, we cannot give a fa"&amp;"vorable continuation to your file.
We remain at your entire disposal for any further information.
I am outraged by such an answer !!! I am a victim and he carries me responsible so as not to reimburse my glasses?!?!? How to stop these actions?
"&amp;"This answer is insulting and demonstrates once again how powerless we are in the face of insurers who flee their responsibilities !!! Because what can I do except express my dissatisfaction through your forum? ... Nothing !!!
Greeting.
")</f>
        <v>Hello,
The son of my neighbor crushes my glasses that I had put on the ground (I worked in the garden) after I saw nothing because she was covered with sweat and here is the response of the Macif:
Dear member,
You ask us for the "appeal" warranty of your contract following the incident that occurred on the XX/XX/XXXX.
The information communicated does not allow us to appeal for the following reason:
The implementation of responsibility requires the existence of a fault. However, it is not the case ; Mr. XXXXXXX cannot be criticized for crushed the glasses while they were on the ground.
By leaving your glasses on the ground, you have committed an imprudence which is likely to exempt the one that worked on it.
Therefore, we cannot give a favorable continuation to your file.
We remain at your entire disposal for any further information.
I am outraged by such an answer !!! I am a victim and he carries me responsible so as not to reimburse my glasses?!?!? How to stop these actions?
This answer is insulting and demonstrates once again how powerless we are in the face of insurers who flee their responsibilities !!! Because what can I do except express my dissatisfaction through your forum? ... Nothing !!!
Greeting.
</v>
      </c>
    </row>
    <row r="902" ht="15.75" customHeight="1">
      <c r="A902" s="2">
        <v>5.0</v>
      </c>
      <c r="B902" s="2" t="s">
        <v>2476</v>
      </c>
      <c r="C902" s="2" t="s">
        <v>2477</v>
      </c>
      <c r="D902" s="2" t="s">
        <v>168</v>
      </c>
      <c r="E902" s="2" t="s">
        <v>14</v>
      </c>
      <c r="F902" s="2" t="s">
        <v>15</v>
      </c>
      <c r="G902" s="2" t="s">
        <v>469</v>
      </c>
      <c r="H902" s="2" t="s">
        <v>33</v>
      </c>
      <c r="I902" s="2" t="str">
        <f>IFERROR(__xludf.DUMMYFUNCTION("GOOGLETRANSLATE(C902,""fr"",""en"")"),"The TV ad corresponds to reality ... It is the maaf that I prefer! !! ...
Must take into account all the criteria and to the result everything is confirmed ...")</f>
        <v>The TV ad corresponds to reality ... It is the maaf that I prefer! !! ...
Must take into account all the criteria and to the result everything is confirmed ...</v>
      </c>
    </row>
    <row r="903" ht="15.75" customHeight="1">
      <c r="A903" s="2">
        <v>4.0</v>
      </c>
      <c r="B903" s="2" t="s">
        <v>2478</v>
      </c>
      <c r="C903" s="2" t="s">
        <v>2479</v>
      </c>
      <c r="D903" s="2" t="s">
        <v>31</v>
      </c>
      <c r="E903" s="2" t="s">
        <v>14</v>
      </c>
      <c r="F903" s="2" t="s">
        <v>15</v>
      </c>
      <c r="G903" s="2" t="s">
        <v>2480</v>
      </c>
      <c r="H903" s="2" t="s">
        <v>54</v>
      </c>
      <c r="I903" s="2" t="str">
        <f>IFERROR(__xludf.DUMMYFUNCTION("GOOGLETRANSLATE(C903,""fr"",""en"")"),"Very easy to understand even for a young driver. My license to benefit from car insurance as soon as possible. The telephone service is very kind and pleasant.")</f>
        <v>Very easy to understand even for a young driver. My license to benefit from car insurance as soon as possible. The telephone service is very kind and pleasant.</v>
      </c>
    </row>
    <row r="904" ht="15.75" customHeight="1">
      <c r="A904" s="2">
        <v>4.0</v>
      </c>
      <c r="B904" s="2" t="s">
        <v>2481</v>
      </c>
      <c r="C904" s="2" t="s">
        <v>2482</v>
      </c>
      <c r="D904" s="2" t="s">
        <v>31</v>
      </c>
      <c r="E904" s="2" t="s">
        <v>14</v>
      </c>
      <c r="F904" s="2" t="s">
        <v>15</v>
      </c>
      <c r="G904" s="2" t="s">
        <v>1441</v>
      </c>
      <c r="H904" s="2" t="s">
        <v>54</v>
      </c>
      <c r="I904" s="2" t="str">
        <f>IFERROR(__xludf.DUMMYFUNCTION("GOOGLETRANSLATE(C904,""fr"",""en"")"),"I am satisfied with the information that we are given, I am satisfied with the telephone support and the kindness of the advisers.")</f>
        <v>I am satisfied with the information that we are given, I am satisfied with the telephone support and the kindness of the advisers.</v>
      </c>
    </row>
    <row r="905" ht="15.75" customHeight="1">
      <c r="A905" s="2">
        <v>1.0</v>
      </c>
      <c r="B905" s="2" t="s">
        <v>2483</v>
      </c>
      <c r="C905" s="2" t="s">
        <v>2484</v>
      </c>
      <c r="D905" s="2" t="s">
        <v>293</v>
      </c>
      <c r="E905" s="2" t="s">
        <v>14</v>
      </c>
      <c r="F905" s="2" t="s">
        <v>15</v>
      </c>
      <c r="G905" s="2" t="s">
        <v>301</v>
      </c>
      <c r="H905" s="2" t="s">
        <v>39</v>
      </c>
      <c r="I905" s="2" t="str">
        <f>IFERROR(__xludf.DUMMYFUNCTION("GOOGLETRANSLATE(C905,""fr"",""en"")"),"It is an insurance to flee they make you pay before signed the contract then just after they refuse the subscription The money is not reimbursed does not go to them!")</f>
        <v>It is an insurance to flee they make you pay before signed the contract then just after they refuse the subscription The money is not reimbursed does not go to them!</v>
      </c>
    </row>
    <row r="906" ht="15.75" customHeight="1">
      <c r="A906" s="2">
        <v>5.0</v>
      </c>
      <c r="B906" s="2" t="s">
        <v>2485</v>
      </c>
      <c r="C906" s="2" t="s">
        <v>2486</v>
      </c>
      <c r="D906" s="2" t="s">
        <v>13</v>
      </c>
      <c r="E906" s="2" t="s">
        <v>14</v>
      </c>
      <c r="F906" s="2" t="s">
        <v>15</v>
      </c>
      <c r="G906" s="2" t="s">
        <v>1119</v>
      </c>
      <c r="H906" s="2" t="s">
        <v>17</v>
      </c>
      <c r="I906" s="2" t="str">
        <f>IFERROR(__xludf.DUMMYFUNCTION("GOOGLETRANSLATE(C906,""fr"",""en"")"),"I am satisfied with the service. Good care during a disaster. You could also say that there is a good value for money and price of services.
")</f>
        <v>I am satisfied with the service. Good care during a disaster. You could also say that there is a good value for money and price of services.
</v>
      </c>
    </row>
    <row r="907" ht="15.75" customHeight="1">
      <c r="A907" s="2">
        <v>5.0</v>
      </c>
      <c r="B907" s="2" t="s">
        <v>2487</v>
      </c>
      <c r="C907" s="2" t="s">
        <v>2488</v>
      </c>
      <c r="D907" s="2" t="s">
        <v>57</v>
      </c>
      <c r="E907" s="2" t="s">
        <v>58</v>
      </c>
      <c r="F907" s="2" t="s">
        <v>15</v>
      </c>
      <c r="G907" s="2" t="s">
        <v>2489</v>
      </c>
      <c r="H907" s="2" t="s">
        <v>54</v>
      </c>
      <c r="I907" s="2" t="str">
        <f>IFERROR(__xludf.DUMMYFUNCTION("GOOGLETRANSLATE(C907,""fr"",""en"")"),"The best price I found !! I recommend the assistance warranty, for a moderate cost, it is a security during the trips and the system is ready.")</f>
        <v>The best price I found !! I recommend the assistance warranty, for a moderate cost, it is a security during the trips and the system is ready.</v>
      </c>
    </row>
    <row r="908" ht="15.75" customHeight="1">
      <c r="A908" s="2">
        <v>3.0</v>
      </c>
      <c r="B908" s="2" t="s">
        <v>2490</v>
      </c>
      <c r="C908" s="2" t="s">
        <v>2491</v>
      </c>
      <c r="D908" s="2" t="s">
        <v>404</v>
      </c>
      <c r="E908" s="2" t="s">
        <v>14</v>
      </c>
      <c r="F908" s="2" t="s">
        <v>15</v>
      </c>
      <c r="G908" s="2" t="s">
        <v>2025</v>
      </c>
      <c r="H908" s="2" t="s">
        <v>971</v>
      </c>
      <c r="I908" s="2" t="str">
        <f>IFERROR(__xludf.DUMMYFUNCTION("GOOGLETRANSLATE(C908,""fr"",""en"")"),"More than 10 years of insurance, and after 2 non -responsible claims, and despite a 0.51% bonus they put outside, like a malproprus. He calls for a quality service I find it very damaging. To put it simply, it is an insurer who covers you that if you do n"&amp;"ot have an accident.")</f>
        <v>More than 10 years of insurance, and after 2 non -responsible claims, and despite a 0.51% bonus they put outside, like a malproprus. He calls for a quality service I find it very damaging. To put it simply, it is an insurer who covers you that if you do not have an accident.</v>
      </c>
    </row>
    <row r="909" ht="15.75" customHeight="1">
      <c r="A909" s="2">
        <v>4.0</v>
      </c>
      <c r="B909" s="2" t="s">
        <v>2492</v>
      </c>
      <c r="C909" s="2" t="s">
        <v>2493</v>
      </c>
      <c r="D909" s="2" t="s">
        <v>26</v>
      </c>
      <c r="E909" s="2" t="s">
        <v>21</v>
      </c>
      <c r="F909" s="2" t="s">
        <v>15</v>
      </c>
      <c r="G909" s="2" t="s">
        <v>599</v>
      </c>
      <c r="H909" s="2" t="s">
        <v>76</v>
      </c>
      <c r="I909" s="2" t="str">
        <f>IFERROR(__xludf.DUMMYFUNCTION("GOOGLETRANSLATE(C909,""fr"",""en"")"),"Following my telephone call, I was very well informed. My interlocutor with great courtesy, answered all my questions while specifying what I had to do.")</f>
        <v>Following my telephone call, I was very well informed. My interlocutor with great courtesy, answered all my questions while specifying what I had to do.</v>
      </c>
    </row>
    <row r="910" ht="15.75" customHeight="1">
      <c r="A910" s="2">
        <v>1.0</v>
      </c>
      <c r="B910" s="2" t="s">
        <v>2494</v>
      </c>
      <c r="C910" s="2" t="s">
        <v>2495</v>
      </c>
      <c r="D910" s="2" t="s">
        <v>496</v>
      </c>
      <c r="E910" s="2" t="s">
        <v>21</v>
      </c>
      <c r="F910" s="2" t="s">
        <v>15</v>
      </c>
      <c r="G910" s="2" t="s">
        <v>2496</v>
      </c>
      <c r="H910" s="2" t="s">
        <v>170</v>
      </c>
      <c r="I910" s="2" t="str">
        <f>IFERROR(__xludf.DUMMYFUNCTION("GOOGLETRANSLATE(C910,""fr"",""en"")"),"Frankly to flee. They do not respond, neither emails or requests made in personal space.
More than two months of waiting for a request to take care of a dental quote and it is not yet finished. When I called them, the lady asked me to send back again, af"&amp;"ter she tells me that she does not have access to the mailbox to find out if they received it, after she tells me that my request normally is being processed !!!
She did not even know how to justify the fact that my request dating back more than two mont"&amp;"hs had not been taken into account ... frankly, if there were the stars in negative I would have put.")</f>
        <v>Frankly to flee. They do not respond, neither emails or requests made in personal space.
More than two months of waiting for a request to take care of a dental quote and it is not yet finished. When I called them, the lady asked me to send back again, after she tells me that she does not have access to the mailbox to find out if they received it, after she tells me that my request normally is being processed !!!
She did not even know how to justify the fact that my request dating back more than two months had not been taken into account ... frankly, if there were the stars in negative I would have put.</v>
      </c>
    </row>
    <row r="911" ht="15.75" customHeight="1">
      <c r="A911" s="2">
        <v>1.0</v>
      </c>
      <c r="B911" s="2" t="s">
        <v>2497</v>
      </c>
      <c r="C911" s="2" t="s">
        <v>2498</v>
      </c>
      <c r="D911" s="2" t="s">
        <v>437</v>
      </c>
      <c r="E911" s="2" t="s">
        <v>21</v>
      </c>
      <c r="F911" s="2" t="s">
        <v>15</v>
      </c>
      <c r="G911" s="2" t="s">
        <v>1377</v>
      </c>
      <c r="H911" s="2" t="s">
        <v>39</v>
      </c>
      <c r="I911" s="2" t="str">
        <f>IFERROR(__xludf.DUMMYFUNCTION("GOOGLETRANSLATE(C911,""fr"",""en"")"),"Very expensive and very disappointed I recommended that I did not take. I took for 2021 and I am very unhappy with the services. When I took it everything is wonderful and after 6 months I had no refund. My husband had soles they reimbursed me 11.50 on € "&amp;"115 and yet on the phone it was better. I think they are all to put in the same basket")</f>
        <v>Very expensive and very disappointed I recommended that I did not take. I took for 2021 and I am very unhappy with the services. When I took it everything is wonderful and after 6 months I had no refund. My husband had soles they reimbursed me 11.50 on € 115 and yet on the phone it was better. I think they are all to put in the same basket</v>
      </c>
    </row>
    <row r="912" ht="15.75" customHeight="1">
      <c r="A912" s="2">
        <v>4.0</v>
      </c>
      <c r="B912" s="2" t="s">
        <v>2499</v>
      </c>
      <c r="C912" s="2" t="s">
        <v>2500</v>
      </c>
      <c r="D912" s="2" t="s">
        <v>13</v>
      </c>
      <c r="E912" s="2" t="s">
        <v>14</v>
      </c>
      <c r="F912" s="2" t="s">
        <v>15</v>
      </c>
      <c r="G912" s="2" t="s">
        <v>2501</v>
      </c>
      <c r="H912" s="2" t="s">
        <v>50</v>
      </c>
      <c r="I912" s="2" t="str">
        <f>IFERROR(__xludf.DUMMYFUNCTION("GOOGLETRANSLATE(C912,""fr"",""en"")"),"I would have preferred the monthly payment. If the monthly payment is accessible, I would like to set it up for next year. Thank you to confirm me. Sincerely, Madame Grainca.")</f>
        <v>I would have preferred the monthly payment. If the monthly payment is accessible, I would like to set it up for next year. Thank you to confirm me. Sincerely, Madame Grainca.</v>
      </c>
    </row>
    <row r="913" ht="15.75" customHeight="1">
      <c r="A913" s="2">
        <v>2.0</v>
      </c>
      <c r="B913" s="2" t="s">
        <v>2502</v>
      </c>
      <c r="C913" s="2" t="s">
        <v>2503</v>
      </c>
      <c r="D913" s="2" t="s">
        <v>13</v>
      </c>
      <c r="E913" s="2" t="s">
        <v>14</v>
      </c>
      <c r="F913" s="2" t="s">
        <v>15</v>
      </c>
      <c r="G913" s="2" t="s">
        <v>732</v>
      </c>
      <c r="H913" s="2" t="s">
        <v>566</v>
      </c>
      <c r="I913" s="2" t="str">
        <f>IFERROR(__xludf.DUMMYFUNCTION("GOOGLETRANSLATE(C913,""fr"",""en"")"),"The bad insurance I have ever had, I am living a nightmare with a disaster, once my vehicle has been deposited with the mechanic, this one cannot put the hand until after 1 month, And by contacting the insurance for a close vehicle, dropped, I was told th"&amp;"at to benefit from it you have to pay a tranquility pack that has nothing to do with tranquility, I paid, then after, actually Mr. We can not give you as long as the repair work did not start, so vehicle closely in 1 month, in addition they do not answer "&amp;"my email or to my phone calls, I noticed after my number a been blacklisted, after trying to call from a colleague's phone, it works as if I wanted to declaire a NV sinister is the only way to have them to follow my file is shame.
I told them that is biz"&amp;"arre with my such I can't join you and with another it works, well they say nothing.
In short, direct insurance I sincerely advise you against
For ice breeze, little things they can ensure but in real sinister it is the galley")</f>
        <v>The bad insurance I have ever had, I am living a nightmare with a disaster, once my vehicle has been deposited with the mechanic, this one cannot put the hand until after 1 month, And by contacting the insurance for a close vehicle, dropped, I was told that to benefit from it you have to pay a tranquility pack that has nothing to do with tranquility, I paid, then after, actually Mr. We can not give you as long as the repair work did not start, so vehicle closely in 1 month, in addition they do not answer my email or to my phone calls, I noticed after my number a been blacklisted, after trying to call from a colleague's phone, it works as if I wanted to declaire a NV sinister is the only way to have them to follow my file is shame.
I told them that is bizarre with my such I can't join you and with another it works, well they say nothing.
In short, direct insurance I sincerely advise you against
For ice breeze, little things they can ensure but in real sinister it is the galley</v>
      </c>
    </row>
    <row r="914" ht="15.75" customHeight="1">
      <c r="A914" s="2">
        <v>2.0</v>
      </c>
      <c r="B914" s="2" t="s">
        <v>2504</v>
      </c>
      <c r="C914" s="2" t="s">
        <v>2505</v>
      </c>
      <c r="D914" s="2" t="s">
        <v>450</v>
      </c>
      <c r="E914" s="2" t="s">
        <v>317</v>
      </c>
      <c r="F914" s="2" t="s">
        <v>15</v>
      </c>
      <c r="G914" s="2" t="s">
        <v>2506</v>
      </c>
      <c r="H914" s="2" t="s">
        <v>28</v>
      </c>
      <c r="I914" s="2" t="str">
        <f>IFERROR(__xludf.DUMMYFUNCTION("GOOGLETRANSLATE(C914,""fr"",""en"")"),"In early October, request for a change of postal address. Sending the print, supporting documents etc ... Access receipt of the modification received immediately by post. In early December, I wish a partial buyout and contact the AFER correspondent in Par"&amp;"is. It checks all the information and it turns out that the address has only been modified partially by AFER ... It must therefore be corrected before any repurchase. New sending of supporting documents .... new acknowledgment of the modification received"&amp;" by post .... but computer validation is still not made, the buyout cannot even be requested because any operation is blocked ... Complaint emails, numerous telephone calls to AFER, to the correspondent. Nothing works. We are on January 8 and I still have"&amp;" not been able to file my request for buyout .... What to think?
")</f>
        <v>In early October, request for a change of postal address. Sending the print, supporting documents etc ... Access receipt of the modification received immediately by post. In early December, I wish a partial buyout and contact the AFER correspondent in Paris. It checks all the information and it turns out that the address has only been modified partially by AFER ... It must therefore be corrected before any repurchase. New sending of supporting documents .... new acknowledgment of the modification received by post .... but computer validation is still not made, the buyout cannot even be requested because any operation is blocked ... Complaint emails, numerous telephone calls to AFER, to the correspondent. Nothing works. We are on January 8 and I still have not been able to file my request for buyout .... What to think?
</v>
      </c>
    </row>
    <row r="915" ht="15.75" customHeight="1">
      <c r="A915" s="2">
        <v>1.0</v>
      </c>
      <c r="B915" s="2" t="s">
        <v>2507</v>
      </c>
      <c r="C915" s="2" t="s">
        <v>2508</v>
      </c>
      <c r="D915" s="2" t="s">
        <v>168</v>
      </c>
      <c r="E915" s="2" t="s">
        <v>14</v>
      </c>
      <c r="F915" s="2" t="s">
        <v>15</v>
      </c>
      <c r="G915" s="2" t="s">
        <v>2509</v>
      </c>
      <c r="H915" s="2" t="s">
        <v>1572</v>
      </c>
      <c r="I915" s="2" t="str">
        <f>IFERROR(__xludf.DUMMYFUNCTION("GOOGLETRANSLATE(C915,""fr"",""en"")"),"For 30 years at the MAAF, instead of making endorsements on old contracts, he changes them like that less advantageous guarantee ... A single advisor is valid on Vienna ... We see the Maaf project very TV. Insurers against customers and not insurers with "&amp;"customers ... No listening to customer needs, in Vienna we prefer to make turnover ...")</f>
        <v>For 30 years at the MAAF, instead of making endorsements on old contracts, he changes them like that less advantageous guarantee ... A single advisor is valid on Vienna ... We see the Maaf project very TV. Insurers against customers and not insurers with customers ... No listening to customer needs, in Vienna we prefer to make turnover ...</v>
      </c>
    </row>
    <row r="916" ht="15.75" customHeight="1">
      <c r="A916" s="2">
        <v>1.0</v>
      </c>
      <c r="B916" s="2" t="s">
        <v>2510</v>
      </c>
      <c r="C916" s="2" t="s">
        <v>2511</v>
      </c>
      <c r="D916" s="2" t="s">
        <v>160</v>
      </c>
      <c r="E916" s="2" t="s">
        <v>462</v>
      </c>
      <c r="F916" s="2" t="s">
        <v>15</v>
      </c>
      <c r="G916" s="2" t="s">
        <v>2512</v>
      </c>
      <c r="H916" s="2" t="s">
        <v>781</v>
      </c>
      <c r="I916" s="2" t="str">
        <f>IFERROR(__xludf.DUMMYFUNCTION("GOOGLETRANSLATE(C916,""fr"",""en"")"),"I have been on sick leave since 07/11/2020. I sent my file from A to Z. A today I have no answer. It was lamentable, I have read all the comments ""it scares"" a band of incapable that gives nuts. In their place I would be ashamed ..")</f>
        <v>I have been on sick leave since 07/11/2020. I sent my file from A to Z. A today I have no answer. It was lamentable, I have read all the comments "it scares" a band of incapable that gives nuts. In their place I would be ashamed ..</v>
      </c>
    </row>
    <row r="917" ht="15.75" customHeight="1">
      <c r="A917" s="2">
        <v>2.0</v>
      </c>
      <c r="B917" s="2" t="s">
        <v>2513</v>
      </c>
      <c r="C917" s="2" t="s">
        <v>2514</v>
      </c>
      <c r="D917" s="2" t="s">
        <v>13</v>
      </c>
      <c r="E917" s="2" t="s">
        <v>14</v>
      </c>
      <c r="F917" s="2" t="s">
        <v>15</v>
      </c>
      <c r="G917" s="2" t="s">
        <v>274</v>
      </c>
      <c r="H917" s="2" t="s">
        <v>50</v>
      </c>
      <c r="I917" s="2" t="str">
        <f>IFERROR(__xludf.DUMMYFUNCTION("GOOGLETRANSLATE(C917,""fr"",""en"")"),"It is 5:30 p.m. is no one on the phone I waited for 15 min on the phone so that I was told that there was no one to answer me warning the start to tell us that there is no one who will answer at the place of waiting 15 min")</f>
        <v>It is 5:30 p.m. is no one on the phone I waited for 15 min on the phone so that I was told that there was no one to answer me warning the start to tell us that there is no one who will answer at the place of waiting 15 min</v>
      </c>
    </row>
    <row r="918" ht="15.75" customHeight="1">
      <c r="A918" s="2">
        <v>2.0</v>
      </c>
      <c r="B918" s="2" t="s">
        <v>2515</v>
      </c>
      <c r="C918" s="2" t="s">
        <v>2516</v>
      </c>
      <c r="D918" s="2" t="s">
        <v>13</v>
      </c>
      <c r="E918" s="2" t="s">
        <v>14</v>
      </c>
      <c r="F918" s="2" t="s">
        <v>15</v>
      </c>
      <c r="G918" s="2" t="s">
        <v>133</v>
      </c>
      <c r="H918" s="2" t="s">
        <v>107</v>
      </c>
      <c r="I918" s="2" t="str">
        <f>IFERROR(__xludf.DUMMYFUNCTION("GOOGLETRANSLATE(C918,""fr"",""en"")"),"Service and satisfactory assistance, however the prices are high, I see a change of vehicle so I look at the competition or I hope a commercial gesture")</f>
        <v>Service and satisfactory assistance, however the prices are high, I see a change of vehicle so I look at the competition or I hope a commercial gesture</v>
      </c>
    </row>
    <row r="919" ht="15.75" customHeight="1">
      <c r="A919" s="2">
        <v>1.0</v>
      </c>
      <c r="B919" s="2" t="s">
        <v>2517</v>
      </c>
      <c r="C919" s="2" t="s">
        <v>2518</v>
      </c>
      <c r="D919" s="2" t="s">
        <v>74</v>
      </c>
      <c r="E919" s="2" t="s">
        <v>58</v>
      </c>
      <c r="F919" s="2" t="s">
        <v>15</v>
      </c>
      <c r="G919" s="2" t="s">
        <v>2519</v>
      </c>
      <c r="H919" s="2" t="s">
        <v>376</v>
      </c>
      <c r="I919" s="2" t="str">
        <f>IFERROR(__xludf.DUMMYFUNCTION("GOOGLETRANSLATE(C919,""fr"",""en"")"),"Customer service is lamentable. No answer to your simple questions. Imagine for a disaster, there he will have no one left. Their address is a simple garage door. You ask them to send you a pocket to put away the papers and they don't know what this corre"&amp;"sponds to. You ask them how to stop your insurance and there is no one left to answer your emails")</f>
        <v>Customer service is lamentable. No answer to your simple questions. Imagine for a disaster, there he will have no one left. Their address is a simple garage door. You ask them to send you a pocket to put away the papers and they don't know what this corresponds to. You ask them how to stop your insurance and there is no one left to answer your emails</v>
      </c>
    </row>
    <row r="920" ht="15.75" customHeight="1">
      <c r="A920" s="2">
        <v>1.0</v>
      </c>
      <c r="B920" s="2" t="s">
        <v>2520</v>
      </c>
      <c r="C920" s="2" t="s">
        <v>2521</v>
      </c>
      <c r="D920" s="2" t="s">
        <v>1370</v>
      </c>
      <c r="E920" s="2" t="s">
        <v>462</v>
      </c>
      <c r="F920" s="2" t="s">
        <v>15</v>
      </c>
      <c r="G920" s="2" t="s">
        <v>916</v>
      </c>
      <c r="H920" s="2" t="s">
        <v>138</v>
      </c>
      <c r="I920" s="2" t="str">
        <f>IFERROR(__xludf.DUMMYFUNCTION("GOOGLETRANSLATE(C920,""fr"",""en"")"),"I have subscribed to a provident contract with interior which has become mutual referenced by the Ministry of Justice my employer
 I thought it would bring me a guarantee of quality
 Big mistake
All is good not to have to compensate even the most absur"&amp;"d lies
I am denied the compensation for my loss of wages and bonuses on the pretext that I would have falsely declared on August 14, 2018 not to have been on sick leave on January 1, 2019 and that does not even shock them is to say the level and in addit"&amp;"ion to the Refusal of compensation I am informed that I am canceled procedure normally provided for the mutualist regulations in the event of non -payment of contributions
I could speak of a deaf dialogue but since there is no more contact
In short, I a"&amp;"m determined to go to the end and file a civilian complaint but may also be criminal with regard to the manager who accuses me to a false fraud that should be a crime
In short, to think more than twice before subscribing
")</f>
        <v>I have subscribed to a provident contract with interior which has become mutual referenced by the Ministry of Justice my employer
 I thought it would bring me a guarantee of quality
 Big mistake
All is good not to have to compensate even the most absurd lies
I am denied the compensation for my loss of wages and bonuses on the pretext that I would have falsely declared on August 14, 2018 not to have been on sick leave on January 1, 2019 and that does not even shock them is to say the level and in addition to the Refusal of compensation I am informed that I am canceled procedure normally provided for the mutualist regulations in the event of non -payment of contributions
I could speak of a deaf dialogue but since there is no more contact
In short, I am determined to go to the end and file a civilian complaint but may also be criminal with regard to the manager who accuses me to a false fraud that should be a crime
In short, to think more than twice before subscribing
</v>
      </c>
    </row>
    <row r="921" ht="15.75" customHeight="1">
      <c r="A921" s="2">
        <v>4.0</v>
      </c>
      <c r="B921" s="2" t="s">
        <v>2522</v>
      </c>
      <c r="C921" s="2" t="s">
        <v>2523</v>
      </c>
      <c r="D921" s="2" t="s">
        <v>13</v>
      </c>
      <c r="E921" s="2" t="s">
        <v>14</v>
      </c>
      <c r="F921" s="2" t="s">
        <v>15</v>
      </c>
      <c r="G921" s="2" t="s">
        <v>268</v>
      </c>
      <c r="H921" s="2" t="s">
        <v>17</v>
      </c>
      <c r="I921" s="2" t="str">
        <f>IFERROR(__xludf.DUMMYFUNCTION("GOOGLETRANSLATE(C921,""fr"",""en"")"),"Very clear site and very present telephone number, which is rare on the sites.
On the other hand, I waited a lot of time to the tel and I ended up hanging up before I had the advisor ...")</f>
        <v>Very clear site and very present telephone number, which is rare on the sites.
On the other hand, I waited a lot of time to the tel and I ended up hanging up before I had the advisor ...</v>
      </c>
    </row>
    <row r="922" ht="15.75" customHeight="1">
      <c r="A922" s="2">
        <v>4.0</v>
      </c>
      <c r="B922" s="2" t="s">
        <v>2524</v>
      </c>
      <c r="C922" s="2" t="s">
        <v>2525</v>
      </c>
      <c r="D922" s="2" t="s">
        <v>57</v>
      </c>
      <c r="E922" s="2" t="s">
        <v>58</v>
      </c>
      <c r="F922" s="2" t="s">
        <v>15</v>
      </c>
      <c r="G922" s="2" t="s">
        <v>408</v>
      </c>
      <c r="H922" s="2" t="s">
        <v>76</v>
      </c>
      <c r="I922" s="2" t="str">
        <f>IFERROR(__xludf.DUMMYFUNCTION("GOOGLETRANSLATE(C922,""fr"",""en"")"),"For more than 5 years I have been insured at AMV, I have been satisfied with their services and the attractive prices that he offers, however, I have not needed their services. I recommend them to those around me.
")</f>
        <v>For more than 5 years I have been insured at AMV, I have been satisfied with their services and the attractive prices that he offers, however, I have not needed their services. I recommend them to those around me.
</v>
      </c>
    </row>
    <row r="923" ht="15.75" customHeight="1">
      <c r="A923" s="2">
        <v>4.0</v>
      </c>
      <c r="B923" s="2" t="s">
        <v>2526</v>
      </c>
      <c r="C923" s="2" t="s">
        <v>2527</v>
      </c>
      <c r="D923" s="2" t="s">
        <v>31</v>
      </c>
      <c r="E923" s="2" t="s">
        <v>14</v>
      </c>
      <c r="F923" s="2" t="s">
        <v>15</v>
      </c>
      <c r="G923" s="2" t="s">
        <v>716</v>
      </c>
      <c r="H923" s="2" t="s">
        <v>50</v>
      </c>
      <c r="I923" s="2" t="str">
        <f>IFERROR(__xludf.DUMMYFUNCTION("GOOGLETRANSLATE(C923,""fr"",""en"")"),"I am satisfied with the guarantees and services offered by Olivine Assurances. The sponsorship offers are a significant plus. I recommend this company")</f>
        <v>I am satisfied with the guarantees and services offered by Olivine Assurances. The sponsorship offers are a significant plus. I recommend this company</v>
      </c>
    </row>
    <row r="924" ht="15.75" customHeight="1">
      <c r="A924" s="2">
        <v>5.0</v>
      </c>
      <c r="B924" s="2" t="s">
        <v>2528</v>
      </c>
      <c r="C924" s="2" t="s">
        <v>2529</v>
      </c>
      <c r="D924" s="2" t="s">
        <v>13</v>
      </c>
      <c r="E924" s="2" t="s">
        <v>14</v>
      </c>
      <c r="F924" s="2" t="s">
        <v>15</v>
      </c>
      <c r="G924" s="2" t="s">
        <v>1955</v>
      </c>
      <c r="H924" s="2" t="s">
        <v>76</v>
      </c>
      <c r="I924" s="2" t="str">
        <f>IFERROR(__xludf.DUMMYFUNCTION("GOOGLETRANSLATE(C924,""fr"",""en"")"),"Nothing to report everything is perfect.
It remains to be seen when unfortunately I have an accident the responsiveness of your services but without waiting I suppose it perfect.
Bjakubowicz")</f>
        <v>Nothing to report everything is perfect.
It remains to be seen when unfortunately I have an accident the responsiveness of your services but without waiting I suppose it perfect.
Bjakubowicz</v>
      </c>
    </row>
    <row r="925" ht="15.75" customHeight="1">
      <c r="A925" s="2">
        <v>2.0</v>
      </c>
      <c r="B925" s="2" t="s">
        <v>2530</v>
      </c>
      <c r="C925" s="2" t="s">
        <v>2531</v>
      </c>
      <c r="D925" s="2" t="s">
        <v>942</v>
      </c>
      <c r="E925" s="2" t="s">
        <v>241</v>
      </c>
      <c r="F925" s="2" t="s">
        <v>15</v>
      </c>
      <c r="G925" s="2" t="s">
        <v>2532</v>
      </c>
      <c r="H925" s="2" t="s">
        <v>632</v>
      </c>
      <c r="I925" s="2" t="str">
        <f>IFERROR(__xludf.DUMMYFUNCTION("GOOGLETRANSLATE(C925,""fr"",""en"")"),"In an occupational disease since 2008, cardif suspended on February 1, 2017 care under the total temporary incapacity guarantee of work when I am still in this situation medically noted by my attending physician and the medical expertise requested by my e"&amp;"mployer.
After the assets contacted by phone about the management of my real estate loan, they indicated to me to get closer and make an appointment with their expert doctor in order to examine me and continue payment, except that I have never received a"&amp;" written summons from the cardif insurance company which deprived me of the possibility of having assisted myself and on the other hand why having suspended payment since February 2017 when no written formal decision of the part of the cardif has not been"&amp;" taken to date. In addition, no one can be deprived of its rights retroactively.
 EVT 1931882. The rest is in the hands of my lawyer.")</f>
        <v>In an occupational disease since 2008, cardif suspended on February 1, 2017 care under the total temporary incapacity guarantee of work when I am still in this situation medically noted by my attending physician and the medical expertise requested by my employer.
After the assets contacted by phone about the management of my real estate loan, they indicated to me to get closer and make an appointment with their expert doctor in order to examine me and continue payment, except that I have never received a written summons from the cardif insurance company which deprived me of the possibility of having assisted myself and on the other hand why having suspended payment since February 2017 when no written formal decision of the part of the cardif has not been taken to date. In addition, no one can be deprived of its rights retroactively.
 EVT 1931882. The rest is in the hands of my lawyer.</v>
      </c>
    </row>
    <row r="926" ht="15.75" customHeight="1">
      <c r="A926" s="2">
        <v>1.0</v>
      </c>
      <c r="B926" s="2" t="s">
        <v>2533</v>
      </c>
      <c r="C926" s="2" t="s">
        <v>2534</v>
      </c>
      <c r="D926" s="2" t="s">
        <v>222</v>
      </c>
      <c r="E926" s="2" t="s">
        <v>21</v>
      </c>
      <c r="F926" s="2" t="s">
        <v>15</v>
      </c>
      <c r="G926" s="2" t="s">
        <v>2535</v>
      </c>
      <c r="H926" s="2" t="s">
        <v>509</v>
      </c>
      <c r="I926" s="2" t="str">
        <f>IFERROR(__xludf.DUMMYFUNCTION("GOOGLETRANSLATE(C926,""fr"",""en"")"),"Resiliation refusal for mandatory mutual
does not receive the recommended
does not treat emails
I won't have enough room to quote everything.")</f>
        <v>Resiliation refusal for mandatory mutual
does not receive the recommended
does not treat emails
I won't have enough room to quote everything.</v>
      </c>
    </row>
    <row r="927" ht="15.75" customHeight="1">
      <c r="A927" s="2">
        <v>5.0</v>
      </c>
      <c r="B927" s="2" t="s">
        <v>2536</v>
      </c>
      <c r="C927" s="2" t="s">
        <v>2537</v>
      </c>
      <c r="D927" s="2" t="s">
        <v>74</v>
      </c>
      <c r="E927" s="2" t="s">
        <v>58</v>
      </c>
      <c r="F927" s="2" t="s">
        <v>15</v>
      </c>
      <c r="G927" s="2" t="s">
        <v>325</v>
      </c>
      <c r="H927" s="2" t="s">
        <v>60</v>
      </c>
      <c r="I927" s="2" t="str">
        <f>IFERROR(__xludf.DUMMYFUNCTION("GOOGLETRANSLATE(C927,""fr"",""en"")"),"I am satisfied with the insurance rate as well as the simple and fast online subscription service I highly recommend April Moto Moto
Thank you to April Moto for ensuring me for the second time")</f>
        <v>I am satisfied with the insurance rate as well as the simple and fast online subscription service I highly recommend April Moto Moto
Thank you to April Moto for ensuring me for the second time</v>
      </c>
    </row>
    <row r="928" ht="15.75" customHeight="1">
      <c r="A928" s="2">
        <v>5.0</v>
      </c>
      <c r="B928" s="2" t="s">
        <v>2538</v>
      </c>
      <c r="C928" s="2" t="s">
        <v>2539</v>
      </c>
      <c r="D928" s="2" t="s">
        <v>57</v>
      </c>
      <c r="E928" s="2" t="s">
        <v>58</v>
      </c>
      <c r="F928" s="2" t="s">
        <v>15</v>
      </c>
      <c r="G928" s="2" t="s">
        <v>352</v>
      </c>
      <c r="H928" s="2" t="s">
        <v>60</v>
      </c>
      <c r="I928" s="2" t="str">
        <f>IFERROR(__xludf.DUMMYFUNCTION("GOOGLETRANSLATE(C928,""fr"",""en"")"),"very fast and efficient
and very understanding
information by such very effective also
I will recommend those around me
on the other hand in following document I have not seen the explanation
 ")</f>
        <v>very fast and efficient
and very understanding
information by such very effective also
I will recommend those around me
on the other hand in following document I have not seen the explanation
 </v>
      </c>
    </row>
    <row r="929" ht="15.75" customHeight="1">
      <c r="A929" s="2">
        <v>2.0</v>
      </c>
      <c r="B929" s="2" t="s">
        <v>2540</v>
      </c>
      <c r="C929" s="2" t="s">
        <v>2541</v>
      </c>
      <c r="D929" s="2" t="s">
        <v>256</v>
      </c>
      <c r="E929" s="2" t="s">
        <v>103</v>
      </c>
      <c r="F929" s="2" t="s">
        <v>15</v>
      </c>
      <c r="G929" s="2" t="s">
        <v>451</v>
      </c>
      <c r="H929" s="2" t="s">
        <v>376</v>
      </c>
      <c r="I929" s="2" t="str">
        <f>IFERROR(__xludf.DUMMYFUNCTION("GOOGLETRANSLATE(C929,""fr"",""en"")"),"I declared a claim to my Allianz insurer in July 2020. This is a district of the waters of which I am not by manager. I paid for the repair work on the ceiling of my bathroom. I sent the invoice to my general agent on August 11, 2020. Since that date I ha"&amp;"ve no news and I have not received a refund. I contacted the general agent twice without success. He can't do anything for me. It is abnormal to wait so long for a reimbursement of 247 euros. I am not at all satisfied with Allianz, especially since I have"&amp;" also encountered problems with the mutual health insurance Allianz.")</f>
        <v>I declared a claim to my Allianz insurer in July 2020. This is a district of the waters of which I am not by manager. I paid for the repair work on the ceiling of my bathroom. I sent the invoice to my general agent on August 11, 2020. Since that date I have no news and I have not received a refund. I contacted the general agent twice without success. He can't do anything for me. It is abnormal to wait so long for a reimbursement of 247 euros. I am not at all satisfied with Allianz, especially since I have also encountered problems with the mutual health insurance Allianz.</v>
      </c>
    </row>
    <row r="930" ht="15.75" customHeight="1">
      <c r="A930" s="2">
        <v>5.0</v>
      </c>
      <c r="B930" s="2" t="s">
        <v>2542</v>
      </c>
      <c r="C930" s="2" t="s">
        <v>2543</v>
      </c>
      <c r="D930" s="2" t="s">
        <v>13</v>
      </c>
      <c r="E930" s="2" t="s">
        <v>14</v>
      </c>
      <c r="F930" s="2" t="s">
        <v>15</v>
      </c>
      <c r="G930" s="2" t="s">
        <v>2295</v>
      </c>
      <c r="H930" s="2" t="s">
        <v>50</v>
      </c>
      <c r="I930" s="2" t="str">
        <f>IFERROR(__xludf.DUMMYFUNCTION("GOOGLETRANSLATE(C930,""fr"",""en"")"),"The prices are unbeatable. I made quotes with several insurances and you! Were the cheapest. So I didn't hesitate. In addition to Direct Insurance takes care of the termination of my contract")</f>
        <v>The prices are unbeatable. I made quotes with several insurances and you! Were the cheapest. So I didn't hesitate. In addition to Direct Insurance takes care of the termination of my contract</v>
      </c>
    </row>
    <row r="931" ht="15.75" customHeight="1">
      <c r="A931" s="2">
        <v>1.0</v>
      </c>
      <c r="B931" s="2" t="s">
        <v>2544</v>
      </c>
      <c r="C931" s="2" t="s">
        <v>2545</v>
      </c>
      <c r="D931" s="2" t="s">
        <v>293</v>
      </c>
      <c r="E931" s="2" t="s">
        <v>14</v>
      </c>
      <c r="F931" s="2" t="s">
        <v>15</v>
      </c>
      <c r="G931" s="2" t="s">
        <v>2546</v>
      </c>
      <c r="H931" s="2" t="s">
        <v>81</v>
      </c>
      <c r="I931" s="2" t="str">
        <f>IFERROR(__xludf.DUMMYFUNCTION("GOOGLETRANSLATE(C931,""fr"",""en"")"),"A cat I can't join them he takes the ball for a Grrrr quote may more
I find myself without insurance tomorrow Sunday when it is paid.")</f>
        <v>A cat I can't join them he takes the ball for a Grrrr quote may more
I find myself without insurance tomorrow Sunday when it is paid.</v>
      </c>
    </row>
    <row r="932" ht="15.75" customHeight="1">
      <c r="A932" s="2">
        <v>5.0</v>
      </c>
      <c r="B932" s="2" t="s">
        <v>2547</v>
      </c>
      <c r="C932" s="2" t="s">
        <v>2548</v>
      </c>
      <c r="D932" s="2" t="s">
        <v>31</v>
      </c>
      <c r="E932" s="2" t="s">
        <v>14</v>
      </c>
      <c r="F932" s="2" t="s">
        <v>15</v>
      </c>
      <c r="G932" s="2" t="s">
        <v>2549</v>
      </c>
      <c r="H932" s="2" t="s">
        <v>46</v>
      </c>
      <c r="I932" s="2" t="str">
        <f>IFERROR(__xludf.DUMMYFUNCTION("GOOGLETRANSLATE(C932,""fr"",""en"")"),"I am satisfied with the service, prices suit me, simple, efficient and practical.
I had a personal problem and the olive assurance, was very professional and benevolent.")</f>
        <v>I am satisfied with the service, prices suit me, simple, efficient and practical.
I had a personal problem and the olive assurance, was very professional and benevolent.</v>
      </c>
    </row>
    <row r="933" ht="15.75" customHeight="1">
      <c r="A933" s="2">
        <v>4.0</v>
      </c>
      <c r="B933" s="2" t="s">
        <v>2550</v>
      </c>
      <c r="C933" s="2" t="s">
        <v>2551</v>
      </c>
      <c r="D933" s="2" t="s">
        <v>13</v>
      </c>
      <c r="E933" s="2" t="s">
        <v>14</v>
      </c>
      <c r="F933" s="2" t="s">
        <v>15</v>
      </c>
      <c r="G933" s="2" t="s">
        <v>870</v>
      </c>
      <c r="H933" s="2" t="s">
        <v>50</v>
      </c>
      <c r="I933" s="2" t="str">
        <f>IFERROR(__xludf.DUMMYFUNCTION("GOOGLETRANSLATE(C933,""fr"",""en"")"),"I am satisfied with the service and the offer made by Direct Insurance seems to me to be the most advantageous.
The online subscription was simple.
Thank you direct insurance")</f>
        <v>I am satisfied with the service and the offer made by Direct Insurance seems to me to be the most advantageous.
The online subscription was simple.
Thank you direct insurance</v>
      </c>
    </row>
    <row r="934" ht="15.75" customHeight="1">
      <c r="A934" s="2">
        <v>2.0</v>
      </c>
      <c r="B934" s="2" t="s">
        <v>2552</v>
      </c>
      <c r="C934" s="2" t="s">
        <v>2553</v>
      </c>
      <c r="D934" s="2" t="s">
        <v>79</v>
      </c>
      <c r="E934" s="2" t="s">
        <v>21</v>
      </c>
      <c r="F934" s="2" t="s">
        <v>15</v>
      </c>
      <c r="G934" s="2" t="s">
        <v>2554</v>
      </c>
      <c r="H934" s="2" t="s">
        <v>574</v>
      </c>
      <c r="I934" s="2" t="str">
        <f>IFERROR(__xludf.DUMMYFUNCTION("GOOGLETRANSLATE(C934,""fr"",""en"")"),"A expensive mutual and reimbursements that are not related to the price")</f>
        <v>A expensive mutual and reimbursements that are not related to the price</v>
      </c>
    </row>
    <row r="935" ht="15.75" customHeight="1">
      <c r="A935" s="2">
        <v>5.0</v>
      </c>
      <c r="B935" s="2" t="s">
        <v>2555</v>
      </c>
      <c r="C935" s="2" t="s">
        <v>2556</v>
      </c>
      <c r="D935" s="2" t="s">
        <v>26</v>
      </c>
      <c r="E935" s="2" t="s">
        <v>21</v>
      </c>
      <c r="F935" s="2" t="s">
        <v>15</v>
      </c>
      <c r="G935" s="2" t="s">
        <v>1944</v>
      </c>
      <c r="H935" s="2" t="s">
        <v>39</v>
      </c>
      <c r="I935" s="2" t="str">
        <f>IFERROR(__xludf.DUMMYFUNCTION("GOOGLETRANSLATE(C935,""fr"",""en"")"),"Very well very competent emeline very kind and al listening especially for people my age when you have sometimes difficulties to understand thank you")</f>
        <v>Very well very competent emeline very kind and al listening especially for people my age when you have sometimes difficulties to understand thank you</v>
      </c>
    </row>
    <row r="936" ht="15.75" customHeight="1">
      <c r="A936" s="2">
        <v>4.0</v>
      </c>
      <c r="B936" s="2" t="s">
        <v>2557</v>
      </c>
      <c r="C936" s="2" t="s">
        <v>2558</v>
      </c>
      <c r="D936" s="2" t="s">
        <v>222</v>
      </c>
      <c r="E936" s="2" t="s">
        <v>21</v>
      </c>
      <c r="F936" s="2" t="s">
        <v>15</v>
      </c>
      <c r="G936" s="2" t="s">
        <v>2559</v>
      </c>
      <c r="H936" s="2" t="s">
        <v>313</v>
      </c>
      <c r="I936" s="2" t="str">
        <f>IFERROR(__xludf.DUMMYFUNCTION("GOOGLETRANSLATE(C936,""fr"",""en"")"),"Clear on the guarantees. Good support for explanations.")</f>
        <v>Clear on the guarantees. Good support for explanations.</v>
      </c>
    </row>
    <row r="937" ht="15.75" customHeight="1">
      <c r="A937" s="2">
        <v>5.0</v>
      </c>
      <c r="B937" s="2" t="s">
        <v>2560</v>
      </c>
      <c r="C937" s="2" t="s">
        <v>2561</v>
      </c>
      <c r="D937" s="2" t="s">
        <v>79</v>
      </c>
      <c r="E937" s="2" t="s">
        <v>21</v>
      </c>
      <c r="F937" s="2" t="s">
        <v>15</v>
      </c>
      <c r="G937" s="2" t="s">
        <v>2562</v>
      </c>
      <c r="H937" s="2" t="s">
        <v>184</v>
      </c>
      <c r="I937" s="2" t="str">
        <f>IFERROR(__xludf.DUMMYFUNCTION("GOOGLETRANSLATE(C937,""fr"",""en"")"),"The person on the phone was listening to very professional to respond to my request, my advisor put me on several choices and refer me to the process to be carried out")</f>
        <v>The person on the phone was listening to very professional to respond to my request, my advisor put me on several choices and refer me to the process to be carried out</v>
      </c>
    </row>
    <row r="938" ht="15.75" customHeight="1">
      <c r="A938" s="2">
        <v>4.0</v>
      </c>
      <c r="B938" s="2" t="s">
        <v>2563</v>
      </c>
      <c r="C938" s="2" t="s">
        <v>2564</v>
      </c>
      <c r="D938" s="2" t="s">
        <v>13</v>
      </c>
      <c r="E938" s="2" t="s">
        <v>14</v>
      </c>
      <c r="F938" s="2" t="s">
        <v>15</v>
      </c>
      <c r="G938" s="2" t="s">
        <v>2565</v>
      </c>
      <c r="H938" s="2" t="s">
        <v>50</v>
      </c>
      <c r="I938" s="2" t="str">
        <f>IFERROR(__xludf.DUMMYFUNCTION("GOOGLETRANSLATE(C938,""fr"",""en"")"),"I am happy quality price superb direct response and super insurance recommend by my family who insure your home, quote very well detail quick response")</f>
        <v>I am happy quality price superb direct response and super insurance recommend by my family who insure your home, quote very well detail quick response</v>
      </c>
    </row>
    <row r="939" ht="15.75" customHeight="1">
      <c r="A939" s="2">
        <v>1.0</v>
      </c>
      <c r="B939" s="2" t="s">
        <v>2566</v>
      </c>
      <c r="C939" s="2" t="s">
        <v>2567</v>
      </c>
      <c r="D939" s="2" t="s">
        <v>806</v>
      </c>
      <c r="E939" s="2" t="s">
        <v>241</v>
      </c>
      <c r="F939" s="2" t="s">
        <v>15</v>
      </c>
      <c r="G939" s="2" t="s">
        <v>2370</v>
      </c>
      <c r="H939" s="2" t="s">
        <v>39</v>
      </c>
      <c r="I939" s="2" t="str">
        <f>IFERROR(__xludf.DUMMYFUNCTION("GOOGLETRANSLATE(C939,""fr"",""en"")"),"I exchanged today with an advisor to Suravenir concerning a disaster, I did not have the impression of addressing my insurer, it was unpleasant and condescending.")</f>
        <v>I exchanged today with an advisor to Suravenir concerning a disaster, I did not have the impression of addressing my insurer, it was unpleasant and condescending.</v>
      </c>
    </row>
    <row r="940" ht="15.75" customHeight="1">
      <c r="A940" s="2">
        <v>1.0</v>
      </c>
      <c r="B940" s="2" t="s">
        <v>2568</v>
      </c>
      <c r="C940" s="2" t="s">
        <v>2569</v>
      </c>
      <c r="D940" s="2" t="s">
        <v>182</v>
      </c>
      <c r="E940" s="2" t="s">
        <v>14</v>
      </c>
      <c r="F940" s="2" t="s">
        <v>15</v>
      </c>
      <c r="G940" s="2" t="s">
        <v>2570</v>
      </c>
      <c r="H940" s="2" t="s">
        <v>574</v>
      </c>
      <c r="I940" s="2" t="str">
        <f>IFERROR(__xludf.DUMMYFUNCTION("GOOGLETRANSLATE(C940,""fr"",""en"")"),"Insured for more than 10 years with AXA for all my vehicles, the last call for contributions received reports an increase of almost 40 %, or around € 350. We are far from the 1 to 3 % announced at the end of 2016.
It is scandalous given the benefits made"&amp;".")</f>
        <v>Insured for more than 10 years with AXA for all my vehicles, the last call for contributions received reports an increase of almost 40 %, or around € 350. We are far from the 1 to 3 % announced at the end of 2016.
It is scandalous given the benefits made.</v>
      </c>
    </row>
    <row r="941" ht="15.75" customHeight="1">
      <c r="A941" s="2">
        <v>3.0</v>
      </c>
      <c r="B941" s="2" t="s">
        <v>2571</v>
      </c>
      <c r="C941" s="2" t="s">
        <v>2572</v>
      </c>
      <c r="D941" s="2" t="s">
        <v>13</v>
      </c>
      <c r="E941" s="2" t="s">
        <v>14</v>
      </c>
      <c r="F941" s="2" t="s">
        <v>15</v>
      </c>
      <c r="G941" s="2" t="s">
        <v>535</v>
      </c>
      <c r="H941" s="2" t="s">
        <v>107</v>
      </c>
      <c r="I941" s="2" t="str">
        <f>IFERROR(__xludf.DUMMYFUNCTION("GOOGLETRANSLATE(C941,""fr"",""en"")"),"Satisfied, correct price, monthly payment is expensive.
To see over time, the day will have a problem, if you are responsive.
Quick and precise to subscribe.")</f>
        <v>Satisfied, correct price, monthly payment is expensive.
To see over time, the day will have a problem, if you are responsive.
Quick and precise to subscribe.</v>
      </c>
    </row>
    <row r="942" ht="15.75" customHeight="1">
      <c r="A942" s="2">
        <v>5.0</v>
      </c>
      <c r="B942" s="2" t="s">
        <v>2573</v>
      </c>
      <c r="C942" s="2" t="s">
        <v>2574</v>
      </c>
      <c r="D942" s="2" t="s">
        <v>31</v>
      </c>
      <c r="E942" s="2" t="s">
        <v>14</v>
      </c>
      <c r="F942" s="2" t="s">
        <v>15</v>
      </c>
      <c r="G942" s="2" t="s">
        <v>858</v>
      </c>
      <c r="H942" s="2" t="s">
        <v>60</v>
      </c>
      <c r="I942" s="2" t="str">
        <f>IFERROR(__xludf.DUMMYFUNCTION("GOOGLETRANSLATE(C942,""fr"",""en"")"),"Having several contracts with you, I am completely satisfied with the service and the availability of the service both by email and by phone")</f>
        <v>Having several contracts with you, I am completely satisfied with the service and the availability of the service both by email and by phone</v>
      </c>
    </row>
    <row r="943" ht="15.75" customHeight="1">
      <c r="A943" s="2">
        <v>2.0</v>
      </c>
      <c r="B943" s="2" t="s">
        <v>2575</v>
      </c>
      <c r="C943" s="2" t="s">
        <v>2576</v>
      </c>
      <c r="D943" s="2" t="s">
        <v>361</v>
      </c>
      <c r="E943" s="2" t="s">
        <v>21</v>
      </c>
      <c r="F943" s="2" t="s">
        <v>15</v>
      </c>
      <c r="G943" s="2" t="s">
        <v>2577</v>
      </c>
      <c r="H943" s="2" t="s">
        <v>162</v>
      </c>
      <c r="I943" s="2" t="str">
        <f>IFERROR(__xludf.DUMMYFUNCTION("GOOGLETRANSLATE(C943,""fr"",""en"")"),"Impossible to reach the departmental section of Lille for more than 1 week, they are too overwhelmed and no longer respond.
Is that a mutual? Do not answer present when you need them? It's shameful and unworthy to say mutual!
I really think of going to "&amp;"see elsewhere! MGEN LOW HAT!")</f>
        <v>Impossible to reach the departmental section of Lille for more than 1 week, they are too overwhelmed and no longer respond.
Is that a mutual? Do not answer present when you need them? It's shameful and unworthy to say mutual!
I really think of going to see elsewhere! MGEN LOW HAT!</v>
      </c>
    </row>
    <row r="944" ht="15.75" customHeight="1">
      <c r="A944" s="2">
        <v>1.0</v>
      </c>
      <c r="B944" s="2" t="s">
        <v>2578</v>
      </c>
      <c r="C944" s="2" t="s">
        <v>2579</v>
      </c>
      <c r="D944" s="2" t="s">
        <v>84</v>
      </c>
      <c r="E944" s="2" t="s">
        <v>14</v>
      </c>
      <c r="F944" s="2" t="s">
        <v>15</v>
      </c>
      <c r="G944" s="2" t="s">
        <v>1023</v>
      </c>
      <c r="H944" s="2" t="s">
        <v>1024</v>
      </c>
      <c r="I944" s="2" t="str">
        <f>IFERROR(__xludf.DUMMYFUNCTION("GOOGLETRANSLATE(C944,""fr"",""en"")"),"Now since 2008 has been my license since 2008. Insured as a secondary driver on the three vehicles.
Finally that's what we thought. A few years ago I asked for my information statement that I never received but it had raised a problem my parents paid an "&amp;"option they did not have and recognition problem as a secondary driver.
Scandal The director of the agency calls us reassures us we move on to something else.
Yesterday I call for a quote and there I discover that I am not known to their service, after "&amp;"20 minutes I am told that they have traces in 2008 and 2014. I fall from the naked. I am angry with the service and not be recognized. But knowing how to take 4 insurances (car e home) on the other hand they know how to do it.")</f>
        <v>Now since 2008 has been my license since 2008. Insured as a secondary driver on the three vehicles.
Finally that's what we thought. A few years ago I asked for my information statement that I never received but it had raised a problem my parents paid an option they did not have and recognition problem as a secondary driver.
Scandal The director of the agency calls us reassures us we move on to something else.
Yesterday I call for a quote and there I discover that I am not known to their service, after 20 minutes I am told that they have traces in 2008 and 2014. I fall from the naked. I am angry with the service and not be recognized. But knowing how to take 4 insurances (car e home) on the other hand they know how to do it.</v>
      </c>
    </row>
    <row r="945" ht="15.75" customHeight="1">
      <c r="A945" s="2">
        <v>5.0</v>
      </c>
      <c r="B945" s="2" t="s">
        <v>2580</v>
      </c>
      <c r="C945" s="2" t="s">
        <v>2581</v>
      </c>
      <c r="D945" s="2" t="s">
        <v>31</v>
      </c>
      <c r="E945" s="2" t="s">
        <v>14</v>
      </c>
      <c r="F945" s="2" t="s">
        <v>15</v>
      </c>
      <c r="G945" s="2" t="s">
        <v>2582</v>
      </c>
      <c r="H945" s="2" t="s">
        <v>54</v>
      </c>
      <c r="I945" s="2" t="str">
        <f>IFERROR(__xludf.DUMMYFUNCTION("GOOGLETRANSLATE(C945,""fr"",""en"")"),"I am completely satisfied with the service and the prices produced by the Olivier Insurance, already holder of a contract within the company for a few years.")</f>
        <v>I am completely satisfied with the service and the prices produced by the Olivier Insurance, already holder of a contract within the company for a few years.</v>
      </c>
    </row>
    <row r="946" ht="15.75" customHeight="1">
      <c r="A946" s="2">
        <v>4.0</v>
      </c>
      <c r="B946" s="2" t="s">
        <v>2583</v>
      </c>
      <c r="C946" s="2" t="s">
        <v>2584</v>
      </c>
      <c r="D946" s="2" t="s">
        <v>31</v>
      </c>
      <c r="E946" s="2" t="s">
        <v>14</v>
      </c>
      <c r="F946" s="2" t="s">
        <v>15</v>
      </c>
      <c r="G946" s="2" t="s">
        <v>309</v>
      </c>
      <c r="H946" s="2" t="s">
        <v>33</v>
      </c>
      <c r="I946" s="2" t="str">
        <f>IFERROR(__xludf.DUMMYFUNCTION("GOOGLETRANSLATE(C946,""fr"",""en"")"),"I am satisfied for the price, and for the care, the team is at the top for having accompanied me in my approach,
I recommend the olive assurance")</f>
        <v>I am satisfied for the price, and for the care, the team is at the top for having accompanied me in my approach,
I recommend the olive assurance</v>
      </c>
    </row>
    <row r="947" ht="15.75" customHeight="1">
      <c r="A947" s="2">
        <v>1.0</v>
      </c>
      <c r="B947" s="2" t="s">
        <v>2585</v>
      </c>
      <c r="C947" s="2" t="s">
        <v>2586</v>
      </c>
      <c r="D947" s="2" t="s">
        <v>36</v>
      </c>
      <c r="E947" s="2" t="s">
        <v>37</v>
      </c>
      <c r="F947" s="2" t="s">
        <v>15</v>
      </c>
      <c r="G947" s="2" t="s">
        <v>2587</v>
      </c>
      <c r="H947" s="2" t="s">
        <v>28</v>
      </c>
      <c r="I947" s="2" t="str">
        <f>IFERROR(__xludf.DUMMYFUNCTION("GOOGLETRANSLATE(C947,""fr"",""en"")"),"I have been insured for ECA for 1 year, no refund to date and this despite different reminders, letters, email to the complaint service, physical trip to ECA headquarters. No feedback from them I strongly advise against animal insurance.")</f>
        <v>I have been insured for ECA for 1 year, no refund to date and this despite different reminders, letters, email to the complaint service, physical trip to ECA headquarters. No feedback from them I strongly advise against animal insurance.</v>
      </c>
    </row>
    <row r="948" ht="15.75" customHeight="1">
      <c r="A948" s="2">
        <v>5.0</v>
      </c>
      <c r="B948" s="2" t="s">
        <v>2588</v>
      </c>
      <c r="C948" s="2" t="s">
        <v>2589</v>
      </c>
      <c r="D948" s="2" t="s">
        <v>13</v>
      </c>
      <c r="E948" s="2" t="s">
        <v>14</v>
      </c>
      <c r="F948" s="2" t="s">
        <v>15</v>
      </c>
      <c r="G948" s="2" t="s">
        <v>1955</v>
      </c>
      <c r="H948" s="2" t="s">
        <v>76</v>
      </c>
      <c r="I948" s="2" t="str">
        <f>IFERROR(__xludf.DUMMYFUNCTION("GOOGLETRANSLATE(C948,""fr"",""en"")"),"I am satisfied with the service. My interlocutor was very professional and attentive. The service has been adapted to my needs ... I will recommend")</f>
        <v>I am satisfied with the service. My interlocutor was very professional and attentive. The service has been adapted to my needs ... I will recommend</v>
      </c>
    </row>
    <row r="949" ht="15.75" customHeight="1">
      <c r="A949" s="2">
        <v>5.0</v>
      </c>
      <c r="B949" s="2" t="s">
        <v>2590</v>
      </c>
      <c r="C949" s="2" t="s">
        <v>2591</v>
      </c>
      <c r="D949" s="2" t="s">
        <v>222</v>
      </c>
      <c r="E949" s="2" t="s">
        <v>21</v>
      </c>
      <c r="F949" s="2" t="s">
        <v>15</v>
      </c>
      <c r="G949" s="2" t="s">
        <v>2592</v>
      </c>
      <c r="H949" s="2" t="s">
        <v>549</v>
      </c>
      <c r="I949" s="2" t="str">
        <f>IFERROR(__xludf.DUMMYFUNCTION("GOOGLETRANSLATE(C949,""fr"",""en"")"),"Following a delay in reimbursement of care, I had provided by email a photocopy of the reimbursement S.S.
Then asked this organization if the original had been transmitted to Owliance; which was confirmed to me (trans. the 27/09/19)")</f>
        <v>Following a delay in reimbursement of care, I had provided by email a photocopy of the reimbursement S.S.
Then asked this organization if the original had been transmitted to Owliance; which was confirmed to me (trans. the 27/09/19)</v>
      </c>
    </row>
    <row r="950" ht="15.75" customHeight="1">
      <c r="A950" s="2">
        <v>4.0</v>
      </c>
      <c r="B950" s="2" t="s">
        <v>2593</v>
      </c>
      <c r="C950" s="2" t="s">
        <v>2594</v>
      </c>
      <c r="D950" s="2" t="s">
        <v>26</v>
      </c>
      <c r="E950" s="2" t="s">
        <v>21</v>
      </c>
      <c r="F950" s="2" t="s">
        <v>15</v>
      </c>
      <c r="G950" s="2" t="s">
        <v>2595</v>
      </c>
      <c r="H950" s="2" t="s">
        <v>386</v>
      </c>
      <c r="I950" s="2" t="str">
        <f>IFERROR(__xludf.DUMMYFUNCTION("GOOGLETRANSLATE(C950,""fr"",""en"")"),"efficient service, a member since 2018 very satisfied since 2018 except the time waiting which seems quite long")</f>
        <v>efficient service, a member since 2018 very satisfied since 2018 except the time waiting which seems quite long</v>
      </c>
    </row>
    <row r="951" ht="15.75" customHeight="1">
      <c r="A951" s="2">
        <v>1.0</v>
      </c>
      <c r="B951" s="2" t="s">
        <v>2596</v>
      </c>
      <c r="C951" s="2" t="s">
        <v>2597</v>
      </c>
      <c r="D951" s="2" t="s">
        <v>182</v>
      </c>
      <c r="E951" s="2" t="s">
        <v>462</v>
      </c>
      <c r="F951" s="2" t="s">
        <v>15</v>
      </c>
      <c r="G951" s="2" t="s">
        <v>23</v>
      </c>
      <c r="H951" s="2" t="s">
        <v>23</v>
      </c>
      <c r="I951" s="2" t="str">
        <f>IFERROR(__xludf.DUMMYFUNCTION("GOOGLETRANSLATE(C951,""fr"",""en"")"),"I have been in type 2 disability since 5/2019 and having been dismissed for this reason, the provident subscribed by my employer started on this date deduction of legal allowances and Pôle Emploi and CPAM payments
The first payment was made with 3 months"&amp;" late on the pretext that it was still missing a document when everything had been sent in time and since and almost every month, my rent is paid late despite the CG AXA which stipulates the Rules within 10 working days after receipt of monthly documents "&amp;"(CPAM and Pôle Emploi)
Are there remedies or actions to be undertaken known or should I bring in an organization, lawyer ???
Last example on the date of 1/01/2021, still no regulations received since sending my supporting documents on 5/12/2020")</f>
        <v>I have been in type 2 disability since 5/2019 and having been dismissed for this reason, the provident subscribed by my employer started on this date deduction of legal allowances and Pôle Emploi and CPAM payments
The first payment was made with 3 months late on the pretext that it was still missing a document when everything had been sent in time and since and almost every month, my rent is paid late despite the CG AXA which stipulates the Rules within 10 working days after receipt of monthly documents (CPAM and Pôle Emploi)
Are there remedies or actions to be undertaken known or should I bring in an organization, lawyer ???
Last example on the date of 1/01/2021, still no regulations received since sending my supporting documents on 5/12/2020</v>
      </c>
    </row>
    <row r="952" ht="15.75" customHeight="1">
      <c r="A952" s="2">
        <v>1.0</v>
      </c>
      <c r="B952" s="2" t="s">
        <v>2598</v>
      </c>
      <c r="C952" s="2" t="s">
        <v>2599</v>
      </c>
      <c r="D952" s="2" t="s">
        <v>256</v>
      </c>
      <c r="E952" s="2" t="s">
        <v>317</v>
      </c>
      <c r="F952" s="2" t="s">
        <v>15</v>
      </c>
      <c r="G952" s="2" t="s">
        <v>2600</v>
      </c>
      <c r="H952" s="2" t="s">
        <v>194</v>
      </c>
      <c r="I952" s="2" t="str">
        <f>IFERROR(__xludf.DUMMYFUNCTION("GOOGLETRANSLATE(C952,""fr"",""en"")"),"In the 80s, I subscribed to life insurance. At the time at the signing of the contract, the representative of Agf Allianz told me that during a minimal disability I would touch a percentage of capital. In December 2003 I was the victim of a cardio vascula"&amp;"r accident. Myocardial infarction and installation of 3 stents. At the end of the 2nd or 3rd month I contact this insurance in order to benefit from the daily allowance that is me. I am told that it was necessary to react faster and therefore I lost 30 da"&amp;"ys of compensation. I did not know that I was going to be stopped + 6 months since I was extended month per month. Let's go. August 5, 2011, 2nd infarction and installation of 2 additional stents. During this 6 month old judgment they summoned me to a Mul"&amp;"house cardiology expert for expertise. I spent more than 45 minutes connected to all kinds of machines. For me very professional. I have never been given the results. Why ? You will soon understand. On January 31, 2013, new cardio vascular accident and po"&amp;"ses 3 new stents (7 in all) I quickly contact Allianz to no longer be penalized. I am invoked again for expertise and to my surprise with a rheumatologist from Mulhouse. (Why not a gynecologist or a veterinarian) The expertise did not even last 10 minutes"&amp;". I point out that this ""expert"" is known in the place to make bogus reports ... 2 weeks later (very very quickly therefore) I receive a letter meaning me that this expert considers my disability at 30 ./. (without even having seen an electrocardiogram "&amp;"without even asking me for my medical treatment) and since my disability is not 80./. Minimum no compensation will be paid to me. I don't understand anything anymore. During this period I was put into disability by the doctor's social security consultancy"&amp;" in 2nd category from April 1, 2014. (i.e. 66./. Max.) I write a complaint letter to the Director General Allianz France as well as 'To the regional director. (Not without difficulty) September 2014, the market manager as well as an Allianz financial advi"&amp;"ser visits me to review my file and make a new proposal. At first she says yes I am entitled to a capital according to the percentage of my disability and very quickly she releases an amendment on a flying sheet and says to me and well no you have to have"&amp;" at least 66./. (Once I am told 80./. Another time it's 66./. They do everything to smoke people) I also discover that I pay in my life insurance contract thoroughly lost for more than 1 year1/2 A subscription for daily allowances of which I am no longer "&amp;"entitled and that it is well kept to inform me. On the other hand, they quickly informed me when I was no longer entitled to the daily allowances I asked them if I could recover the too paid? As usual I had to react faster. I contributed for over 35 years"&amp;" but I was never told that it was necessary to have at least 80./. to be able to touch capital. Especially for the price paid 152 euros exactly for over 35 years. In short, this manager of Allianz sets me up a new meeting after hearing all my complaints. "&amp;"15 days later she returns with her financial advisor (which is already saved from this company, one wonders why ...) to review this file and it does the cleaning by destroying several papers of old AGF contracts in my possession really too much Old who ar"&amp;"e no longer short and that there is no point in keeping according to her. It also takes lots of heritage information bank account etc. And sets me up with a new appointment with the key an extraordinary proposal that I could not refuse. A few days later 3"&amp;"rd visit of this market manager with the super proposal. It was in fact 2 new contracts: 1 cheaper life insurance (of course without daily allowances) and new death insurance. I tell him that after more than 35 years of subscription for nothing you have t"&amp;"o be very stupid to sign at home and that I first expected an answer for a possible arrangement amicable following my complaints, and that I want Also submitting these 2 contracts to a specialist and that after only I would make a decision. The she says t"&amp;"o me in a strong and very firm tone that there were deadlines to respect and that of course ALLIANZ has a great responsibility in this case and if I wanted my complaint to be successful I must sign immediately These 2 contracts and ""on"" an arrangement i"&amp;"n my favor will be engaged. And of course I signed these two new contracts with confidence. After 4 months this insurance company informs me that I have nothing to do with anything. Closed file, circulating there is nothing to do. Suddenly, I stopped all "&amp;"the transfers, namely these 2 new contracts as well as all my homemade car insurance etc. And since nothing ... Weird (I was very good customer all my insurances were at Au and I never had to ask them during these 40 years) Allianz showed casualness and M"&amp;"achiavellian leading to the loss of little ones and naive that we are !! During my complaint for the bogus expertise, at this rheumatologist, he offers me a new expertise of your choice with 3 ""house"" general practitioners of their choice and that the f"&amp;"ees of this doctor that I have chosen, will be shared by half Between Allianz and me (they are inflated) to finish what I dispute is this famous rate of 80./. Who does not appear on my contract but on an amendment that I was made to discover (on a very cl"&amp;"ever separate sheet). I have never been told about that especially at the price paid (more than 80,000 euros in 35 years) they write: a functional disability of at least 67./. In the event of an accident or at least 80./. As a result of illness etc ..., a"&amp;"ny disability by disease less than 80./. cannot be regulated. You realize 152 euros/month for such a warranty, the competition laughed (I am a little), I also dispute the ""method"" used to have 2 new contracts signed, also the so -called too old document"&amp;"s destroyed by their care. These people had a sacred internal training to roll their customers which is also very bizarre, impossible to contact the regional director, or even to have his name, the only commercial company in France which refuses to give t"&amp;"he name of its director I find That there are a lot of ""not normal"" things and so on ... They have everything (badly) done upstream to pay nothing. To see the genesis of this insurance that does not surprise me. This German company should not even exist"&amp;", it must simply be remembered that it assured prisoners and crematorium ovens during the last world and so on. You find lots of info on the net and you don't risk being disappointed. According to discussion forums is the worst insurance of France. Curren"&amp;"tly I am in disability, I no longer have the right to work, I touch a small invalidity pension 2nd category of social security and I thought I could touch a small capital for my invalid pension. For more than 35 years I was convinced that during a health "&amp;"problem I was well covered. I have a strong impression of having been fooled and deceived during all these years and above all contributed for nothing. Allianz is a very large company with a very effective legal service (source internet forum and lawyers)"&amp;" and that it save it, it is untouchable, makes fun of the insurance code, justice, medical expertise is often on file. This is why he behaves in this way. Not even a little commercial gesture at the contrary, on the contrary, he comes to threaten me to si"&amp;"gn two new contracts. Group actions in France are ineffective, in the USA, Allianz was sentenced to a record fine. A petition or a complaint with the European Commission is the only solution. Allianz escaped bankruptcy (see history war 1940) but may not b"&amp;"e a massive termination on the part of the insured. This insurance has forgotten its goal. I am an abused client, ok, but am I the only one? Reading the article published in the economic newspaper ""Les Echos"" is edifying ..... Consult it, -You will be e"&amp;"dified !!! http://patitrimoire.lesechos.fr/patitage/placement/02035660944544-pargne-les-rappels-a-lordre-des-gendarmes-boursier-et-bankaire-1013127.php?68xeygaev1ktu9os.99
Put the contracts you have with AGF / Allianz, you will never be properly assured "&amp;"and paid!
 Advice runs away from this company No consideration for their good customers
")</f>
        <v>In the 80s, I subscribed to life insurance. At the time at the signing of the contract, the representative of Agf Allianz told me that during a minimal disability I would touch a percentage of capital. In December 2003 I was the victim of a cardio vascular accident. Myocardial infarction and installation of 3 stents. At the end of the 2nd or 3rd month I contact this insurance in order to benefit from the daily allowance that is me. I am told that it was necessary to react faster and therefore I lost 30 days of compensation. I did not know that I was going to be stopped + 6 months since I was extended month per month. Let's go. August 5, 2011, 2nd infarction and installation of 2 additional stents. During this 6 month old judgment they summoned me to a Mulhouse cardiology expert for expertise. I spent more than 45 minutes connected to all kinds of machines. For me very professional. I have never been given the results. Why ? You will soon understand. On January 31, 2013, new cardio vascular accident and poses 3 new stents (7 in all) I quickly contact Allianz to no longer be penalized. I am invoked again for expertise and to my surprise with a rheumatologist from Mulhouse. (Why not a gynecologist or a veterinarian) The expertise did not even last 10 minutes. I point out that this "expert" is known in the place to make bogus reports ... 2 weeks later (very very quickly therefore) I receive a letter meaning me that this expert considers my disability at 30 ./. (without even having seen an electrocardiogram without even asking me for my medical treatment) and since my disability is not 80./. Minimum no compensation will be paid to me. I don't understand anything anymore. During this period I was put into disability by the doctor's social security consultancy in 2nd category from April 1, 2014. (i.e. 66./. Max.) I write a complaint letter to the Director General Allianz France as well as 'To the regional director. (Not without difficulty) September 2014, the market manager as well as an Allianz financial adviser visits me to review my file and make a new proposal. At first she says yes I am entitled to a capital according to the percentage of my disability and very quickly she releases an amendment on a flying sheet and says to me and well no you have to have at least 66./. (Once I am told 80./. Another time it's 66./. They do everything to smoke people) I also discover that I pay in my life insurance contract thoroughly lost for more than 1 year1/2 A subscription for daily allowances of which I am no longer entitled and that it is well kept to inform me. On the other hand, they quickly informed me when I was no longer entitled to the daily allowances I asked them if I could recover the too paid? As usual I had to react faster. I contributed for over 35 years but I was never told that it was necessary to have at least 80./. to be able to touch capital. Especially for the price paid 152 euros exactly for over 35 years. In short, this manager of Allianz sets me up a new meeting after hearing all my complaints. 15 days later she returns with her financial advisor (which is already saved from this company, one wonders why ...) to review this file and it does the cleaning by destroying several papers of old AGF contracts in my possession really too much Old who are no longer short and that there is no point in keeping according to her. It also takes lots of heritage information bank account etc. And sets me up with a new appointment with the key an extraordinary proposal that I could not refuse. A few days later 3rd visit of this market manager with the super proposal. It was in fact 2 new contracts: 1 cheaper life insurance (of course without daily allowances) and new death insurance. I tell him that after more than 35 years of subscription for nothing you have to be very stupid to sign at home and that I first expected an answer for a possible arrangement amicable following my complaints, and that I want Also submitting these 2 contracts to a specialist and that after only I would make a decision. The she says to me in a strong and very firm tone that there were deadlines to respect and that of course ALLIANZ has a great responsibility in this case and if I wanted my complaint to be successful I must sign immediately These 2 contracts and "on" an arrangement in my favor will be engaged. And of course I signed these two new contracts with confidence. After 4 months this insurance company informs me that I have nothing to do with anything. Closed file, circulating there is nothing to do. Suddenly, I stopped all the transfers, namely these 2 new contracts as well as all my homemade car insurance etc. And since nothing ... Weird (I was very good customer all my insurances were at Au and I never had to ask them during these 40 years) Allianz showed casualness and Machiavellian leading to the loss of little ones and naive that we are !! During my complaint for the bogus expertise, at this rheumatologist, he offers me a new expertise of your choice with 3 "house" general practitioners of their choice and that the fees of this doctor that I have chosen, will be shared by half Between Allianz and me (they are inflated) to finish what I dispute is this famous rate of 80./. Who does not appear on my contract but on an amendment that I was made to discover (on a very clever separate sheet). I have never been told about that especially at the price paid (more than 80,000 euros in 35 years) they write: a functional disability of at least 67./. In the event of an accident or at least 80./. As a result of illness etc ..., any disability by disease less than 80./. cannot be regulated. You realize 152 euros/month for such a warranty, the competition laughed (I am a little), I also dispute the "method" used to have 2 new contracts signed, also the so -called too old documents destroyed by their care. These people had a sacred internal training to roll their customers which is also very bizarre, impossible to contact the regional director, or even to have his name, the only commercial company in France which refuses to give the name of its director I find That there are a lot of "not normal" things and so on ... They have everything (badly) done upstream to pay nothing. To see the genesis of this insurance that does not surprise me. This German company should not even exist, it must simply be remembered that it assured prisoners and crematorium ovens during the last world and so on. You find lots of info on the net and you don't risk being disappointed. According to discussion forums is the worst insurance of France. Currently I am in disability, I no longer have the right to work, I touch a small invalidity pension 2nd category of social security and I thought I could touch a small capital for my invalid pension. For more than 35 years I was convinced that during a health problem I was well covered. I have a strong impression of having been fooled and deceived during all these years and above all contributed for nothing. Allianz is a very large company with a very effective legal service (source internet forum and lawyers) and that it save it, it is untouchable, makes fun of the insurance code, justice, medical expertise is often on file. This is why he behaves in this way. Not even a little commercial gesture at the contrary, on the contrary, he comes to threaten me to sign two new contracts. Group actions in France are ineffective, in the USA, Allianz was sentenced to a record fine. A petition or a complaint with the European Commission is the only solution. Allianz escaped bankruptcy (see history war 1940) but may not be a massive termination on the part of the insured. This insurance has forgotten its goal. I am an abused client, ok, but am I the only one? Reading the article published in the economic newspaper "Les Echos" is edifying ..... Consult it, -You will be edified !!! http://patitrimoire.lesechos.fr/patitage/placement/02035660944544-pargne-les-rappels-a-lordre-des-gendarmes-boursier-et-bankaire-1013127.php?68xeygaev1ktu9os.99
Put the contracts you have with AGF / Allianz, you will never be properly assured and paid!
 Advice runs away from this company No consideration for their good customers
</v>
      </c>
    </row>
    <row r="953" ht="15.75" customHeight="1">
      <c r="A953" s="2">
        <v>1.0</v>
      </c>
      <c r="B953" s="2" t="s">
        <v>2601</v>
      </c>
      <c r="C953" s="2" t="s">
        <v>2602</v>
      </c>
      <c r="D953" s="2" t="s">
        <v>13</v>
      </c>
      <c r="E953" s="2" t="s">
        <v>14</v>
      </c>
      <c r="F953" s="2" t="s">
        <v>15</v>
      </c>
      <c r="G953" s="2" t="s">
        <v>608</v>
      </c>
      <c r="H953" s="2" t="s">
        <v>609</v>
      </c>
      <c r="I953" s="2" t="str">
        <f>IFERROR(__xludf.DUMMYFUNCTION("GOOGLETRANSLATE(C953,""fr"",""en"")"),"Untaying does not listen to anything, but loved to speak speak. Do not justify their price increases")</f>
        <v>Untaying does not listen to anything, but loved to speak speak. Do not justify their price increases</v>
      </c>
    </row>
    <row r="954" ht="15.75" customHeight="1">
      <c r="A954" s="2">
        <v>1.0</v>
      </c>
      <c r="B954" s="2" t="s">
        <v>2603</v>
      </c>
      <c r="C954" s="2" t="s">
        <v>2604</v>
      </c>
      <c r="D954" s="2" t="s">
        <v>361</v>
      </c>
      <c r="E954" s="2" t="s">
        <v>21</v>
      </c>
      <c r="F954" s="2" t="s">
        <v>15</v>
      </c>
      <c r="G954" s="2" t="s">
        <v>1195</v>
      </c>
      <c r="H954" s="2" t="s">
        <v>50</v>
      </c>
      <c r="I954" s="2" t="str">
        <f>IFERROR(__xludf.DUMMYFUNCTION("GOOGLETRANSLATE(C954,""fr"",""en"")"),"State civil servant but having nothing to do with national education I found myself following a merger between the mutuality public service and the MGEN affiliated with the latter for social security coverage. In fact, the MGEN reimburses me directly my e"&amp;"xpenses relating to social security. Since then I have accumulated problems such as
? I cannot open an Amélie account so dam to obtain the QR code relating to the vaccination COVID No alert from the MGEN NICE which does not care and lets its insured mana"&amp;"ge with the pharmacists ...
 ? I have cancer MGEN does not have a doctor and my 100 % care request file is lost what earned me the constitution of the file at the base and to advance for three months all Medical costs. Once again no one moved within the "&amp;"Mgen of Nice.
When an organism wants to ""swallow everything"" it must give itself the means. All these insured people that the MGEN took hostage did not ask for anything.
")</f>
        <v>State civil servant but having nothing to do with national education I found myself following a merger between the mutuality public service and the MGEN affiliated with the latter for social security coverage. In fact, the MGEN reimburses me directly my expenses relating to social security. Since then I have accumulated problems such as
? I cannot open an Amélie account so dam to obtain the QR code relating to the vaccination COVID No alert from the MGEN NICE which does not care and lets its insured manage with the pharmacists ...
 ? I have cancer MGEN does not have a doctor and my 100 % care request file is lost what earned me the constitution of the file at the base and to advance for three months all Medical costs. Once again no one moved within the Mgen of Nice.
When an organism wants to "swallow everything" it must give itself the means. All these insured people that the MGEN took hostage did not ask for anything.
</v>
      </c>
    </row>
    <row r="955" ht="15.75" customHeight="1">
      <c r="A955" s="2">
        <v>4.0</v>
      </c>
      <c r="B955" s="2" t="s">
        <v>2605</v>
      </c>
      <c r="C955" s="2" t="s">
        <v>2606</v>
      </c>
      <c r="D955" s="2" t="s">
        <v>31</v>
      </c>
      <c r="E955" s="2" t="s">
        <v>14</v>
      </c>
      <c r="F955" s="2" t="s">
        <v>15</v>
      </c>
      <c r="G955" s="2" t="s">
        <v>1248</v>
      </c>
      <c r="H955" s="2" t="s">
        <v>774</v>
      </c>
      <c r="I955" s="2" t="str">
        <f>IFERROR(__xludf.DUMMYFUNCTION("GOOGLETRANSLATE(C955,""fr"",""en"")"),"I must say that I was surprised by the listening and good will of my interlocutors (trices) to look for the best service for me in terms of car insurance. I was very disappointed with my previous insurance with which it was impossible to dialogue. I found"&amp;" the olive tree by chance and chance did things well.")</f>
        <v>I must say that I was surprised by the listening and good will of my interlocutors (trices) to look for the best service for me in terms of car insurance. I was very disappointed with my previous insurance with which it was impossible to dialogue. I found the olive tree by chance and chance did things well.</v>
      </c>
    </row>
    <row r="956" ht="15.75" customHeight="1">
      <c r="A956" s="2">
        <v>3.0</v>
      </c>
      <c r="B956" s="2" t="s">
        <v>2607</v>
      </c>
      <c r="C956" s="2" t="s">
        <v>2608</v>
      </c>
      <c r="D956" s="2" t="s">
        <v>31</v>
      </c>
      <c r="E956" s="2" t="s">
        <v>14</v>
      </c>
      <c r="F956" s="2" t="s">
        <v>15</v>
      </c>
      <c r="G956" s="2" t="s">
        <v>562</v>
      </c>
      <c r="H956" s="2" t="s">
        <v>76</v>
      </c>
      <c r="I956" s="2" t="str">
        <f>IFERROR(__xludf.DUMMYFUNCTION("GOOGLETRANSLATE(C956,""fr"",""en"")"),"I am satisfied with the service, however I had difficulty connecting to my account. Interlocutor with a pleasant phone but I was not recalled by the IT department as indicated.")</f>
        <v>I am satisfied with the service, however I had difficulty connecting to my account. Interlocutor with a pleasant phone but I was not recalled by the IT department as indicated.</v>
      </c>
    </row>
    <row r="957" ht="15.75" customHeight="1">
      <c r="A957" s="2">
        <v>2.0</v>
      </c>
      <c r="B957" s="2" t="s">
        <v>2609</v>
      </c>
      <c r="C957" s="2" t="s">
        <v>2610</v>
      </c>
      <c r="D957" s="2" t="s">
        <v>962</v>
      </c>
      <c r="E957" s="2" t="s">
        <v>462</v>
      </c>
      <c r="F957" s="2" t="s">
        <v>15</v>
      </c>
      <c r="G957" s="2" t="s">
        <v>2611</v>
      </c>
      <c r="H957" s="2" t="s">
        <v>122</v>
      </c>
      <c r="I957" s="2" t="str">
        <f>IFERROR(__xludf.DUMMYFUNCTION("GOOGLETRANSLATE(C957,""fr"",""en"")"),"Savings box and CNP same fight, if I dared I would say, given the disorganization of the CNP, the CNP will flow in the 2 years, I have already done bets of this kind and I won. Our father dies in early March 2017, the 4 children we are almost all retired,"&amp;" from the burial made, contact is made with the banks. We discover an assistance at the savings bank. The director of Champagnole (Jura) asks me to deliver the rib of one and the others to liquidate the case, he tells me that within a month we will have t"&amp;"he money, He goes, when I don't ask him for anything, calculate the possible repercussions on my taxes. Was it his role? Many blows of such and emails will follow unanswered. 6 months go by, the savings bank asks us in October that the notary confirms tha"&amp;"t we are the only heirs. We deliver the document. A month later, we take up news, the Sous Dirlo finds nothing and tells us his impossibility to find email messages sent to his boss absent for several weeks. Obviously, without the pattern the box box. Fin"&amp;"ally, we learn in November that our file has been in the hands of the CNP since June. Persons had told us. In December, I receive a paper to fill by the 4 children and the taxes. I speak to my advisor this, I receive little after a 2 identical form to fil"&amp;"l out. Finally, in February the taxes refer the form, all documents are grouped together and sent as recommended with acknowledgment of reception. On March 10 I receive for the 3rd time the form to be completed. Obviously they do not know that they alread"&amp;"y have the documents at home. My 3 brothers and sisters have each closed their accounts at the Savings Fund, my adviser this knows that as soon as my father's life is coming, I closed my accounts too. A year has passed, the assistance is not is still not "&amp;"paid. The CNP can go be seen.")</f>
        <v>Savings box and CNP same fight, if I dared I would say, given the disorganization of the CNP, the CNP will flow in the 2 years, I have already done bets of this kind and I won. Our father dies in early March 2017, the 4 children we are almost all retired, from the burial made, contact is made with the banks. We discover an assistance at the savings bank. The director of Champagnole (Jura) asks me to deliver the rib of one and the others to liquidate the case, he tells me that within a month we will have the money, He goes, when I don't ask him for anything, calculate the possible repercussions on my taxes. Was it his role? Many blows of such and emails will follow unanswered. 6 months go by, the savings bank asks us in October that the notary confirms that we are the only heirs. We deliver the document. A month later, we take up news, the Sous Dirlo finds nothing and tells us his impossibility to find email messages sent to his boss absent for several weeks. Obviously, without the pattern the box box. Finally, we learn in November that our file has been in the hands of the CNP since June. Persons had told us. In December, I receive a paper to fill by the 4 children and the taxes. I speak to my advisor this, I receive little after a 2 identical form to fill out. Finally, in February the taxes refer the form, all documents are grouped together and sent as recommended with acknowledgment of reception. On March 10 I receive for the 3rd time the form to be completed. Obviously they do not know that they already have the documents at home. My 3 brothers and sisters have each closed their accounts at the Savings Fund, my adviser this knows that as soon as my father's life is coming, I closed my accounts too. A year has passed, the assistance is not is still not paid. The CNP can go be seen.</v>
      </c>
    </row>
    <row r="958" ht="15.75" customHeight="1">
      <c r="A958" s="2">
        <v>4.0</v>
      </c>
      <c r="B958" s="2" t="s">
        <v>2612</v>
      </c>
      <c r="C958" s="2" t="s">
        <v>2613</v>
      </c>
      <c r="D958" s="2" t="s">
        <v>13</v>
      </c>
      <c r="E958" s="2" t="s">
        <v>14</v>
      </c>
      <c r="F958" s="2" t="s">
        <v>15</v>
      </c>
      <c r="G958" s="2" t="s">
        <v>54</v>
      </c>
      <c r="H958" s="2" t="s">
        <v>54</v>
      </c>
      <c r="I958" s="2" t="str">
        <f>IFERROR(__xludf.DUMMYFUNCTION("GOOGLETRANSLATE(C958,""fr"",""en"")"),"satisfied with the price ... I hope not to be mistaken about the services
We'll see other contracts could be added if everything is fine.
")</f>
        <v>satisfied with the price ... I hope not to be mistaken about the services
We'll see other contracts could be added if everything is fine.
</v>
      </c>
    </row>
    <row r="959" ht="15.75" customHeight="1">
      <c r="A959" s="2">
        <v>5.0</v>
      </c>
      <c r="B959" s="2" t="s">
        <v>2614</v>
      </c>
      <c r="C959" s="2" t="s">
        <v>2615</v>
      </c>
      <c r="D959" s="2" t="s">
        <v>31</v>
      </c>
      <c r="E959" s="2" t="s">
        <v>14</v>
      </c>
      <c r="F959" s="2" t="s">
        <v>15</v>
      </c>
      <c r="G959" s="2" t="s">
        <v>852</v>
      </c>
      <c r="H959" s="2" t="s">
        <v>17</v>
      </c>
      <c r="I959" s="2" t="str">
        <f>IFERROR(__xludf.DUMMYFUNCTION("GOOGLETRANSLATE(C959,""fr"",""en"")"),"The price suits me, and is the cheapest found on the market. More than to terminate my contract on the due date at the Olivier!")</f>
        <v>The price suits me, and is the cheapest found on the market. More than to terminate my contract on the due date at the Olivier!</v>
      </c>
    </row>
    <row r="960" ht="15.75" customHeight="1">
      <c r="A960" s="2">
        <v>1.0</v>
      </c>
      <c r="B960" s="2" t="s">
        <v>2616</v>
      </c>
      <c r="C960" s="2" t="s">
        <v>2617</v>
      </c>
      <c r="D960" s="2" t="s">
        <v>2618</v>
      </c>
      <c r="E960" s="2" t="s">
        <v>241</v>
      </c>
      <c r="F960" s="2" t="s">
        <v>15</v>
      </c>
      <c r="G960" s="2" t="s">
        <v>535</v>
      </c>
      <c r="H960" s="2" t="s">
        <v>107</v>
      </c>
      <c r="I960" s="2" t="str">
        <f>IFERROR(__xludf.DUMMYFUNCTION("GOOGLETRANSLATE(C960,""fr"",""en"")"),"If we need nothing then you can contact them ....
Condescension and contempt are there with some of their alleged advisers (not to take literal sense of the word)
To avoid.......")</f>
        <v>If we need nothing then you can contact them ....
Condescension and contempt are there with some of their alleged advisers (not to take literal sense of the word)
To avoid.......</v>
      </c>
    </row>
    <row r="961" ht="15.75" customHeight="1">
      <c r="A961" s="2">
        <v>5.0</v>
      </c>
      <c r="B961" s="2" t="s">
        <v>2619</v>
      </c>
      <c r="C961" s="2" t="s">
        <v>2620</v>
      </c>
      <c r="D961" s="2" t="s">
        <v>240</v>
      </c>
      <c r="E961" s="2" t="s">
        <v>241</v>
      </c>
      <c r="F961" s="2" t="s">
        <v>15</v>
      </c>
      <c r="G961" s="2" t="s">
        <v>1329</v>
      </c>
      <c r="H961" s="2" t="s">
        <v>23</v>
      </c>
      <c r="I961" s="2" t="str">
        <f>IFERROR(__xludf.DUMMYFUNCTION("GOOGLETRANSLATE(C961,""fr"",""en"")"),"Good service, responsiveness and really attractive price compared to the bank
Pleasant and precise person
Good discovery, suddenly I will call them afterwards
")</f>
        <v>Good service, responsiveness and really attractive price compared to the bank
Pleasant and precise person
Good discovery, suddenly I will call them afterwards
</v>
      </c>
    </row>
    <row r="962" ht="15.75" customHeight="1">
      <c r="A962" s="2">
        <v>5.0</v>
      </c>
      <c r="B962" s="2" t="s">
        <v>2621</v>
      </c>
      <c r="C962" s="2" t="s">
        <v>2622</v>
      </c>
      <c r="D962" s="2" t="s">
        <v>13</v>
      </c>
      <c r="E962" s="2" t="s">
        <v>14</v>
      </c>
      <c r="F962" s="2" t="s">
        <v>15</v>
      </c>
      <c r="G962" s="2" t="s">
        <v>1233</v>
      </c>
      <c r="H962" s="2" t="s">
        <v>33</v>
      </c>
      <c r="I962" s="2" t="str">
        <f>IFERROR(__xludf.DUMMYFUNCTION("GOOGLETRANSLATE(C962,""fr"",""en"")"),"SATISFIED
Meets my expectations
Good value for accommodation for housing intended for rental
150 characters far too long for this opinion.")</f>
        <v>SATISFIED
Meets my expectations
Good value for accommodation for housing intended for rental
150 characters far too long for this opinion.</v>
      </c>
    </row>
    <row r="963" ht="15.75" customHeight="1">
      <c r="A963" s="2">
        <v>3.0</v>
      </c>
      <c r="B963" s="2" t="s">
        <v>2623</v>
      </c>
      <c r="C963" s="2" t="s">
        <v>2624</v>
      </c>
      <c r="D963" s="2" t="s">
        <v>2070</v>
      </c>
      <c r="E963" s="2" t="s">
        <v>37</v>
      </c>
      <c r="F963" s="2" t="s">
        <v>15</v>
      </c>
      <c r="G963" s="2" t="s">
        <v>2625</v>
      </c>
      <c r="H963" s="2" t="s">
        <v>93</v>
      </c>
      <c r="I963" s="2" t="str">
        <f>IFERROR(__xludf.DUMMYFUNCTION("GOOGLETRANSLATE(C963,""fr"",""en"")"),"Do not hold its promises, or rather holds me more its promises concerning the reimbursements that I await to continue to treat my little dog. Without that I can't.")</f>
        <v>Do not hold its promises, or rather holds me more its promises concerning the reimbursements that I await to continue to treat my little dog. Without that I can't.</v>
      </c>
    </row>
    <row r="964" ht="15.75" customHeight="1">
      <c r="A964" s="2">
        <v>5.0</v>
      </c>
      <c r="B964" s="2" t="s">
        <v>2626</v>
      </c>
      <c r="C964" s="2" t="s">
        <v>2627</v>
      </c>
      <c r="D964" s="2" t="s">
        <v>79</v>
      </c>
      <c r="E964" s="2" t="s">
        <v>21</v>
      </c>
      <c r="F964" s="2" t="s">
        <v>15</v>
      </c>
      <c r="G964" s="2" t="s">
        <v>2628</v>
      </c>
      <c r="H964" s="2" t="s">
        <v>23</v>
      </c>
      <c r="I964" s="2" t="str">
        <f>IFERROR(__xludf.DUMMYFUNCTION("GOOGLETRANSLATE(C964,""fr"",""en"")"),"Nice operator, listening, competent.
She was able to respond quickly to my requests.
Summary: Very satisfied, the only little concern: the waiting period was estimated at 1min and I waited more than that.")</f>
        <v>Nice operator, listening, competent.
She was able to respond quickly to my requests.
Summary: Very satisfied, the only little concern: the waiting period was estimated at 1min and I waited more than that.</v>
      </c>
    </row>
    <row r="965" ht="15.75" customHeight="1">
      <c r="A965" s="2">
        <v>3.0</v>
      </c>
      <c r="B965" s="2" t="s">
        <v>2629</v>
      </c>
      <c r="C965" s="2" t="s">
        <v>2630</v>
      </c>
      <c r="D965" s="2" t="s">
        <v>84</v>
      </c>
      <c r="E965" s="2" t="s">
        <v>14</v>
      </c>
      <c r="F965" s="2" t="s">
        <v>15</v>
      </c>
      <c r="G965" s="2" t="s">
        <v>2631</v>
      </c>
      <c r="H965" s="2" t="s">
        <v>1154</v>
      </c>
      <c r="I965" s="2" t="str">
        <f>IFERROR(__xludf.DUMMYFUNCTION("GOOGLETRANSLATE(C965,""fr"",""en"")"),"Insurance to ban, I was stolen my vehicle in late June We are still not to compensate the expert expert by insurance to assess my vehicle lower than the market, I ask for a counter expertise MACIF insurance gives the file To the expert advice and always n"&amp;"othing I have all my self -habitation insurance auto and cie at Macif I will terminate, in history I have the impression that it is me the culprit while I am the victim, I never wanted to steal my car and especially before the holidays .....")</f>
        <v>Insurance to ban, I was stolen my vehicle in late June We are still not to compensate the expert expert by insurance to assess my vehicle lower than the market, I ask for a counter expertise MACIF insurance gives the file To the expert advice and always nothing I have all my self -habitation insurance auto and cie at Macif I will terminate, in history I have the impression that it is me the culprit while I am the victim, I never wanted to steal my car and especially before the holidays .....</v>
      </c>
    </row>
    <row r="966" ht="15.75" customHeight="1">
      <c r="A966" s="2">
        <v>4.0</v>
      </c>
      <c r="B966" s="2" t="s">
        <v>2632</v>
      </c>
      <c r="C966" s="2" t="s">
        <v>2633</v>
      </c>
      <c r="D966" s="2" t="s">
        <v>31</v>
      </c>
      <c r="E966" s="2" t="s">
        <v>14</v>
      </c>
      <c r="F966" s="2" t="s">
        <v>15</v>
      </c>
      <c r="G966" s="2" t="s">
        <v>2370</v>
      </c>
      <c r="H966" s="2" t="s">
        <v>39</v>
      </c>
      <c r="I966" s="2" t="str">
        <f>IFERROR(__xludf.DUMMYFUNCTION("GOOGLETRANSLATE(C966,""fr"",""en"")"),"Very well overall.
And thank you for not forcing me to write more because it becomes moved and therefore next time I don't write anything.")</f>
        <v>Very well overall.
And thank you for not forcing me to write more because it becomes moved and therefore next time I don't write anything.</v>
      </c>
    </row>
    <row r="967" ht="15.75" customHeight="1">
      <c r="A967" s="2">
        <v>1.0</v>
      </c>
      <c r="B967" s="2" t="s">
        <v>2634</v>
      </c>
      <c r="C967" s="2" t="s">
        <v>2635</v>
      </c>
      <c r="D967" s="2" t="s">
        <v>256</v>
      </c>
      <c r="E967" s="2" t="s">
        <v>14</v>
      </c>
      <c r="F967" s="2" t="s">
        <v>15</v>
      </c>
      <c r="G967" s="2" t="s">
        <v>654</v>
      </c>
      <c r="H967" s="2" t="s">
        <v>122</v>
      </c>
      <c r="I967" s="2" t="str">
        <f>IFERROR(__xludf.DUMMYFUNCTION("GOOGLETRANSLATE(C967,""fr"",""en"")"),"Being assured for several vehicles and this for more years at Allianz, I thought I was well insured. When there is nothing special, everything is fine but that is true for all insurers. But when he arrives a claim, then nothing is going well. Being assure"&amp;"d in all risks for one of my vehicles, this one was stolen from me: insurance response ""ah but that is not guaranteed !!!!!!!""")</f>
        <v>Being assured for several vehicles and this for more years at Allianz, I thought I was well insured. When there is nothing special, everything is fine but that is true for all insurers. But when he arrives a claim, then nothing is going well. Being assured in all risks for one of my vehicles, this one was stolen from me: insurance response "ah but that is not guaranteed !!!!!!!"</v>
      </c>
    </row>
    <row r="968" ht="15.75" customHeight="1">
      <c r="A968" s="2">
        <v>4.0</v>
      </c>
      <c r="B968" s="2" t="s">
        <v>2636</v>
      </c>
      <c r="C968" s="2" t="s">
        <v>2637</v>
      </c>
      <c r="D968" s="2" t="s">
        <v>31</v>
      </c>
      <c r="E968" s="2" t="s">
        <v>14</v>
      </c>
      <c r="F968" s="2" t="s">
        <v>15</v>
      </c>
      <c r="G968" s="2" t="s">
        <v>1497</v>
      </c>
      <c r="H968" s="2" t="s">
        <v>60</v>
      </c>
      <c r="I968" s="2" t="str">
        <f>IFERROR(__xludf.DUMMYFUNCTION("GOOGLETRANSLATE(C968,""fr"",""en"")"),"I am satisfied with the insurance that was offered to me (at the rate and warranty level)
I am satisfied with the professional who processed my request by phone")</f>
        <v>I am satisfied with the insurance that was offered to me (at the rate and warranty level)
I am satisfied with the professional who processed my request by phone</v>
      </c>
    </row>
    <row r="969" ht="15.75" customHeight="1">
      <c r="A969" s="2">
        <v>4.0</v>
      </c>
      <c r="B969" s="2" t="s">
        <v>2638</v>
      </c>
      <c r="C969" s="2" t="s">
        <v>2639</v>
      </c>
      <c r="D969" s="2" t="s">
        <v>13</v>
      </c>
      <c r="E969" s="2" t="s">
        <v>14</v>
      </c>
      <c r="F969" s="2" t="s">
        <v>15</v>
      </c>
      <c r="G969" s="2" t="s">
        <v>1172</v>
      </c>
      <c r="H969" s="2" t="s">
        <v>107</v>
      </c>
      <c r="I969" s="2" t="str">
        <f>IFERROR(__xludf.DUMMYFUNCTION("GOOGLETRANSLATE(C969,""fr"",""en"")"),"Very simple and fast. I was able to insure my home vehicle without time constraints in a few minutes. The prices are reasonable and the guarantees too.")</f>
        <v>Very simple and fast. I was able to insure my home vehicle without time constraints in a few minutes. The prices are reasonable and the guarantees too.</v>
      </c>
    </row>
    <row r="970" ht="15.75" customHeight="1">
      <c r="A970" s="2">
        <v>5.0</v>
      </c>
      <c r="B970" s="2" t="s">
        <v>2640</v>
      </c>
      <c r="C970" s="2" t="s">
        <v>2641</v>
      </c>
      <c r="D970" s="2" t="s">
        <v>31</v>
      </c>
      <c r="E970" s="2" t="s">
        <v>14</v>
      </c>
      <c r="F970" s="2" t="s">
        <v>15</v>
      </c>
      <c r="G970" s="2" t="s">
        <v>1497</v>
      </c>
      <c r="H970" s="2" t="s">
        <v>60</v>
      </c>
      <c r="I970" s="2" t="str">
        <f>IFERROR(__xludf.DUMMYFUNCTION("GOOGLETRANSLATE(C970,""fr"",""en"")"),"Very satisfactory, fast and easy to validate I recommend and very attractive price level
Recall quickly and very polite
Electronic signature and without difficulty")</f>
        <v>Very satisfactory, fast and easy to validate I recommend and very attractive price level
Recall quickly and very polite
Electronic signature and without difficulty</v>
      </c>
    </row>
    <row r="971" ht="15.75" customHeight="1">
      <c r="A971" s="2">
        <v>5.0</v>
      </c>
      <c r="B971" s="2" t="s">
        <v>2642</v>
      </c>
      <c r="C971" s="2" t="s">
        <v>2643</v>
      </c>
      <c r="D971" s="2" t="s">
        <v>13</v>
      </c>
      <c r="E971" s="2" t="s">
        <v>14</v>
      </c>
      <c r="F971" s="2" t="s">
        <v>15</v>
      </c>
      <c r="G971" s="2" t="s">
        <v>555</v>
      </c>
      <c r="H971" s="2" t="s">
        <v>50</v>
      </c>
      <c r="I971" s="2" t="str">
        <f>IFERROR(__xludf.DUMMYFUNCTION("GOOGLETRANSLATE(C971,""fr"",""en"")"),"I am satisfied with your simple and practical service thank you for ensuring my car that suits me I plan to stay with you thank you my distinguished greetings")</f>
        <v>I am satisfied with your simple and practical service thank you for ensuring my car that suits me I plan to stay with you thank you my distinguished greetings</v>
      </c>
    </row>
    <row r="972" ht="15.75" customHeight="1">
      <c r="A972" s="2">
        <v>2.0</v>
      </c>
      <c r="B972" s="2" t="s">
        <v>2644</v>
      </c>
      <c r="C972" s="2" t="s">
        <v>2645</v>
      </c>
      <c r="D972" s="2" t="s">
        <v>26</v>
      </c>
      <c r="E972" s="2" t="s">
        <v>21</v>
      </c>
      <c r="F972" s="2" t="s">
        <v>15</v>
      </c>
      <c r="G972" s="2" t="s">
        <v>2646</v>
      </c>
      <c r="H972" s="2" t="s">
        <v>170</v>
      </c>
      <c r="I972" s="2" t="str">
        <f>IFERROR(__xludf.DUMMYFUNCTION("GOOGLETRANSLATE(C972,""fr"",""en"")"),"They know how to take the money but when it comes to repaying it is more the same 1 month that we are waiting for the care for glasses even the optician who has our file is walked away
A formal notice will leave and the file will go to our lawyer if they"&amp;" do nothing")</f>
        <v>They know how to take the money but when it comes to repaying it is more the same 1 month that we are waiting for the care for glasses even the optician who has our file is walked away
A formal notice will leave and the file will go to our lawyer if they do nothing</v>
      </c>
    </row>
    <row r="973" ht="15.75" customHeight="1">
      <c r="A973" s="2">
        <v>1.0</v>
      </c>
      <c r="B973" s="2" t="s">
        <v>2647</v>
      </c>
      <c r="C973" s="2" t="s">
        <v>2648</v>
      </c>
      <c r="D973" s="2" t="s">
        <v>942</v>
      </c>
      <c r="E973" s="2" t="s">
        <v>241</v>
      </c>
      <c r="F973" s="2" t="s">
        <v>15</v>
      </c>
      <c r="G973" s="2" t="s">
        <v>2649</v>
      </c>
      <c r="H973" s="2" t="s">
        <v>566</v>
      </c>
      <c r="I973" s="2" t="str">
        <f>IFERROR(__xludf.DUMMYFUNCTION("GOOGLETRANSLATE(C973,""fr"",""en"")"),"Hello to all members blurred by the cardif
I saddenly join your scandalously long and not closed list.
I have multiple disabling pathologies which took one has a sufficiently raft of the world of employment.
At 59 so I lost health, family, mobility, wo"&amp;"rk and find myself today with the physical capacities of an old man.
State acted by a set of doctors
 and specialists .... as well as by the expert doctor of the CPAM who placed me in disability category 2.
Some time after setting up guarantees .... "&amp;"I am summoned by 2 simultaneous authoritarian mails
That of the cardif and that of the doctor (expert from the cardif pays by the cardif)
And it is the miracle
In 5 minutes of a sloppy auscultation ..... without knowing anything of my history ....., "&amp;"trampling at the foot of the years of personal suffering as well as the files of his colleagues which he does not even deign to consult, he declares me in very good health health ...... since the next day .....
..... Admire the efficiency !!!! I receive "&amp;"a letter from the cardif ending my rights acquired as my disability.
I ask nothing more than the implementation of diat guarantees for which I have contributed for more than 18 years!
Members ... you become good to be thrown at the compost once sick"&amp;"
Let it know everywhere
These practices are inhuman
There are enough reference cases
It is easy to see that it is a deliberate will not to pay the compensation due to people in disability cat 2 adding misery to misery
Of course Cardif continues to "&amp;"take me every month for guarantees that it refuses to provide
Everyone is happy ... Cardif takes and does not guarantee
And the cardboard doctor, sold, may think of the next boat that he will afford
Life is not beautiful ??
And I am in the process"&amp;" of falling into precariousness
I am of course ready to defend my rights and those of other people in the same case .... to initiate any collective legal or informative action with consumer and press organizations.
")</f>
        <v>Hello to all members blurred by the cardif
I saddenly join your scandalously long and not closed list.
I have multiple disabling pathologies which took one has a sufficiently raft of the world of employment.
At 59 so I lost health, family, mobility, work and find myself today with the physical capacities of an old man.
State acted by a set of doctors
 and specialists .... as well as by the expert doctor of the CPAM who placed me in disability category 2.
Some time after setting up guarantees .... I am summoned by 2 simultaneous authoritarian mails
That of the cardif and that of the doctor (expert from the cardif pays by the cardif)
And it is the miracle
In 5 minutes of a sloppy auscultation ..... without knowing anything of my history ....., trampling at the foot of the years of personal suffering as well as the files of his colleagues which he does not even deign to consult, he declares me in very good health health ...... since the next day .....
..... Admire the efficiency !!!! I receive a letter from the cardif ending my rights acquired as my disability.
I ask nothing more than the implementation of diat guarantees for which I have contributed for more than 18 years!
Members ... you become good to be thrown at the compost once sick
Let it know everywhere
These practices are inhuman
There are enough reference cases
It is easy to see that it is a deliberate will not to pay the compensation due to people in disability cat 2 adding misery to misery
Of course Cardif continues to take me every month for guarantees that it refuses to provide
Everyone is happy ... Cardif takes and does not guarantee
And the cardboard doctor, sold, may think of the next boat that he will afford
Life is not beautiful ??
And I am in the process of falling into precariousness
I am of course ready to defend my rights and those of other people in the same case .... to initiate any collective legal or informative action with consumer and press organizations.
</v>
      </c>
    </row>
    <row r="974" ht="15.75" customHeight="1">
      <c r="A974" s="2">
        <v>1.0</v>
      </c>
      <c r="B974" s="2" t="s">
        <v>2650</v>
      </c>
      <c r="C974" s="2" t="s">
        <v>2651</v>
      </c>
      <c r="D974" s="2" t="s">
        <v>182</v>
      </c>
      <c r="E974" s="2" t="s">
        <v>103</v>
      </c>
      <c r="F974" s="2" t="s">
        <v>15</v>
      </c>
      <c r="G974" s="2" t="s">
        <v>2652</v>
      </c>
      <c r="H974" s="2" t="s">
        <v>767</v>
      </c>
      <c r="I974" s="2" t="str">
        <f>IFERROR(__xludf.DUMMYFUNCTION("GOOGLETRANSLATE(C974,""fr"",""en"")"),"Very bad insurance company. Do not subscribe to them ... their part of the contributions, nothing. Insurer to avoid absolutely! Disrespectful insurance of its good customers. I strongly advise against this insurance. I have never seen that.")</f>
        <v>Very bad insurance company. Do not subscribe to them ... their part of the contributions, nothing. Insurer to avoid absolutely! Disrespectful insurance of its good customers. I strongly advise against this insurance. I have never seen that.</v>
      </c>
    </row>
    <row r="975" ht="15.75" customHeight="1">
      <c r="A975" s="2">
        <v>5.0</v>
      </c>
      <c r="B975" s="2" t="s">
        <v>2653</v>
      </c>
      <c r="C975" s="2" t="s">
        <v>2654</v>
      </c>
      <c r="D975" s="2" t="s">
        <v>31</v>
      </c>
      <c r="E975" s="2" t="s">
        <v>14</v>
      </c>
      <c r="F975" s="2" t="s">
        <v>15</v>
      </c>
      <c r="G975" s="2" t="s">
        <v>618</v>
      </c>
      <c r="H975" s="2" t="s">
        <v>60</v>
      </c>
      <c r="I975" s="2" t="str">
        <f>IFERROR(__xludf.DUMMYFUNCTION("GOOGLETRANSLATE(C975,""fr"",""en"")"),"The cheapest insurance I have found as a young driver, the site is functional simple intuitive and practical. Not stung from the Hannetons.")</f>
        <v>The cheapest insurance I have found as a young driver, the site is functional simple intuitive and practical. Not stung from the Hannetons.</v>
      </c>
    </row>
    <row r="976" ht="15.75" customHeight="1">
      <c r="A976" s="2">
        <v>1.0</v>
      </c>
      <c r="B976" s="2" t="s">
        <v>2655</v>
      </c>
      <c r="C976" s="2" t="s">
        <v>2656</v>
      </c>
      <c r="D976" s="2" t="s">
        <v>437</v>
      </c>
      <c r="E976" s="2" t="s">
        <v>21</v>
      </c>
      <c r="F976" s="2" t="s">
        <v>15</v>
      </c>
      <c r="G976" s="2" t="s">
        <v>1198</v>
      </c>
      <c r="H976" s="2" t="s">
        <v>76</v>
      </c>
      <c r="I976" s="2" t="str">
        <f>IFERROR(__xludf.DUMMYFUNCTION("GOOGLETRANSLATE(C976,""fr"",""en"")"),"Very bad mutual impossible to reach them I must last 6 months before changing I can't wait! almost nothing even what should be automatic.
Never subscribe!")</f>
        <v>Very bad mutual impossible to reach them I must last 6 months before changing I can't wait! almost nothing even what should be automatic.
Never subscribe!</v>
      </c>
    </row>
    <row r="977" ht="15.75" customHeight="1">
      <c r="A977" s="2">
        <v>2.0</v>
      </c>
      <c r="B977" s="2" t="s">
        <v>2657</v>
      </c>
      <c r="C977" s="2" t="s">
        <v>2658</v>
      </c>
      <c r="D977" s="2" t="s">
        <v>74</v>
      </c>
      <c r="E977" s="2" t="s">
        <v>58</v>
      </c>
      <c r="F977" s="2" t="s">
        <v>15</v>
      </c>
      <c r="G977" s="2" t="s">
        <v>565</v>
      </c>
      <c r="H977" s="2" t="s">
        <v>566</v>
      </c>
      <c r="I977" s="2" t="str">
        <f>IFERROR(__xludf.DUMMYFUNCTION("GOOGLETRANSLATE(C977,""fr"",""en"")"),"Avoid without remorse.")</f>
        <v>Avoid without remorse.</v>
      </c>
    </row>
    <row r="978" ht="15.75" customHeight="1">
      <c r="A978" s="2">
        <v>4.0</v>
      </c>
      <c r="B978" s="2" t="s">
        <v>2659</v>
      </c>
      <c r="C978" s="2" t="s">
        <v>2660</v>
      </c>
      <c r="D978" s="2" t="s">
        <v>13</v>
      </c>
      <c r="E978" s="2" t="s">
        <v>14</v>
      </c>
      <c r="F978" s="2" t="s">
        <v>15</v>
      </c>
      <c r="G978" s="2" t="s">
        <v>2661</v>
      </c>
      <c r="H978" s="2" t="s">
        <v>76</v>
      </c>
      <c r="I978" s="2" t="str">
        <f>IFERROR(__xludf.DUMMYFUNCTION("GOOGLETRANSLATE(C978,""fr"",""en"")"),"I was given a discount, so the price seems right to me and adapted to my situation, unlike other insurance that cannot make a commercial gesture when it has to be done.")</f>
        <v>I was given a discount, so the price seems right to me and adapted to my situation, unlike other insurance that cannot make a commercial gesture when it has to be done.</v>
      </c>
    </row>
    <row r="979" ht="15.75" customHeight="1">
      <c r="A979" s="2">
        <v>1.0</v>
      </c>
      <c r="B979" s="2" t="s">
        <v>2662</v>
      </c>
      <c r="C979" s="2" t="s">
        <v>2663</v>
      </c>
      <c r="D979" s="2" t="s">
        <v>361</v>
      </c>
      <c r="E979" s="2" t="s">
        <v>21</v>
      </c>
      <c r="F979" s="2" t="s">
        <v>15</v>
      </c>
      <c r="G979" s="2" t="s">
        <v>2664</v>
      </c>
      <c r="H979" s="2" t="s">
        <v>93</v>
      </c>
      <c r="I979" s="2" t="str">
        <f>IFERROR(__xludf.DUMMYFUNCTION("GOOGLETRANSLATE(C979,""fr"",""en"")"),"Dear teachers' colleagues, especially do not choose the MGEN for your complementary health and foresight !!!
For the social security part you have no choice: it's MGEN - unless you live in Paris or the Rhône department: there you can join the mage, socia"&amp;"l security center + complementary health of public education everything Made honest and satisfactory.
The complementary health MGEN:
. does not take care of the fees of fees for specialist doctors and patients do not always have a choice,
. Do not re"&amp;"imburse the glasses unless you go to their partner opticians - that is to say opticians with whom the MGEN has concluded some small arrangements ...
In addition, your additional health and provident contributions are based on all of your income, includ"&amp;"ing if you have an income outside E.N. but if you fall sick and your work stoppage exceeds 3 months, MGEN provident will only complement your income E.N. while you have also contributed according to your income outside E.N.
In short: stay at the MGEN f"&amp;"or the security part, but for the complementary: go quickly !!! Ask the quotes from other mutuals, less known but cheaper and more honest! (eg Adrea ...)")</f>
        <v>Dear teachers' colleagues, especially do not choose the MGEN for your complementary health and foresight !!!
For the social security part you have no choice: it's MGEN - unless you live in Paris or the Rhône department: there you can join the mage, social security center + complementary health of public education everything Made honest and satisfactory.
The complementary health MGEN:
. does not take care of the fees of fees for specialist doctors and patients do not always have a choice,
. Do not reimburse the glasses unless you go to their partner opticians - that is to say opticians with whom the MGEN has concluded some small arrangements ...
In addition, your additional health and provident contributions are based on all of your income, including if you have an income outside E.N. but if you fall sick and your work stoppage exceeds 3 months, MGEN provident will only complement your income E.N. while you have also contributed according to your income outside E.N.
In short: stay at the MGEN for the security part, but for the complementary: go quickly !!! Ask the quotes from other mutuals, less known but cheaper and more honest! (eg Adrea ...)</v>
      </c>
    </row>
    <row r="980" ht="15.75" customHeight="1">
      <c r="A980" s="2">
        <v>4.0</v>
      </c>
      <c r="B980" s="2" t="s">
        <v>2665</v>
      </c>
      <c r="C980" s="2" t="s">
        <v>2666</v>
      </c>
      <c r="D980" s="2" t="s">
        <v>13</v>
      </c>
      <c r="E980" s="2" t="s">
        <v>14</v>
      </c>
      <c r="F980" s="2" t="s">
        <v>15</v>
      </c>
      <c r="G980" s="2" t="s">
        <v>2667</v>
      </c>
      <c r="H980" s="2" t="s">
        <v>39</v>
      </c>
      <c r="I980" s="2" t="str">
        <f>IFERROR(__xludf.DUMMYFUNCTION("GOOGLETRANSLATE(C980,""fr"",""en"")"),"The prices are really excellent and the ease of having a quote and a really fast contract. We had an offense with us in January, just after our move and we admit that it was a little hassle to have the door repaired. We have nothing to do with it and it w"&amp;"as very complicated.")</f>
        <v>The prices are really excellent and the ease of having a quote and a really fast contract. We had an offense with us in January, just after our move and we admit that it was a little hassle to have the door repaired. We have nothing to do with it and it was very complicated.</v>
      </c>
    </row>
    <row r="981" ht="15.75" customHeight="1">
      <c r="A981" s="2">
        <v>1.0</v>
      </c>
      <c r="B981" s="2" t="s">
        <v>2668</v>
      </c>
      <c r="C981" s="2" t="s">
        <v>2669</v>
      </c>
      <c r="D981" s="2" t="s">
        <v>57</v>
      </c>
      <c r="E981" s="2" t="s">
        <v>58</v>
      </c>
      <c r="F981" s="2" t="s">
        <v>15</v>
      </c>
      <c r="G981" s="2" t="s">
        <v>2670</v>
      </c>
      <c r="H981" s="2" t="s">
        <v>111</v>
      </c>
      <c r="I981" s="2" t="str">
        <f>IFERROR(__xludf.DUMMYFUNCTION("GOOGLETRANSLATE(C981,""fr"",""en"")"),"To drop,
AMV is an empty shell. Having them on the phone is impossible. The emails sent to them are treated only 72 hours later and when they are treated? !!! It's not always the case . They collect the checks but forget to send the green card to the ins"&amp;"ured. I don't have a green card up to date for 9 days now and I continue to ask them for explanations. They answer me that it is the post of post (does that make me laugh ??). La Poste assured me that a letter from Bordeaux is 3 days max !!! My check was "&amp;"sent over 3 weeks ago. I leave you alone judge.")</f>
        <v>To drop,
AMV is an empty shell. Having them on the phone is impossible. The emails sent to them are treated only 72 hours later and when they are treated? !!! It's not always the case . They collect the checks but forget to send the green card to the insured. I don't have a green card up to date for 9 days now and I continue to ask them for explanations. They answer me that it is the post of post (does that make me laugh ??). La Poste assured me that a letter from Bordeaux is 3 days max !!! My check was sent over 3 weeks ago. I leave you alone judge.</v>
      </c>
    </row>
    <row r="982" ht="15.75" customHeight="1">
      <c r="A982" s="2">
        <v>3.0</v>
      </c>
      <c r="B982" s="2" t="s">
        <v>2671</v>
      </c>
      <c r="C982" s="2" t="s">
        <v>2672</v>
      </c>
      <c r="D982" s="2" t="s">
        <v>31</v>
      </c>
      <c r="E982" s="2" t="s">
        <v>14</v>
      </c>
      <c r="F982" s="2" t="s">
        <v>15</v>
      </c>
      <c r="G982" s="2" t="s">
        <v>444</v>
      </c>
      <c r="H982" s="2" t="s">
        <v>17</v>
      </c>
      <c r="I982" s="2" t="str">
        <f>IFERROR(__xludf.DUMMYFUNCTION("GOOGLETRANSLATE(C982,""fr"",""en"")"),"Customer service is very competent. The advisers take the time in front of them to adapt and give the information.
I was happy to find the olive tree when I was a lot and during these 2 years, but however the prices are far too high this year for my pena"&amp;"lty/bonus which returned to 1.1250 euros to the third party compared to 900 euros for Lots of insurance, where my departure.
However, I recommend the olive tree for its quality in communication in connection with customer service.")</f>
        <v>Customer service is very competent. The advisers take the time in front of them to adapt and give the information.
I was happy to find the olive tree when I was a lot and during these 2 years, but however the prices are far too high this year for my penalty/bonus which returned to 1.1250 euros to the third party compared to 900 euros for Lots of insurance, where my departure.
However, I recommend the olive tree for its quality in communication in connection with customer service.</v>
      </c>
    </row>
    <row r="983" ht="15.75" customHeight="1">
      <c r="A983" s="2">
        <v>1.0</v>
      </c>
      <c r="B983" s="2" t="s">
        <v>2673</v>
      </c>
      <c r="C983" s="2" t="s">
        <v>2674</v>
      </c>
      <c r="D983" s="2" t="s">
        <v>13</v>
      </c>
      <c r="E983" s="2" t="s">
        <v>14</v>
      </c>
      <c r="F983" s="2" t="s">
        <v>15</v>
      </c>
      <c r="G983" s="2" t="s">
        <v>2675</v>
      </c>
      <c r="H983" s="2" t="s">
        <v>774</v>
      </c>
      <c r="I983" s="2" t="str">
        <f>IFERROR(__xludf.DUMMYFUNCTION("GOOGLETRANSLATE(C983,""fr"",""en"")"),"Increase of around 50% out of two contracts per second year. unacceptable
Insured theft and fire, only you have to go into details because the fire is not taken care of if there has been vandalism. Also inadmissible.")</f>
        <v>Increase of around 50% out of two contracts per second year. unacceptable
Insured theft and fire, only you have to go into details because the fire is not taken care of if there has been vandalism. Also inadmissible.</v>
      </c>
    </row>
    <row r="984" ht="15.75" customHeight="1">
      <c r="A984" s="2">
        <v>5.0</v>
      </c>
      <c r="B984" s="2" t="s">
        <v>2676</v>
      </c>
      <c r="C984" s="2" t="s">
        <v>2677</v>
      </c>
      <c r="D984" s="2" t="s">
        <v>26</v>
      </c>
      <c r="E984" s="2" t="s">
        <v>21</v>
      </c>
      <c r="F984" s="2" t="s">
        <v>15</v>
      </c>
      <c r="G984" s="2" t="s">
        <v>543</v>
      </c>
      <c r="H984" s="2" t="s">
        <v>17</v>
      </c>
      <c r="I984" s="2" t="str">
        <f>IFERROR(__xludf.DUMMYFUNCTION("GOOGLETRANSLATE(C984,""fr"",""en"")"),"This is the 1st times that I have contacted Neoliane, my interlocutor Aya has been very kind, very receptive and answered my questions ... For the moment nothing negative")</f>
        <v>This is the 1st times that I have contacted Neoliane, my interlocutor Aya has been very kind, very receptive and answered my questions ... For the moment nothing negative</v>
      </c>
    </row>
    <row r="985" ht="15.75" customHeight="1">
      <c r="A985" s="2">
        <v>4.0</v>
      </c>
      <c r="B985" s="2" t="s">
        <v>2678</v>
      </c>
      <c r="C985" s="2" t="s">
        <v>2679</v>
      </c>
      <c r="D985" s="2" t="s">
        <v>404</v>
      </c>
      <c r="E985" s="2" t="s">
        <v>14</v>
      </c>
      <c r="F985" s="2" t="s">
        <v>15</v>
      </c>
      <c r="G985" s="2" t="s">
        <v>585</v>
      </c>
      <c r="H985" s="2" t="s">
        <v>39</v>
      </c>
      <c r="I985" s="2" t="str">
        <f>IFERROR(__xludf.DUMMYFUNCTION("GOOGLETRANSLATE(C985,""fr"",""en"")"),"I have just taken out auto insurance at Eurofil by Aviva, I had precise and clear answers on the guarantees taken out. And the subscription was simpler and faster. And the documents of the documents are made the same day. I recommend this company to my re"&amp;"latives and friends.")</f>
        <v>I have just taken out auto insurance at Eurofil by Aviva, I had precise and clear answers on the guarantees taken out. And the subscription was simpler and faster. And the documents of the documents are made the same day. I recommend this company to my relatives and friends.</v>
      </c>
    </row>
    <row r="986" ht="15.75" customHeight="1">
      <c r="A986" s="2">
        <v>5.0</v>
      </c>
      <c r="B986" s="2" t="s">
        <v>2680</v>
      </c>
      <c r="C986" s="2" t="s">
        <v>2681</v>
      </c>
      <c r="D986" s="2" t="s">
        <v>222</v>
      </c>
      <c r="E986" s="2" t="s">
        <v>21</v>
      </c>
      <c r="F986" s="2" t="s">
        <v>15</v>
      </c>
      <c r="G986" s="2" t="s">
        <v>2682</v>
      </c>
      <c r="H986" s="2" t="s">
        <v>207</v>
      </c>
      <c r="I986" s="2" t="str">
        <f>IFERROR(__xludf.DUMMYFUNCTION("GOOGLETRANSLATE(C986,""fr"",""en"")"),"Thank you Erika for this exchange and your understanding, see you soon for new adventures.")</f>
        <v>Thank you Erika for this exchange and your understanding, see you soon for new adventures.</v>
      </c>
    </row>
    <row r="987" ht="15.75" customHeight="1">
      <c r="A987" s="2">
        <v>1.0</v>
      </c>
      <c r="B987" s="2" t="s">
        <v>2683</v>
      </c>
      <c r="C987" s="2" t="s">
        <v>2684</v>
      </c>
      <c r="D987" s="2" t="s">
        <v>252</v>
      </c>
      <c r="E987" s="2" t="s">
        <v>21</v>
      </c>
      <c r="F987" s="2" t="s">
        <v>15</v>
      </c>
      <c r="G987" s="2" t="s">
        <v>2685</v>
      </c>
      <c r="H987" s="2" t="s">
        <v>559</v>
      </c>
      <c r="I987" s="2" t="str">
        <f>IFERROR(__xludf.DUMMYFUNCTION("GOOGLETRANSLATE(C987,""fr"",""en"")"),"Help !
I have been there since March 2017 by obligation and not by choice in the end I took the maximum option to be better reimbursed and it's worse! It's like paying all my health costs myself. I'm waiting for one thing to go! Run away !")</f>
        <v>Help !
I have been there since March 2017 by obligation and not by choice in the end I took the maximum option to be better reimbursed and it's worse! It's like paying all my health costs myself. I'm waiting for one thing to go! Run away !</v>
      </c>
    </row>
    <row r="988" ht="15.75" customHeight="1">
      <c r="A988" s="2">
        <v>4.0</v>
      </c>
      <c r="B988" s="2" t="s">
        <v>2686</v>
      </c>
      <c r="C988" s="2" t="s">
        <v>2687</v>
      </c>
      <c r="D988" s="2" t="s">
        <v>13</v>
      </c>
      <c r="E988" s="2" t="s">
        <v>14</v>
      </c>
      <c r="F988" s="2" t="s">
        <v>15</v>
      </c>
      <c r="G988" s="2" t="s">
        <v>66</v>
      </c>
      <c r="H988" s="2" t="s">
        <v>50</v>
      </c>
      <c r="I988" s="2" t="str">
        <f>IFERROR(__xludf.DUMMYFUNCTION("GOOGLETRANSLATE(C988,""fr"",""en"")"),"The quote and the subscription are clear and fast. Very accessible price, a student rate would be a plus, there are no small savings. But the cost of insurance is still very advantageous.")</f>
        <v>The quote and the subscription are clear and fast. Very accessible price, a student rate would be a plus, there are no small savings. But the cost of insurance is still very advantageous.</v>
      </c>
    </row>
    <row r="989" ht="15.75" customHeight="1">
      <c r="A989" s="2">
        <v>5.0</v>
      </c>
      <c r="B989" s="2" t="s">
        <v>2688</v>
      </c>
      <c r="C989" s="2" t="s">
        <v>2689</v>
      </c>
      <c r="D989" s="2" t="s">
        <v>13</v>
      </c>
      <c r="E989" s="2" t="s">
        <v>14</v>
      </c>
      <c r="F989" s="2" t="s">
        <v>15</v>
      </c>
      <c r="G989" s="2" t="s">
        <v>1500</v>
      </c>
      <c r="H989" s="2" t="s">
        <v>33</v>
      </c>
      <c r="I989" s="2" t="str">
        <f>IFERROR(__xludf.DUMMYFUNCTION("GOOGLETRANSLATE(C989,""fr"",""en"")"),"I am satisfied with the level of warranty. Young driver, I benefit from 20% reduction on my contract by the sponsorship of my father. Good customer relationship.")</f>
        <v>I am satisfied with the level of warranty. Young driver, I benefit from 20% reduction on my contract by the sponsorship of my father. Good customer relationship.</v>
      </c>
    </row>
    <row r="990" ht="15.75" customHeight="1">
      <c r="A990" s="2">
        <v>1.0</v>
      </c>
      <c r="B990" s="2" t="s">
        <v>2690</v>
      </c>
      <c r="C990" s="2" t="s">
        <v>2691</v>
      </c>
      <c r="D990" s="2" t="s">
        <v>128</v>
      </c>
      <c r="E990" s="2" t="s">
        <v>103</v>
      </c>
      <c r="F990" s="2" t="s">
        <v>15</v>
      </c>
      <c r="G990" s="2" t="s">
        <v>2692</v>
      </c>
      <c r="H990" s="2" t="s">
        <v>479</v>
      </c>
      <c r="I990" s="2" t="str">
        <f>IFERROR(__xludf.DUMMYFUNCTION("GOOGLETRANSLATE(C990,""fr"",""en"")"),"Flee this insurance !! They act completely opposite the image they communicate in their advertisements. We were the victim of a fire from our house in June 2018 and we received the answer last week that the Matmut refused to compensate us. Their argument "&amp;"is based on the fact that we knew the dangerousness of the products that we used and that we were neglected. The Matmut never wanted to communicate to us the results of the 3 expertise that there were on site despite our many requests by mail RAR. My part"&amp;"ner was pregnant at the time of the fire today our daughter is 2 months old. Matmut has made us live a legal ordeal for 9 months now, it's unbearable. This company tries to crack people by wasting time and money, a shame !!!")</f>
        <v>Flee this insurance !! They act completely opposite the image they communicate in their advertisements. We were the victim of a fire from our house in June 2018 and we received the answer last week that the Matmut refused to compensate us. Their argument is based on the fact that we knew the dangerousness of the products that we used and that we were neglected. The Matmut never wanted to communicate to us the results of the 3 expertise that there were on site despite our many requests by mail RAR. My partner was pregnant at the time of the fire today our daughter is 2 months old. Matmut has made us live a legal ordeal for 9 months now, it's unbearable. This company tries to crack people by wasting time and money, a shame !!!</v>
      </c>
    </row>
    <row r="991" ht="15.75" customHeight="1">
      <c r="A991" s="2">
        <v>5.0</v>
      </c>
      <c r="B991" s="2" t="s">
        <v>2693</v>
      </c>
      <c r="C991" s="2" t="s">
        <v>2694</v>
      </c>
      <c r="D991" s="2" t="s">
        <v>182</v>
      </c>
      <c r="E991" s="2" t="s">
        <v>58</v>
      </c>
      <c r="F991" s="2" t="s">
        <v>15</v>
      </c>
      <c r="G991" s="2" t="s">
        <v>2695</v>
      </c>
      <c r="H991" s="2" t="s">
        <v>609</v>
      </c>
      <c r="I991" s="2" t="str">
        <f>IFERROR(__xludf.DUMMYFUNCTION("GOOGLETRANSLATE(C991,""fr"",""en"")"),"The person in charge of my file to a kindness, professionalism and dedication such that I stay at AXA because I do not want to disappoint it.")</f>
        <v>The person in charge of my file to a kindness, professionalism and dedication such that I stay at AXA because I do not want to disappoint it.</v>
      </c>
    </row>
    <row r="992" ht="15.75" customHeight="1">
      <c r="A992" s="2">
        <v>2.0</v>
      </c>
      <c r="B992" s="2" t="s">
        <v>2696</v>
      </c>
      <c r="C992" s="2" t="s">
        <v>2697</v>
      </c>
      <c r="D992" s="2" t="s">
        <v>31</v>
      </c>
      <c r="E992" s="2" t="s">
        <v>14</v>
      </c>
      <c r="F992" s="2" t="s">
        <v>15</v>
      </c>
      <c r="G992" s="2" t="s">
        <v>2698</v>
      </c>
      <c r="H992" s="2" t="s">
        <v>532</v>
      </c>
      <c r="I992" s="2" t="str">
        <f>IFERROR(__xludf.DUMMYFUNCTION("GOOGLETRANSLATE(C992,""fr"",""en"")"),"On 10/12/2019, I asked for an auto insurance quote. The 12/12/2019 at 3:15 p.m., following the various daily recovery emails from the insurer (the last 14:44), I contacted customer service Same day at 3:15 p.m., to finalize my request. The price changed w"&amp;"ithin the following half hour. All the daily proposals were blocked (Aoups message an error occurred), then updated at the new price. Flery !!!!")</f>
        <v>On 10/12/2019, I asked for an auto insurance quote. The 12/12/2019 at 3:15 p.m., following the various daily recovery emails from the insurer (the last 14:44), I contacted customer service Same day at 3:15 p.m., to finalize my request. The price changed within the following half hour. All the daily proposals were blocked (Aoups message an error occurred), then updated at the new price. Flery !!!!</v>
      </c>
    </row>
    <row r="993" ht="15.75" customHeight="1">
      <c r="A993" s="2">
        <v>5.0</v>
      </c>
      <c r="B993" s="2" t="s">
        <v>2699</v>
      </c>
      <c r="C993" s="2" t="s">
        <v>2700</v>
      </c>
      <c r="D993" s="2" t="s">
        <v>31</v>
      </c>
      <c r="E993" s="2" t="s">
        <v>14</v>
      </c>
      <c r="F993" s="2" t="s">
        <v>15</v>
      </c>
      <c r="G993" s="2" t="s">
        <v>2501</v>
      </c>
      <c r="H993" s="2" t="s">
        <v>50</v>
      </c>
      <c r="I993" s="2" t="str">
        <f>IFERROR(__xludf.DUMMYFUNCTION("GOOGLETRANSLATE(C993,""fr"",""en"")"),"Simple, effective. For the moment no problem to report, I will continue the logical continuation of my contract. Attractive price on the market, for now OK for me.")</f>
        <v>Simple, effective. For the moment no problem to report, I will continue the logical continuation of my contract. Attractive price on the market, for now OK for me.</v>
      </c>
    </row>
    <row r="994" ht="15.75" customHeight="1">
      <c r="A994" s="2">
        <v>3.0</v>
      </c>
      <c r="B994" s="2" t="s">
        <v>2701</v>
      </c>
      <c r="C994" s="2" t="s">
        <v>2702</v>
      </c>
      <c r="D994" s="2" t="s">
        <v>31</v>
      </c>
      <c r="E994" s="2" t="s">
        <v>14</v>
      </c>
      <c r="F994" s="2" t="s">
        <v>15</v>
      </c>
      <c r="G994" s="2" t="s">
        <v>2703</v>
      </c>
      <c r="H994" s="2" t="s">
        <v>54</v>
      </c>
      <c r="I994" s="2" t="str">
        <f>IFERROR(__xludf.DUMMYFUNCTION("GOOGLETRANSLATE(C994,""fr"",""en"")"),"Too expensive can do better even for vehicles not guaranteed for more than three months as well as for drivers with a penalty/bonus greater than one")</f>
        <v>Too expensive can do better even for vehicles not guaranteed for more than three months as well as for drivers with a penalty/bonus greater than one</v>
      </c>
    </row>
    <row r="995" ht="15.75" customHeight="1">
      <c r="A995" s="2">
        <v>3.0</v>
      </c>
      <c r="B995" s="2" t="s">
        <v>2704</v>
      </c>
      <c r="C995" s="2" t="s">
        <v>2705</v>
      </c>
      <c r="D995" s="2" t="s">
        <v>26</v>
      </c>
      <c r="E995" s="2" t="s">
        <v>21</v>
      </c>
      <c r="F995" s="2" t="s">
        <v>15</v>
      </c>
      <c r="G995" s="2" t="s">
        <v>2706</v>
      </c>
      <c r="H995" s="2" t="s">
        <v>386</v>
      </c>
      <c r="I995" s="2" t="str">
        <f>IFERROR(__xludf.DUMMYFUNCTION("GOOGLETRANSLATE(C995,""fr"",""en"")"),"Very listening and a charming person on the phone and practices automatic recall.")</f>
        <v>Very listening and a charming person on the phone and practices automatic recall.</v>
      </c>
    </row>
    <row r="996" ht="15.75" customHeight="1">
      <c r="A996" s="2">
        <v>4.0</v>
      </c>
      <c r="B996" s="2" t="s">
        <v>2707</v>
      </c>
      <c r="C996" s="2" t="s">
        <v>2708</v>
      </c>
      <c r="D996" s="2" t="s">
        <v>117</v>
      </c>
      <c r="E996" s="2" t="s">
        <v>14</v>
      </c>
      <c r="F996" s="2" t="s">
        <v>15</v>
      </c>
      <c r="G996" s="2" t="s">
        <v>107</v>
      </c>
      <c r="H996" s="2" t="s">
        <v>107</v>
      </c>
      <c r="I996" s="2" t="str">
        <f>IFERROR(__xludf.DUMMYFUNCTION("GOOGLETRANSLATE(C996,""fr"",""en"")"),"In a general way . I recommend G M F If the subscriber fulfills the membership conditions.")</f>
        <v>In a general way . I recommend G M F If the subscriber fulfills the membership conditions.</v>
      </c>
    </row>
    <row r="997" ht="15.75" customHeight="1">
      <c r="A997" s="2">
        <v>1.0</v>
      </c>
      <c r="B997" s="2" t="s">
        <v>2709</v>
      </c>
      <c r="C997" s="2" t="s">
        <v>2710</v>
      </c>
      <c r="D997" s="2" t="s">
        <v>84</v>
      </c>
      <c r="E997" s="2" t="s">
        <v>14</v>
      </c>
      <c r="F997" s="2" t="s">
        <v>15</v>
      </c>
      <c r="G997" s="2" t="s">
        <v>2711</v>
      </c>
      <c r="H997" s="2" t="s">
        <v>130</v>
      </c>
      <c r="I997" s="2" t="str">
        <f>IFERROR(__xludf.DUMMYFUNCTION("GOOGLETRANSLATE(C997,""fr"",""en"")"),"Nothing to say .. it's scandalous! Flee this insurance. They are unpleasant to the highest point, they are contemptuous and contemptable. I solve and I am very happy.")</f>
        <v>Nothing to say .. it's scandalous! Flee this insurance. They are unpleasant to the highest point, they are contemptuous and contemptable. I solve and I am very happy.</v>
      </c>
    </row>
    <row r="998" ht="15.75" customHeight="1">
      <c r="A998" s="2">
        <v>1.0</v>
      </c>
      <c r="B998" s="2" t="s">
        <v>2712</v>
      </c>
      <c r="C998" s="2" t="s">
        <v>2713</v>
      </c>
      <c r="D998" s="2" t="s">
        <v>74</v>
      </c>
      <c r="E998" s="2" t="s">
        <v>58</v>
      </c>
      <c r="F998" s="2" t="s">
        <v>15</v>
      </c>
      <c r="G998" s="2" t="s">
        <v>2461</v>
      </c>
      <c r="H998" s="2" t="s">
        <v>574</v>
      </c>
      <c r="I998" s="2" t="str">
        <f>IFERROR(__xludf.DUMMYFUNCTION("GOOGLETRANSLATE(C998,""fr"",""en"")"),"Catastrophic")</f>
        <v>Catastrophic</v>
      </c>
    </row>
    <row r="999" ht="15.75" customHeight="1">
      <c r="A999" s="2">
        <v>2.0</v>
      </c>
      <c r="B999" s="2" t="s">
        <v>2714</v>
      </c>
      <c r="C999" s="2" t="s">
        <v>2715</v>
      </c>
      <c r="D999" s="2" t="s">
        <v>117</v>
      </c>
      <c r="E999" s="2" t="s">
        <v>103</v>
      </c>
      <c r="F999" s="2" t="s">
        <v>15</v>
      </c>
      <c r="G999" s="2" t="s">
        <v>2716</v>
      </c>
      <c r="H999" s="2" t="s">
        <v>54</v>
      </c>
      <c r="I999" s="2" t="str">
        <f>IFERROR(__xludf.DUMMYFUNCTION("GOOGLETRANSLATE(C999,""fr"",""en"")"),"Following a sinister water damage on October 3, 2021, declared the next day, the file is still not processed more than a month later. My telephone reminders and by email did not allow the situation to be released. Repairs still cannot take place. However,"&amp;" I provide 3 dwellings, 3 vehicles, and has another contract. Maybe you have to change your insurer .....")</f>
        <v>Following a sinister water damage on October 3, 2021, declared the next day, the file is still not processed more than a month later. My telephone reminders and by email did not allow the situation to be released. Repairs still cannot take place. However, I provide 3 dwellings, 3 vehicles, and has another contract. Maybe you have to change your insurer .....</v>
      </c>
    </row>
    <row r="1000" ht="15.75" customHeight="1">
      <c r="A1000" s="2">
        <v>5.0</v>
      </c>
      <c r="B1000" s="2" t="s">
        <v>2717</v>
      </c>
      <c r="C1000" s="2" t="s">
        <v>2718</v>
      </c>
      <c r="D1000" s="2" t="s">
        <v>13</v>
      </c>
      <c r="E1000" s="2" t="s">
        <v>14</v>
      </c>
      <c r="F1000" s="2" t="s">
        <v>15</v>
      </c>
      <c r="G1000" s="2" t="s">
        <v>646</v>
      </c>
      <c r="H1000" s="2" t="s">
        <v>33</v>
      </c>
      <c r="I1000" s="2" t="str">
        <f>IFERROR(__xludf.DUMMYFUNCTION("GOOGLETRANSLATE(C1000,""fr"",""en"")"),"Absolutely satisfied with my interlocutor and the information provided allows me to calmly ensure 2 vehicles in the same exchange. I recommend .")</f>
        <v>Absolutely satisfied with my interlocutor and the information provided allows me to calmly ensure 2 vehicles in the same exchange. I recommend .</v>
      </c>
    </row>
    <row r="1001" ht="15.75" customHeight="1">
      <c r="A1001" s="2">
        <v>5.0</v>
      </c>
      <c r="B1001" s="2" t="s">
        <v>2719</v>
      </c>
      <c r="C1001" s="2" t="s">
        <v>2720</v>
      </c>
      <c r="D1001" s="2" t="s">
        <v>31</v>
      </c>
      <c r="E1001" s="2" t="s">
        <v>14</v>
      </c>
      <c r="F1001" s="2" t="s">
        <v>15</v>
      </c>
      <c r="G1001" s="2" t="s">
        <v>32</v>
      </c>
      <c r="H1001" s="2" t="s">
        <v>33</v>
      </c>
      <c r="I1001" s="2" t="str">
        <f>IFERROR(__xludf.DUMMYFUNCTION("GOOGLETRANSLATE(C1001,""fr"",""en"")"),"I am satisfied with the insurance service offered to me by the Olivier Insurance. The online subscription was very simple. The advisers have been responsive and precise in their answers to my questions.")</f>
        <v>I am satisfied with the insurance service offered to me by the Olivier Insurance. The online subscription was very simple. The advisers have been responsive and precise in their answers to my questions.</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2022-12-16T15:48:26Z</dcterms:created>
</cp:coreProperties>
</file>