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pgME7Cc/zFPGcOs62VnE8ivcgEw=="/>
    </ext>
  </extLst>
</workbook>
</file>

<file path=xl/sharedStrings.xml><?xml version="1.0" encoding="utf-8"?>
<sst xmlns="http://schemas.openxmlformats.org/spreadsheetml/2006/main" count="7010" uniqueCount="2710">
  <si>
    <t>note</t>
  </si>
  <si>
    <t>auteur</t>
  </si>
  <si>
    <t>avis</t>
  </si>
  <si>
    <t>assureur</t>
  </si>
  <si>
    <t>produit</t>
  </si>
  <si>
    <t>type</t>
  </si>
  <si>
    <t>date_publication</t>
  </si>
  <si>
    <t>date_exp</t>
  </si>
  <si>
    <t>avis_en</t>
  </si>
  <si>
    <t>avis_cor</t>
  </si>
  <si>
    <t>avis_cor_en</t>
  </si>
  <si>
    <t>tony-86092</t>
  </si>
  <si>
    <t>On membouti le chauffard récidiviste défaut dassurance état débriété délit de fuite
Lassurance me certifie quils mont suspendu or jai eu à payer la cotisation que jai refusé</t>
  </si>
  <si>
    <t>Direct Assurance</t>
  </si>
  <si>
    <t>auto</t>
  </si>
  <si>
    <t>train</t>
  </si>
  <si>
    <t>20/01/2020</t>
  </si>
  <si>
    <t>01/01/2020</t>
  </si>
  <si>
    <t>fjp-76189</t>
  </si>
  <si>
    <t xml:space="preserve">A la suite d'un litige sur un sinistre NON RESPONSABLE lié à un vol de moto, retrouvée par la suite,  La Mutuelle des Motards a donné l'accord au garage pour réparer les dégâts, puis s'est rétractée après la réparation et à refusé le payer le moindre centime.  J'ai alors eu le choix, soit de laisser ma moto au garage, soit de la récupérer en prenant en charge la totalité des frais engagés. Est-il légal d'autoriser un garage à faire les réparations pour ensuite, lorsqu'elles sont faites, refuser le remboursement ? Ne fallait-il pas réfléchir avant et ne pas donner l'accord ? D'autant que le vol était bien réel et que toutes les preuves ont été apportées.
Bref.
Un résumé parfait de la situation de déliquescence de cette Mutuelle. Une pratique à peine voilée d'obstruction délibérée du dossier sinistre. En d'autres termes, "Surtout ne rien débourser" !
La clé de leur réussite, probablement décourager les sociétaires qui n'ont plus l'énergie de se battre face à tant d'indifférence, d'incompétence et d'arrogance. Malgré une conseillère sympathique et pragmatique mais dont la fonction n'est que celle de vendre des contrats puisqu'elle n'a aucun pouvoir décisionnel, nous n'avons d'autre solution que de faire une réclamation auprès du service médiation. Que de perte de temps, et d'énergie incommensurable.
FUYEZ !
</t>
  </si>
  <si>
    <t>Mutuelle des Motards</t>
  </si>
  <si>
    <t>moto</t>
  </si>
  <si>
    <t>23/05/2019</t>
  </si>
  <si>
    <t>01/05/2019</t>
  </si>
  <si>
    <t>olivier-b-109664</t>
  </si>
  <si>
    <t>je suis satisfait des services et des prix proposés. je paye beaucoup moins cher que mon ancienne assurances. le prix et pratiquement quarante pour cent moins cher</t>
  </si>
  <si>
    <t>08/04/2021</t>
  </si>
  <si>
    <t>01/04/2021</t>
  </si>
  <si>
    <t>jo35-104482</t>
  </si>
  <si>
    <t xml:space="preserve">Un accueil téléphonique en nette amélioration.
Un site internet encore un peu "rigide et chargé" manque de simplicité pour accéder à ses garanties par exemple.
A quand une application pour smartphone?
</t>
  </si>
  <si>
    <t>MGP</t>
  </si>
  <si>
    <t>sante</t>
  </si>
  <si>
    <t>19/02/2021</t>
  </si>
  <si>
    <t>01/02/2021</t>
  </si>
  <si>
    <t>melainedaveze-87140</t>
  </si>
  <si>
    <t>Assurance que je oconseille fortement, même en passant de la MAIF et MAIF filia, les tarifs restent très avantageux.. très bonne assurance quand on débute dans la vie et que l'on a pas forcement un gros budget assurance... Les conseillers sont très agréables et à l'écoute des clients, toutes les possibilités de contrat m'ont été expliqué, ainsi que les différents tarifs, sans jamais me pousser à la dépense, ce qui est plutôt rare et très appréciable !</t>
  </si>
  <si>
    <t>MAIF</t>
  </si>
  <si>
    <t>14/02/2020</t>
  </si>
  <si>
    <t>01/02/2020</t>
  </si>
  <si>
    <t>touriya-a-130935</t>
  </si>
  <si>
    <t>je suis satisfaite du prix et du service, le contrat a la carte me conviens bien, facile d'utilisation.
je recommande cette assurance
bonne continuation</t>
  </si>
  <si>
    <t>02/09/2021</t>
  </si>
  <si>
    <t>01/09/2021</t>
  </si>
  <si>
    <t>claude-64167</t>
  </si>
  <si>
    <t xml:space="preserve">  pour ce faire asuré ok mais pour avoir un relevé d information c est la galere</t>
  </si>
  <si>
    <t>MACIF</t>
  </si>
  <si>
    <t>24/05/2018</t>
  </si>
  <si>
    <t>01/05/2018</t>
  </si>
  <si>
    <t>romeo-l-126203</t>
  </si>
  <si>
    <t xml:space="preserve">Satisfait de la rapidité pour avoir mon assurance moto et de plus très simple à faire cette assurance sur internet.
Je trouve également cette assurance qui n'est pas chère.
En vous remerciant </t>
  </si>
  <si>
    <t>APRIL Moto</t>
  </si>
  <si>
    <t>03/08/2021</t>
  </si>
  <si>
    <t>01/08/2021</t>
  </si>
  <si>
    <t>pb-77378</t>
  </si>
  <si>
    <t>30 ans assuré sans aucun accident mon auto a été en février accidenté en étant en stationnement mal réparer en avril actuellement en attente de passage de l'expert pour voir la non conformité des réparations!mauvaise assurance! mauvais garage imposé! mauvais expert! y en marre que l'on ne puisse changé les choses pour qu'elles soient justes</t>
  </si>
  <si>
    <t>habitation</t>
  </si>
  <si>
    <t>05/07/2019</t>
  </si>
  <si>
    <t>01/07/2019</t>
  </si>
  <si>
    <t>william-b-105122</t>
  </si>
  <si>
    <t>Le tarif est attractif. Les démarches sont simples. Mon interlocuteur a été d'un professionnalisme, des explications clairs. Dommage que vous ne faite pas les véhicules de prestige.</t>
  </si>
  <si>
    <t>02/03/2021</t>
  </si>
  <si>
    <t>01/03/2021</t>
  </si>
  <si>
    <t>egaga-80944</t>
  </si>
  <si>
    <t>J'ai eu un accident de travail, mon employeur à envoyer mes attestations d'indémnitée journalières et tout le blabla à AG2R le 28/09/19. Le 10/10 mon employeur recois un message comme quoi l'argent sera bientot verser et depuis plus rien. j'appel le service client qui "ne peux pas me renseigner" et quand je leur envoi des mails 0 réponse.
insuportable</t>
  </si>
  <si>
    <t>Ag2r La Mondiale</t>
  </si>
  <si>
    <t>prevoyance</t>
  </si>
  <si>
    <t>12/11/2019</t>
  </si>
  <si>
    <t>01/11/2019</t>
  </si>
  <si>
    <t>mimi-63857</t>
  </si>
  <si>
    <t>Service correcte.</t>
  </si>
  <si>
    <t>Néoliane Santé</t>
  </si>
  <si>
    <t>08/05/2018</t>
  </si>
  <si>
    <t>christian-76430</t>
  </si>
  <si>
    <t>Impossible d'avoir une rponse en moins de 30 minutes avec la GMF, surtout si vous voullez un bon service ne vous assurez pas à la GMF car en cas de sinistre vous aurez pendant des heures "vous êtes en relation avec les services sinistre de la GMF, votre conseiller s'efforce d'courter votre attente, merci de patienter quelques instants "  alors là vous patientez 1 heure ou deux !!!</t>
  </si>
  <si>
    <t>GMF</t>
  </si>
  <si>
    <t>03/06/2019</t>
  </si>
  <si>
    <t>01/06/2019</t>
  </si>
  <si>
    <t>rogerpartch28-59596</t>
  </si>
  <si>
    <t>FUYEZ !!!! Il manque toujours un papier !!! Justificatifs envoyés en temps et en heure, contrat résilié, nouveau contrat etablis mais plus cher !!! FUYEZ !!! Toujours pas ASSURER au bout d'un mois !</t>
  </si>
  <si>
    <t>Active Assurances</t>
  </si>
  <si>
    <t>12/12/2017</t>
  </si>
  <si>
    <t>01/12/2017</t>
  </si>
  <si>
    <t>herve-c-108507</t>
  </si>
  <si>
    <t>pour l'instant les tarifs me correspondent, a voir avec le temps si le "sav" suit.
en tout cas meilleurs rapport qualites prix comparer avec les autres assureurs !</t>
  </si>
  <si>
    <t>30/03/2021</t>
  </si>
  <si>
    <t>nicolas-82217</t>
  </si>
  <si>
    <t xml:space="preserve">Accident en date du 1er septembre 2019. L'Olivier assurance m'indique le 5 septembre 2019 que le constat amiable établi par les deux parties établit que je ne suis pas responsable (mon véhicule était à l'arrêt...). 
Les réparations sont effectuées après expertise le 23 septembre 2019 (1.400 euros). 
Le 23 décembre 2019 (presque 4 mois après l'accident!), je n'ai toujours reçu aucun remboursement et l'Olivier ne veut pas me donner la copie de leurs diligences auprès de l'autre assurance (courrier, mail, etc.). Je pense qu'ils n'ont rien fait. </t>
  </si>
  <si>
    <t>L'olivier Assurance</t>
  </si>
  <si>
    <t>23/12/2019</t>
  </si>
  <si>
    <t>01/12/2019</t>
  </si>
  <si>
    <t>josy-51009</t>
  </si>
  <si>
    <t>apres retractation de la signature virtuelle et accord de leur part prelevement sur mon compte de 189.70 le 3 janvier remboursement prevu le 17 janvier attendez de payer 15 jours plus tard et vous verrez leur reaction MUTUELLE A FUIRE</t>
  </si>
  <si>
    <t>APRIL</t>
  </si>
  <si>
    <t>06/01/2017</t>
  </si>
  <si>
    <t>01/01/2017</t>
  </si>
  <si>
    <t>sylvecia-m-134433</t>
  </si>
  <si>
    <t xml:space="preserve">Une assurance pour étudiant ne serait pas de refus. Néanmoins les services proposés sont intéressants et les conseillers téléphoniques sont très agréables. </t>
  </si>
  <si>
    <t>25/09/2021</t>
  </si>
  <si>
    <t>eric-d-108486</t>
  </si>
  <si>
    <t>100 € d'augmentation de ma prime en 4 mois alors que mon bonus à augementer et est de 50%.
Direct assurance fait des prix d'appel bas mais augmente chaque année ses primes de plus de 10% ce que ne font pas des assurances type MAAF ou MACIF (qui sont certes plus chères mais ont des franchises plus basses).</t>
  </si>
  <si>
    <t>loufette-67298</t>
  </si>
  <si>
    <t xml:space="preserve">les garanties proposées me paraissent interessantes, le prix est plus intéressant que pour ma mutuelle précédente. </t>
  </si>
  <si>
    <t>03/10/2018</t>
  </si>
  <si>
    <t>01/10/2018</t>
  </si>
  <si>
    <t>collavet-c-111960</t>
  </si>
  <si>
    <t>je suis satisfait prix assez bas, les assurances me convienne, très bon qualité/prix.
les service téléphonique est trés bien, je suis satisfait de l'olivier</t>
  </si>
  <si>
    <t>28/04/2021</t>
  </si>
  <si>
    <t>loic-l-113926</t>
  </si>
  <si>
    <t>Je regrette que votre tele vendeur n'ait pas pu ou voulu me communiquer un code promo et qu'il se soit montré aussi insistant. Seul le manque de temps m'a conduit à souscrire chez vous car j'avais une meilleure proposition de mon assureur historique.</t>
  </si>
  <si>
    <t>17/05/2021</t>
  </si>
  <si>
    <t>01/05/2021</t>
  </si>
  <si>
    <t>lydie-m-127959</t>
  </si>
  <si>
    <t xml:space="preserve">Je suis satisfaite du service /qualité prix , j’ai trouvé mon assurance et c’est super , merci pour cette facilité d’échange en ligne . 
           Martinez Lydie </t>
  </si>
  <si>
    <t>14/08/2021</t>
  </si>
  <si>
    <t>wanagonomore-90015</t>
  </si>
  <si>
    <t>Remboursement d'un sinistre de grêle à 100% avec très bonne efficacité et bonne communication.C'est dans ces conditions que l'on vérifie la qualité de son assurance. Je ne regrette pas mon choix.</t>
  </si>
  <si>
    <t>28/05/2020</t>
  </si>
  <si>
    <t>01/05/2020</t>
  </si>
  <si>
    <t>bergerac24-65160</t>
  </si>
  <si>
    <t>Augmentation de plus du double  de la franchise suite à 2 accidents en 2 ans malgré 40 ans de cotisation c'est inadmissible.
Prévenu uniquement par mail sans explication j'ai dû moi-même me rendre à l'agence pour trouver un directeur d'agence n'ayant aucune latitude et ne faisant qu'appliquer les directives</t>
  </si>
  <si>
    <t>MAAF</t>
  </si>
  <si>
    <t>29/06/2018</t>
  </si>
  <si>
    <t>01/06/2018</t>
  </si>
  <si>
    <t>laura-c-106045</t>
  </si>
  <si>
    <t>Je suis très satisfaite du service depuis déjà 3 ans, c'est la raison pour laquelle je poursuis avec l'assurance logement après l'assurance voiture. Merci !</t>
  </si>
  <si>
    <t>09/03/2021</t>
  </si>
  <si>
    <t>alpin73-87722</t>
  </si>
  <si>
    <t>Bonsoir. Le 30/12/19, mon campîng car est détruit par un incendie en Italie. Hébergement en hotel le soir avec l'assistance... repas du soir à notre charge! 25/01/2020 camping car déclaré épave donc cession à la société de destruction. Il a été récupéré un tiers des biens non détruit. Le reste??? A ce jour, encore aucune indemnisation de verser, ni pour nos biens perso (vetements, chaussures, ...) ni pour le véhicule. Par contre, j'ai du demandé à stopper l'assurance malgré la cession au 25/01. J'ai payé la mensualité de février et tenez vous bien, on me réclame encore 67 euros!!! Je n'ai pas encore touché un centime de dédommagement et on me réclame de payer une assurance pour un véhicule qui n'est plus à moi depuis le 25 janvier. Je vais vite racheter un camping car. Par contre très peu de chance que je le finance et l'assure à la Macif!</t>
  </si>
  <si>
    <t>27/02/2020</t>
  </si>
  <si>
    <t>kilian-t-112126</t>
  </si>
  <si>
    <t>Bien, le site est facile, ludique. Il est rapide d'avoir un devis. Les tarifs sont concurrentiels. Seul bémol, la cotisation est à payer à l'année, pas de prélèvement mensuel.</t>
  </si>
  <si>
    <t>29/04/2021</t>
  </si>
  <si>
    <t>audrey-d-111808</t>
  </si>
  <si>
    <t>Parfait très bien et rapide très bien expliquer et très vite assurer 
Je recommande ce site à des personnes qui aurait des doutes 
Taper moteur de recherche assurance quad</t>
  </si>
  <si>
    <t>27/04/2021</t>
  </si>
  <si>
    <t>gael-98969</t>
  </si>
  <si>
    <t>Cette prevoyance est absolument honteuse je vois que tout le monde a le même problème difficulté a avoir ses compléments d'indemnités!Nous avons déjà eu ce problème après le confinement 1 mois d'arrêt maladie de mars a avril nous avons etes indemnisé 3mois plus tard, après les avoirs harcelé au téléphone pratiquement tous les jours un coup c'était que la secu ne leur avait pas teletransmis les decomptes ensuite ils ont oublies de traiter mon dossier ils vous promettent tjs que ds les 10j vs aurez l'argent sur votre compte!Et la rebelote arret maladie au mois d'août toujours aucun complément ils ne répondent jamais a vos mail c'est catastrophique ils ne se rendent pas compte dans quelle situation financière ils peuvent mettre les gens!!Je vais contacter ma protection juridique pour voir quel recours on peut avoir!!</t>
  </si>
  <si>
    <t>20/10/2020</t>
  </si>
  <si>
    <t>01/10/2020</t>
  </si>
  <si>
    <t>florence-c-107122</t>
  </si>
  <si>
    <t>Je suis satisfait des prix et du service.
L'inscription en ligne se fait facilement
Par contre je n'ai pas encore reçu au courrier ma carte verte alors que je suis assurée depuis le 14/03</t>
  </si>
  <si>
    <t>19/03/2021</t>
  </si>
  <si>
    <t>cheikhna-f-111040</t>
  </si>
  <si>
    <t xml:space="preserve">Le prix est trop élevé sans l'offre Drive vu le prix et l'ancienneté de ma voiture sans oublier que j'ai souscris à l'offre tiers mini.
Mais surtout en cette période de télétravail la voiture ne bouge presque pas. </t>
  </si>
  <si>
    <t>20/04/2021</t>
  </si>
  <si>
    <t>lebrun-p-107211</t>
  </si>
  <si>
    <t xml:space="preserve">Je suis satisfait du tarif, de l'accueil au téléphone et des informations apportées. Simple d'utilisation et facile d'envoyer les documents demandés. </t>
  </si>
  <si>
    <t>oliver-78846</t>
  </si>
  <si>
    <t>A fuir ! Assurance moto résiliée il y a plus d'un an, j'ai payé ce que je devais pour clore cette assurance.
1 an après, ils me réclament de 63 E pour une assurance vie... avec recommandés, harcèlement tél. Ils sont tellement nuls qu'ils préfèrent dépenser du temps, des courriers inutiles, un service recouvrement... pour 63 balles  Ils ont le sens des priorités à la MACIF</t>
  </si>
  <si>
    <t>31/08/2019</t>
  </si>
  <si>
    <t>01/08/2019</t>
  </si>
  <si>
    <t>eric-103755</t>
  </si>
  <si>
    <t xml:space="preserve">Accueil et renseignements téléphoniques parfait.
Personnel à l'écoute des demandes et très bonne prise en compte de la situation.
Cela rassure, d'avoir une  mutuelle qui couvre un large volet des "accidents de la vie" et qui accompagne sans faille.
C'est dans ces situations que l'on apprécie d'avoir une bonne mutuelle.
Cela fait 20 ans que je suis adhérent et je suis content d'avoir fait le bon choix à l'époque.
Bel exemple de l'esprit mutualiste.
Continuez.
</t>
  </si>
  <si>
    <t>05/02/2021</t>
  </si>
  <si>
    <t>adam-70641</t>
  </si>
  <si>
    <t>Mutuelle poubelle
A éviter d'urgence, trop long pour traiter les devis. Je regrette la mutuelle PRO BTP .</t>
  </si>
  <si>
    <t>Mercer</t>
  </si>
  <si>
    <t>26/01/2019</t>
  </si>
  <si>
    <t>01/01/2019</t>
  </si>
  <si>
    <t>fredeco82-63819</t>
  </si>
  <si>
    <t>Assuré via mon employeur en 2012, je suis aujourd'hui demandeur d'emploi. A ce titre je bénéficie de la portabilité de mon contrat durant 1 an, soit jusqu'au 26/10/2018. La portabilité se réalise sous la forme d'une période de  3 mois, puis une deuxième de 4 mois, puis une dernière de 5 mois. Pour chaque nouvelle période de renouvellement, je fournis les documents demandés (attestation de paiement Pôle Emploi). Ma dernière demande de renouvellement de la portabilité date de février (documents envoyés le05/02/2018), pourtant je n'ai toujours pas reçu nos nouvelles cartes et le dossier n'est pas mis à jour (nous sommes le 06/05/2018 !) Pour rappel, l'actuelle période se termine dans 21j... J'ai appelé 15 fois le service client qui a pris note de mon problème, ils ont eux-même envoyé par 2 fois des mails prioritaires pour que mon dossier soit saisi, sans succès. Mon épouse est hypothyroïdique et doit faire des analyses tous les 3 mois et suivre un traitement hormonal. Par ailleurs, une mammographie de contrôle devait être effectuée en mars 2018. Pour ma part opéré en gastro-entérologie en novembre 2017, je dois effectuer des examens de contrôle ce mois-ci...Bien sûr, on nous dit que nous sommes toujours couverts et qu'il suffit d'avancer les frais. Nous avons en attente de demande de remboursement 3 ordonnances pharmaceutiques, mais ne pouvons certainement pas faire l'avance des honoraires de spécialistes ni des examens ! (rappel : je suis demandeur d'emploi...) Je ne parle même pas de l'éventualité d'un accident avec examens coûteux et hospitalisation... Du coup, nous restons sans nous soigner ni nous faire suivre depuis bientôt 4 mois...et ne savons pas combien cela va durer. Le pire, c'est que je dois redemander une prolongation à la fin du mois, et je crains les délis : j'ai vraiment l'impression que nous ne pourrons plus nous faire soigner jusqu'à le fin de la portabilité en octobre 2018 !</t>
  </si>
  <si>
    <t>06/05/2018</t>
  </si>
  <si>
    <t>f4brice-81550</t>
  </si>
  <si>
    <t>Des garanties disparaissent. 3 mois pour avoir une réponse a un dossier. Déplorable !</t>
  </si>
  <si>
    <t>Matmut</t>
  </si>
  <si>
    <t>03/12/2019</t>
  </si>
  <si>
    <t>kusmierczyk-l-136214</t>
  </si>
  <si>
    <t>Le prix me convient. Par contre oubli de me parler de la loi Hamon donc attente d un mois pour que ma fille ait une assurance conductrice prncipale. Sinon simple</t>
  </si>
  <si>
    <t>06/10/2021</t>
  </si>
  <si>
    <t>01/10/2021</t>
  </si>
  <si>
    <t>christophe-moumadi-m-134418</t>
  </si>
  <si>
    <t>Je suis très satisfait au niveau du prix. A recommander pour les scooters électriques comme c'est le cas pour moi. A voir par contre sur la qualité du service à long terme, mais j'ai confiance pour l'instant.</t>
  </si>
  <si>
    <t>ninine-76581</t>
  </si>
  <si>
    <t>J'ai demandé la résiliation de mon fils puisqu'il a une mutuelle obligatoire à son travail. J'ai fait parvenir tous les documents qu'ils me demandaient. Je suis allée à l'Agence d'Auxerre pour emmener un document qu'ils leurs manquaient et qu'ils auraient pu me demander au début, la conseillère qui m'a reçu ma très mal parlé et envoyé baladé. Depuis avril et ne l'on toujours pas résilié. Déçu de cette mutuelle malgrès que ça fait des années que j'y suis.</t>
  </si>
  <si>
    <t>Harmonie Mutuelle</t>
  </si>
  <si>
    <t>07/06/2019</t>
  </si>
  <si>
    <t>anodueb-103266</t>
  </si>
  <si>
    <t>Complément grosse dépenses assez longue à rembourser et peu élevé (soins dentaire par ex.)
Mode de communication de documents obsolète (limité en format peu courant pour un néophyte)</t>
  </si>
  <si>
    <t>26/01/2021</t>
  </si>
  <si>
    <t>01/01/2021</t>
  </si>
  <si>
    <t>laure-c-132887</t>
  </si>
  <si>
    <t>oK le service est rapide efficace, les prix sont correct à si pour la prise en charge si besoin. Je verrai avec le temps les capacité et le sérieux de cette assurance</t>
  </si>
  <si>
    <t>15/09/2021</t>
  </si>
  <si>
    <t>ninguno-100016</t>
  </si>
  <si>
    <t xml:space="preserve">J'ai souscrit un contrat qui ne correspond aucunement à mes besoins et malgré plusieurs courriers adressés en RAR. Pas d'accusé réception de mes courriers et les échéanciers se suivent avec une régularité de métronome. 
Je ne conseillerai pas votre établissement, il n'y a ni suivi ni rigueur.
Franchement dégouttée. </t>
  </si>
  <si>
    <t>12/11/2020</t>
  </si>
  <si>
    <t>01/11/2020</t>
  </si>
  <si>
    <t>tribouilloy-l-123663</t>
  </si>
  <si>
    <t xml:space="preserve">Je suis satisfait du service et le prix me convient parfaitement. Bon service rapide pour s'inscrire. Je recommande à tous l'olivier assurances. Merci </t>
  </si>
  <si>
    <t>17/07/2021</t>
  </si>
  <si>
    <t>01/07/2021</t>
  </si>
  <si>
    <t>fabrice-101338</t>
  </si>
  <si>
    <t>tres mecontent je percois une rente d'humanis prevoyance trimestrielle par accord de branche , il faut toujours telephoner ou envoyer des mails pour etre payer,, je leur demande si je peux etre payé mensuellement on me repond que ce n'est pas possible parce que je precois une rente accident du travail cpam tous les 3 mois...je leur envoie donc par mois tous les justificatifs cpam de mon invalidité... et la rente AT tous les 3 mois...en octobre on me verse la rente du mois d'octobre je ne comprends pas puisque l'on m'a dit que ce n'etait pas possible de percevoir sa rente mensuelle Humanis...et on me renvoie un mail pour me reclamer le document AT y en a vraiment mais vraiment marre c'est incroyable je pense qu'ils devraient revoir le fonctionnement de leur personnel....vous n'avez jamais la personne au telephone  donc jamais le meme dialogue..grrr</t>
  </si>
  <si>
    <t>Malakoff Humanis</t>
  </si>
  <si>
    <t>12/12/2020</t>
  </si>
  <si>
    <t>01/12/2020</t>
  </si>
  <si>
    <t>taveira-rodrigues-c-114660</t>
  </si>
  <si>
    <t xml:space="preserve">Je suis très satisfait de mon contrat est très bon niveau qualité prix. Tres facile as faire le devis en ligne et  très bien formulé je recommande vivement </t>
  </si>
  <si>
    <t>23/05/2021</t>
  </si>
  <si>
    <t>nanard-75568</t>
  </si>
  <si>
    <t>AMV est une assurance très bien placé pour les motards(es) il conseil l'assistance 0 Km en moto c'est pratique.</t>
  </si>
  <si>
    <t>AMV</t>
  </si>
  <si>
    <t>02/05/2019</t>
  </si>
  <si>
    <t>gonzalez-lantres-a-130466</t>
  </si>
  <si>
    <t xml:space="preserve">je suis satisfait du service et j'attend votre soutiens dans les moments  difficiles si il y en a. 
La conseillère a été très agréable au téléphone . </t>
  </si>
  <si>
    <t>31/08/2021</t>
  </si>
  <si>
    <t>jul-cauchois-115658</t>
  </si>
  <si>
    <t>Bonne assurance, j'y suis depuis 1990 conseillé par mes parents, GMF aussi. Excellente relations commerciale / un léger bémol sur le service sinistre. Merci. JC</t>
  </si>
  <si>
    <t>02/06/2021</t>
  </si>
  <si>
    <t>01/06/2021</t>
  </si>
  <si>
    <t>85gf-69737</t>
  </si>
  <si>
    <t xml:space="preserve">Démarchage téléphonique auprès de personnes âgées agressif par l'intermédiaire de DNASSUR déjà signalé à plusieurs reprises depuis longtemps. Cette société prétend être attentive à la déontologie de ses courtiers... Si c'était le cas elle ne continuerait à cautionner des agissements qui durent pourtant depuis longtemps.
</t>
  </si>
  <si>
    <t>28/12/2018</t>
  </si>
  <si>
    <t>01/12/2018</t>
  </si>
  <si>
    <t>mantel-g-131813</t>
  </si>
  <si>
    <t xml:space="preserve">Très satisfait de notre premier contact. Des réponses claires, une personne agréable et souriante au téléphone. Très facile aussi d'avoir accès à une personne au téléphone. 
</t>
  </si>
  <si>
    <t>08/09/2021</t>
  </si>
  <si>
    <t>malfatto-m-117809</t>
  </si>
  <si>
    <t>contact rapide et efficace, conseiller très gentil, clair, a répondu à toutes mes questions; rappel programmé et respecté. Rien à redire pour le moment :)</t>
  </si>
  <si>
    <t>22/06/2021</t>
  </si>
  <si>
    <t>guigui-87138</t>
  </si>
  <si>
    <t xml:space="preserve">Services inexistants, conseiller qui me raccroche au nez, courriers en accusé de réception restés sans réponse, courriels pareil, personne n'est capable ou ne veut gérer mon dossier???!!!!... .
J'ai saisi le médiateur de l'assurance il y a plus de 8 mois et toujours aucun retour malgré mes relances. Un ami m'a dit qu'il ne servait à rien puisque cette institution censée être neutre a été créée notamment avec le concours de la macif il y a plusieurs décennies???... On croit rêver!!
J'ai rendez-vous cette semaine chez un concurrent car je vais résilier tous mes contrats. Je me rends compte que je me suis fait avoir tout au long des années de cotisations que j'ai versées pour rien!! Je suis très en colère contre la macif qui n'est pas honnête!
Par pitié le service qualité à 2 sous, ne répondez pas à mon commentaire car vous ne servez absolument à rien!!!
Evitez la macif que je ne recommande ABSOLUMENT pas!!!!!
</t>
  </si>
  <si>
    <t>allaoui-a-131560</t>
  </si>
  <si>
    <t xml:space="preserve">Rapide efficace qualité prix ravis de faire partie de votre clientèle 
Je suis au boulot actuellement j'ai pu faire cela rapidement de mon téléphone. 
</t>
  </si>
  <si>
    <t>06/09/2021</t>
  </si>
  <si>
    <t>mik-103586</t>
  </si>
  <si>
    <t>Ils sont affreux je n’arrive pas à me faire rembourser un dépassement d’honoraires de 70 e j ai fourni tous les papiers ils en demandent toujours plus j’ai tout fourni j’ai plus ils sont vraiment bornés je comprends pas que la direction de Paris ne réagisse pas sur la province lamentable je crois que je vais partir de la trop nul archi nul je vais regarder les autres mutuelles et les tarifs chez eux depuis 1967 on est vraiment pris pour des Nuls on est à 100/100 tous les 2mon mari et moi et on par mois 300 e là trop c’est trop</t>
  </si>
  <si>
    <t>Allianz</t>
  </si>
  <si>
    <t>03/02/2021</t>
  </si>
  <si>
    <t>oncleblu-67784</t>
  </si>
  <si>
    <t>en arret de travail pour maladie depuis avril 2016 et actuellement reconnu en invalidité cat2 depuis le 01 octobre 2018 j'ai ouvert un dossier avec ma banque bnp faire fonctionner mon assurance pret aupres de cardif, a ce jour je n'ai recu aucun courrier de leur part pour la suite du dossier</t>
  </si>
  <si>
    <t>Cardif</t>
  </si>
  <si>
    <t>credit</t>
  </si>
  <si>
    <t>15/11/2018</t>
  </si>
  <si>
    <t>01/11/2018</t>
  </si>
  <si>
    <t>eva647-72138</t>
  </si>
  <si>
    <t xml:space="preserve">Suite a une panne de voiture, l'assistance auto a été trés professionnel et courtoi. </t>
  </si>
  <si>
    <t>AXA</t>
  </si>
  <si>
    <t>13/03/2019</t>
  </si>
  <si>
    <t>01/03/2019</t>
  </si>
  <si>
    <t>corto-45568</t>
  </si>
  <si>
    <t>tres satisfait de votre réactivité, formule claire et bien expliqué par vos conseillers
A voir en cas de sinistre ou autre
tarifs plutot competitifs
a conseiller autour de soi</t>
  </si>
  <si>
    <t>16/03/2021</t>
  </si>
  <si>
    <t>elissa-92994</t>
  </si>
  <si>
    <t xml:space="preserve">C'est une grosse blague ! 
Selon l'assurance Chien+ , 60% de chaque frais vétérinaire devaient être remboursés. 
Sur le 1er, sur 73,80€ j'ai été remboursée 30€
Sur le 2ème, sur 72,30€ j'ai été remboursée 15€. 
Ils nous vendent des paillettes pour au final rien du tout. 
Une fois les problèmes arrivés plus de réponses ça joue au sourd, j'ai du renvoyé 5 fois mois mail avant d'être remboursé la 1ere fois, parce que soidisant ils le recevait pas sauf que je l'envoyait toujours à la même adresse qui était la bonne. 
C'est du grand n'importe quoi cette assurance. </t>
  </si>
  <si>
    <t>Assur O'Poil</t>
  </si>
  <si>
    <t>animaux</t>
  </si>
  <si>
    <t>02/07/2020</t>
  </si>
  <si>
    <t>01/07/2020</t>
  </si>
  <si>
    <t>karim-b-130505</t>
  </si>
  <si>
    <t>Je suis satisfait de votre assurance, merci de rester ainsi car votre assurance m'a vas très bien et merci de vos superbe tarification qui me vont très très bien, cdt</t>
  </si>
  <si>
    <t>tiffany-f-111243</t>
  </si>
  <si>
    <t>En tous risques, direct assurance refuse de réparer mon véhicule et en plus m'accuse de fausse déclaration!!!!! HONTEUX. Tout ça pour pas payer.
  Prenez une assurance avec un bureau et une personne en face de vous.
Direct assurance qui est une filiale d'AXA, renvoie une image pitoyable de gestion de sinistre. A FUIR !!!!!!!!</t>
  </si>
  <si>
    <t>22/04/2021</t>
  </si>
  <si>
    <t>fqueau-126424</t>
  </si>
  <si>
    <t xml:space="preserve">J'essaie d'avoir la maif pour des questions d'assistance , jarrive à avoir quelqu'un au bout de 20 minutes, cette personne me dit qu'elle ne peut pas me passer l'assistance juridique. 
Obligé de recommancé à zero et c'est à nouveau partie pour une attente de 20 minutes pour reussir à avoir quelqu'un. 
En plus leur Voice bot est carrement nul, il ne comprend rien et vous aiguille vers la mauvais service et à nouveau perte de temps. </t>
  </si>
  <si>
    <t>04/08/2021</t>
  </si>
  <si>
    <t>beaufort-137679</t>
  </si>
  <si>
    <t>Merci monsieur pour votre gentillesse et votre accueil , cela fait plaisir d'être aussi bien reçu .A bientôt daniele beaufort.Je conseille de vous chez inscrire  NEOLIANE le personnel est sympa.</t>
  </si>
  <si>
    <t>18/10/2021</t>
  </si>
  <si>
    <t>vanille-96832</t>
  </si>
  <si>
    <t>Personnels en agence pas aimable et peu compréhensif alors que l'erreur à été faite par eux.
pas de négociation possible donc départ de la société sans regret.</t>
  </si>
  <si>
    <t>30/08/2020</t>
  </si>
  <si>
    <t>01/08/2020</t>
  </si>
  <si>
    <t>vivi-43-131862</t>
  </si>
  <si>
    <t xml:space="preserve">Mise en invalidité 2 et ayant une prévoyance entreprise a l’AG2R j’ai fait mon dossier de demande celui ci a été traité dans des délais très rapide 
Je suis très satisfaite des délais et de la mise en place des paiements </t>
  </si>
  <si>
    <t>mouadib-96397</t>
  </si>
  <si>
    <t xml:space="preserve">A éviter absolument !!!!
Pour les avoir au téléphone il faut être patient c'est assez paradoxale pour une assurance qui mise sur leur service client
 </t>
  </si>
  <si>
    <t>17/08/2020</t>
  </si>
  <si>
    <t>gabriellem06-104971</t>
  </si>
  <si>
    <t>Super assurance, réactive chaque fois que j'ai eu un sinistre, autant en remboursement qu'en facilité de procédure, tout à était fait par mail après l'appel au service sinistre. Bravo.</t>
  </si>
  <si>
    <t>Crédit Mutuel</t>
  </si>
  <si>
    <t>teddys29-78272</t>
  </si>
  <si>
    <t xml:space="preserve">La qualité des conseillers au téléphone est une catastrophe, pas professionnel du tout.
Jai eu un accident non responsable, je me suis rendu en agence pour déposer mon constat amiable.
Ce constat a disparu dans la nature, du coup je me retrouve a payer une franchise si je veux que ma voiture soit réparée.
Tant qu'on a pas de sinistre tout va bien, attachez votre ceinture vous avez un, c'est la que les problèmes commencent.
2 sinistres déclarés en 10 ans je sais de quoi je parle.
</t>
  </si>
  <si>
    <t>08/08/2019</t>
  </si>
  <si>
    <t>adrien--127824</t>
  </si>
  <si>
    <t xml:space="preserve">Bonjour, assurance à éviter absolument, laisse c'est assuré seul face au problème. Pour la petite histoire, mon appartement a pris feu, l'expert à juger 12 mois de travaux mais cela a pris 17 mois. Les 7 loyers du relogement supplémentaires sont à la charge de l'assuré.l' Assurance ne veut rien entendre et me laisse seule avec mes enfant, renvoie la faute sur les artisans. Un des interlocuteur m'a dit de me plus les appelés et que l'assurance ne prendra jamais en charge les loyers. Au jour d'aujourd'hui je me retrouve avec une dette de 5000€ auprès de mon bailleur,que je remercie de sa patience et espère le règler rapidement. </t>
  </si>
  <si>
    <t>Pacifica</t>
  </si>
  <si>
    <t>13/08/2021</t>
  </si>
  <si>
    <t>perrier-a-139609</t>
  </si>
  <si>
    <t xml:space="preserve">Ravie d etre admise chez vous et de votre rapidité à traiter mon dossier. Accueil téléphonique vraiment très sympa. 
Merci
Cordialement
Madame Perrier </t>
  </si>
  <si>
    <t>15/11/2021</t>
  </si>
  <si>
    <t>01/11/2021</t>
  </si>
  <si>
    <t>lrzk-68104</t>
  </si>
  <si>
    <t>Bonsoir,
Suite à mes 2 sinistres de l'année dernière, j'ai été plus que déçue de cet assureur : pas de réactivité (dépanneuse annoncée en 45 min a mit 2h pour venir alors que j'attendais avec 2 enfants en bas age), voiture trimballée de garage en garage, il faut rappeler plusieurs fois par jour car les services ne communiquent pas entre eux. Également, mauvaise foi ou réelle méconnaissance de la loi (il faut leur rappeler vos droit x fois avec textes à l'appui pour qu'ils accèdent à vos requêtes x mois aprés!!); mépris total de la personne (malgré le choc de l'accident et le dossier corporel, vous avez interêt à vite vous en remettre car ils ne vous font pas de cadeaux : exemple voiture envoyée en fourriere! l'assurance ne vous previens pas, vous le découvrez par hasard et ils refusent de payer la fourriere pour finalement vous rembourser 6 mois plus tard car ils sont en TORT).
Aujourd'hui on refuse de me donner une copie du pv de police établit malgré mes relances et dires de l'avocat, de la police et la législation en vigueur!! Tout bonnement scandaleux!</t>
  </si>
  <si>
    <t>26/10/2018</t>
  </si>
  <si>
    <t>phil16440-81345</t>
  </si>
  <si>
    <t xml:space="preserve">2 mois pour enregistrer un décès!, impossible d'avoir des informations précises par téléphone, ils égarent des documents que vous leur transmettez, ils font traîner les choses, il faut les relancer en permanence, ils ne rappellent jamais, ils sont d'une lenteur rarement atteinte... </t>
  </si>
  <si>
    <t>vie</t>
  </si>
  <si>
    <t>26/11/2019</t>
  </si>
  <si>
    <t>celia-s-133139</t>
  </si>
  <si>
    <t xml:space="preserve">Rien à redire pour la souscription. La souscription se fait rapidement, simplement. 
A voir si besoin, comment cela se passe. Sur le papier, rien à redire. </t>
  </si>
  <si>
    <t>16/09/2021</t>
  </si>
  <si>
    <t>sarai--t-132324</t>
  </si>
  <si>
    <t>Je suis satisfaite de mon parrainage et vous remercie d'avance de l'intérêt que vous avez portez à ma demande. Vous faites du bon boulot.
Merci direct assurance</t>
  </si>
  <si>
    <t>10/09/2021</t>
  </si>
  <si>
    <t>heliof-65678</t>
  </si>
  <si>
    <t xml:space="preserve">Je souhaite partager, de nouveau, un avis sur une situation surréaliste avec la MAIF. 
- J'ai acquis le 16/10/20 un véhicule de collection que j'ai assuré (assurance collection) par appel  téléphonique.
- Celui ci, stationné chez l'ancien propriétaire, doit être livré le 29/10/20 (c'est à dire demain).
- Je me suis déplacé la semaine dernière en agence pour faire ajouter l'option 0km dépannage. Il m'a été répondu que cette option n'était disponible qu'en formule plénitude. Un devis a été réalisé et je comptais changer à la réception dudit véhicule.
- Après demande de changement de formule, le siège m'a répondu que le véhicule devait être vu en agence car un flag avait été déclenché au siège !!!!!!!!!!
- Je suis repassé en agence ce matin pour constater l'impuissance de celle ci face au siège.
- J'ai enfin compris que ce que je disais n'était pas recevable car suspect. Ce point est critique.
Deux remarques : 
- Le siège de la MAIF doit se remettre en question.
- Je cherche à ré-assurer mon parc de véhicules (motos + autos) auprès d'une autre partenaire aussureur. </t>
  </si>
  <si>
    <t>28/10/2020</t>
  </si>
  <si>
    <t>laura-bastos-97290</t>
  </si>
  <si>
    <t xml:space="preserve">Le service est toujours de bonne qualité quant il est téléphonique et rapide via le site internet. 
Cependant je trouve que les prestations offertes ne sont pas suffisante en rapport au prix de la mutuelle. </t>
  </si>
  <si>
    <t>11/09/2020</t>
  </si>
  <si>
    <t>01/09/2020</t>
  </si>
  <si>
    <t>zizou3737-101622</t>
  </si>
  <si>
    <t>Cette assurance a des tarifs qui sont dans la moyenne, cependant lors d'un accident dont j'ai été victime le 9 Décembre 2019,commis par autrui,cette assurance n'a fait preuve n'aucune compassion,ni d'aucun professionalisme dont dont peut en attendre,étant donné qu'on leur verse notre argent à longueur d'année pour cela... Cela n'a été qu'engueulades,limites des insultes de leur part,on ne vous laisse pas vous expliquer..mais par contre aucun remboursement,ou alors des remboursements totalement aléatoires et incompréhensibles...Leur façon de faire est faite pour vous faire comprendre que finalement,en tant que VICTIME..Vous êtes COUPABLE!!!!! Votre véhicule,vos vêtements,tous les frais physiques,moraux,ETC,ETC.. ne vous sont pas remboursés,et vous n'avez aucune indemnisations..!!! Cette assurance est à fuir absolument.Le pire,c'est qu'ensuite,ils vous envoient des sms à répétions pour vous demander votre en qui les concerne...???A FUIR,ET VITE...!!</t>
  </si>
  <si>
    <t>18/12/2020</t>
  </si>
  <si>
    <t>emma-g-128239</t>
  </si>
  <si>
    <t>Site utilisé pour enregistrer un nouveau véhicule pour ma fille. Au début c'est pas évident de trouver les bons champs de saisie p^mais ensuite c'est simple</t>
  </si>
  <si>
    <t>16/08/2021</t>
  </si>
  <si>
    <t>rajae-50697</t>
  </si>
  <si>
    <t xml:space="preserve">Halte à Direct Assurance . J'étais surprise du prix bas d'entrée annoncée par Direct Assurance, sauf qu'ayant le projet de changer de véhicule après deux ans d'utilisation du même , ils en profitent pour faire augmenter la cotisation annuelle de 150€. Le pire est qu'en faisant le devis en ligne, en me faisant passer pour une non cliente, la cotisation est beaucoup moins chère. Surprise, j'appelle le service client, qui me dit et là attention:"Vous n'avez qu'à résilier, suite à la vente de votre véhicule puis de nouveau souscrire un nouveau contrat auto ...". Je suis désolée mais c'est très anti-commercial et pas professionnel voir lâche comme réponse. Merci de votre urgente action, et surtout il y a un gros problème dans le calcul de mon coefficient .!!! Ne vous faîtes pas avoir </t>
  </si>
  <si>
    <t>21/04/2017</t>
  </si>
  <si>
    <t>01/04/2017</t>
  </si>
  <si>
    <t>lion232-87518</t>
  </si>
  <si>
    <t>Délai d indemnisation deplorable aucun suivi vous appelez et 3 semaines plus tard il ne c est toujours rien passé dossier ouvert en décembre déjà 3mois....</t>
  </si>
  <si>
    <t>Sogessur</t>
  </si>
  <si>
    <t>24/02/2020</t>
  </si>
  <si>
    <t>zewasher-78164</t>
  </si>
  <si>
    <t>A fuir!!!!
Par le biais d'un comparateur et séduit par le tarif, j'ai souscrit une assurance sans tenir compte des avis formulés par d'anciens clients. Apres rempli un questionnaire qui n'est pas du tout explicite et flou, je verse un accompte et reçoit un échéancier. Au bout de 3 semaines, je reçois un recommandé pour me signifier ma résiliation sous prétexte que les réponses donnés lors de mon inscription n'étaient pas exacte!!!!!! Je leur demande pourquoi avoir attendu 3 semaines pour me le signifier? Pas de réponse et le pire ce sont mes différentes interlocutrices qui ne vous aident pas du tout et qui vous prennent de haut comme si vous étiez le dernier des navets.
Un conseil, il vaut mieux payer plus cher et avoir une vraie société d'assurance.</t>
  </si>
  <si>
    <t>Eurofil</t>
  </si>
  <si>
    <t>03/08/2019</t>
  </si>
  <si>
    <t>thierry-57190</t>
  </si>
  <si>
    <t>Il faut discuter le prix avant de signer comparer avec la concurrence et revoir les contrats d'assurance tous les ans avec comparatif.après cela c est parfait.c est vous qui êtes le chef.</t>
  </si>
  <si>
    <t>08/09/2017</t>
  </si>
  <si>
    <t>01/09/2017</t>
  </si>
  <si>
    <t>yeyecabs31-99513</t>
  </si>
  <si>
    <t xml:space="preserve">Je suis très déçue de cette assurance. 
- Je déménage d’une grande ville à un petit village juste à côté, il m’augmente le prix. 
- Je passe de concubinage à pacsé en situation familiale, il augmente le prix. Tout est bon à prendre pour augmenter et la personne au téléphone ne souhaite pas trouver de solution. 
Je suis très très déçue !!! 
Je change d’assurance dès que mon contract s’arrête. </t>
  </si>
  <si>
    <t>02/11/2020</t>
  </si>
  <si>
    <t>kiki4040-128039</t>
  </si>
  <si>
    <t>aucune solidarité pour les handicapés , vraiment nulle , remboursement médicament , tres peu , rapidité de remboursement  long . peut mieux faire , la pub coute chere !</t>
  </si>
  <si>
    <t>Mgen</t>
  </si>
  <si>
    <t>15/08/2021</t>
  </si>
  <si>
    <t>bg1952-108602</t>
  </si>
  <si>
    <t>Merci pour les réponses que m'a apportée  Lamia hier lors de notre échange téléphonique. Ecoute et précision des réponses n'on satisfait. Je recommanderai, si nécessaire, cette mutuelle à mes proches.</t>
  </si>
  <si>
    <t>Santiane</t>
  </si>
  <si>
    <t>31/03/2021</t>
  </si>
  <si>
    <t>shoka-98968</t>
  </si>
  <si>
    <t>Très disponible pour les souscriptions d'assurance mais dès qu'il s'agit de résilier plus personne. On vous envoie un échéancier sans détailler le calcul et on vous prélève impunément jusqu'à date anniversaire du contrat alors que la loi a changé.
On vous invite à venir procéder à des résiliations "à l'amiable" en agence mais les horaires vous impose de vous mettre en congé.
A fuir. Il y des assurances moins chères. La qualité de leur service ne justifie en rien leurs tarifs.</t>
  </si>
  <si>
    <t>aceitachi-105422</t>
  </si>
  <si>
    <t>Je vous déconseille de souscrire chez direct assurance. Il y a des franchises partout et il ne vous le dise pas, quand à la communication n'en parlons pas. Vous payez juste pour une protection en cas d'accident car tout le reste sera à vos frais. Je vais tout faire pour degager de chez eux le plus rapidement. Quand à la baisse du prix de l'assurance chaque année, il est évident que cela risque de ne jamais arriver. Une assurant minable</t>
  </si>
  <si>
    <t>04/03/2021</t>
  </si>
  <si>
    <t>chloebld-58931</t>
  </si>
  <si>
    <t>Comment décrire ce soi-disant "assureur"... un seul mot me vient "mauvaise foi". Ils ont refusé ma résiliation sous prétexte que la signature électronique peut être refusée (alors que j'ai signé moi même le contrat par une signature électronique, une blague ahah). Or après avoir pris contact avec les services de la poste et m'être informée sur l'état du droit positif, je ne peux que dire que c'est aujourd'hui être hors la loi que de refuser une résiliation sous cette forme. Et surtout n'essayez pas de prendre contact avec leurs services, ils vous feront croire à une panne informatique pour ne pas traiter votre demande. Je rajouterait que l'"assuré" peut se sentir harcelé car j'ai quand même reçu en deux jours 4 fois le même courrier m'indiquant que ma demande de résiliation était refusée. De plus, quand j'ai appelé leurs services, on m'a donné deux justifications différentes: une fois, c'était parce que la signature électronique était refusée et l'autre fois, ô surprise, parce qu'il n'y avait pas la mention légale de signature électronique en bas du courrier (donc finalement la signature électronique est acceptée??? quoi qu'il en soit, je peux assurer, preuve à l'appui, que cette mention y est). Je propose donc à toute personne dans la même situation que moi (car on est beaucoup je n'en doute pas) de venir s'unir à moi, pour commencer ne jamais s'engager avec eux, pour ne pas les laisser continuer leur petite entreprise fort profitable.</t>
  </si>
  <si>
    <t>18/11/2017</t>
  </si>
  <si>
    <t>01/11/2017</t>
  </si>
  <si>
    <t>mohamed-ali-k-126965</t>
  </si>
  <si>
    <t>Bonjour je suis très satisfait du prix et de la clientèle je suis contente de faire parti de cher vous je recommande à tous le monde de souscrire cher direct assurance cordialement</t>
  </si>
  <si>
    <t>07/08/2021</t>
  </si>
  <si>
    <t>tommy-p-127971</t>
  </si>
  <si>
    <t xml:space="preserve">Je suis satisfaite des tarifs qui sont très attractifs, ont peux y choisir plusieurs options à moindre coup. Je suis contente. A voir maintenant sur le long terme et les réel garantie </t>
  </si>
  <si>
    <t>doudou-68847</t>
  </si>
  <si>
    <t>L'assurance est avant tout un service client et à ce titre de nos jours il serait bon que AXA s'intéresse à la customer experience.
Première histoire désagréable lorsque cet été sur la route des vacances, notre C8 tombe en panne à Lyon. L'assistance AXA se montre incapable de trouver une solution viable pour rendre le service garanti c'est-à-dire finir notre parcours jusqu'au lieu de vacances. Pour une famille avec les parents et 4 enfants et donc pas mal de bagages, on nous propose un modèle de voiture trop petit en location et un voyage découpé entre taxis, deux locations, et ... prendre le ferry à pied pour la Corse : très pragmatique! Nous avons du trouver nous même une location à un prix sans doute 4 fois plus avantageux que ce parcours du combattant! Aujourd'hui plusieurs mois plus tard, on attend toujours le remboursement !!
Deuxième expérience malheureuse qui démarre le WE dernier où malheureusement nous percutons un sanglier sur l'Autoroute! C8 à nouveau HS.  Heureusement pas de blessé, sauf pour la pauvre bête bien sur.  Pour espérer une réparation rapide du véhicule, tout commence par l'expertise ... oui mais toujours pas de dispo d'expert après presque une semaine! Pas de problème, AXA va nous prêter un véhicule ... et voilà qu'on nous propose une citadine 4 places pour compenser notre C8 7 places. Bah voyons, pratique pour le départ en WE en famille !! Dois je dire merci ?  Le gabarit du véhicule vous est très utile pour calculer le montant de l'assurance, tout de suite un peu moins pour comprendre notre vie au quotidien et notre besoin.
Service client et assistance : c'est 0 étoile, même pas une.</t>
  </si>
  <si>
    <t>23/11/2018</t>
  </si>
  <si>
    <t>eddy13-96543</t>
  </si>
  <si>
    <t>Bonjour
Mon mécontentement est largement justifié.
En effet un sinistre du 01 juillet 2020, et dont ARPIL et ALLIANZ me baladent .
Petit rappel des faits:
01 juillet 2020 : vol de mon véhicule.
Courant octobre 2020 : confirmation et signature de la proposition.
02 novembre 2020 : confirmation du versement de l'indemnisation mais problème de RIb
30 novembre 2020 : appel pour avoir un renseignement sur mon indemnisation, et découverte que mon véhicule a été retrouvé le 16 septembre.
31 novembre 2020 : déplacement au commissariat pour récupérer le PV de découverte, et aussi surprise mon véhicule n'est plus à mon nom mais au nom de ALLIANZ.
courant décembre 2020 : désaccord concernant les frais de gardiennage. 
Janvier 2020 : prise en charge des frais de gardiennage par Allianz .
Depuis on me balade d'un gestionnaire à un autre . D'un incompétent à un autre . 
Aucun respect envers les clients , la seule chance c'est de ne pas se retrouver en face d'un gestionnaire,  car vu le manque de respect envers moi est très justifié,  mon  non-respect envers ses gesticulations le sera tout ai temps.
C'est pourquoi,  sachez que je ne contacterai aucun  médiateur,  car un dépôt de plainte a été fait. 
Cele ne peut continuer . C'est pourquoi des associations d'aide aux consommateurs à été contacté pour être partie civile .
Cdlt .</t>
  </si>
  <si>
    <t>18/05/2021</t>
  </si>
  <si>
    <t>ab-139056</t>
  </si>
  <si>
    <t>Bonsoir
Pouvez-vous me dire si c'est normal d'attendre plus de 26 jours et à ce jour je ne suis toujours pas rembourser???
il y a deux semaine, ont me disais que j'allais être rembourser mais toujours rien
merci de me répondre</t>
  </si>
  <si>
    <t>05/11/2021</t>
  </si>
  <si>
    <t>keethan-94232</t>
  </si>
  <si>
    <t>Je suis satisfait des services et des prix proposés par l’assureur. Les prix sont abordables et les options sont clairs. Je recommanderai cet assureur à un ami</t>
  </si>
  <si>
    <t>16/07/2020</t>
  </si>
  <si>
    <t>leriri-89932</t>
  </si>
  <si>
    <t>A fuir absolument, impossible à joindre, tu résilies tu as la lettre de confirmation et ils continuent à te réclamer.</t>
  </si>
  <si>
    <t>26/05/2020</t>
  </si>
  <si>
    <t>fab-108158</t>
  </si>
  <si>
    <t>Assureur militant ?
Je viens de me faire percuté par l arrière en vélo par une personne agée en voiture qui n'avait pas vu ! police, pompier, constat, ( reconnu 100% victime ).
J appelle le lendemain la maif ( Assurance RC et habitation ).
REFUS de prise en charge , je dois me débrouiller seul ( je suis dans mon lit difficile de bouger a cause des contusion et courbature ) avec l assurance GMF de la conductrice fan de Gilbert Montagné.
Je n a que la couverture de base RC, donc même victime a 100% vous êtes seul.
Seul a devoir défendre ses droits, vélo détruit , blessé ... seul.
L assurance de la partie adverse m a semblé plus humaine et m a indiquer les démarches.
La conductrice elle pourra reprendre son volant sans problème, la prochaine fois ce sera peut etre un enfant ... j espere pas assuré a la MAIF !</t>
  </si>
  <si>
    <t>26/03/2021</t>
  </si>
  <si>
    <t>jeangrand-i-126189</t>
  </si>
  <si>
    <t>J’ai commencé à faire des devis sur le site puis ai finalisé le 2ème contrat que j’ai pris chez eux, par téléphone, très rapide, peu d’attente, conseiller très aimable avec une belle voix haute et claire ??</t>
  </si>
  <si>
    <t>julien-d-131340</t>
  </si>
  <si>
    <t xml:space="preserve">le devis est facile à obtenir, le tarif est  bien placé, simplicité pour souscrire, que demande le peuple. A voir dans le temps l'évolution tarifaire et en cas de sinistre ou d'assistance (ce que je ne souhaite pas) la facilité des démarches.
</t>
  </si>
  <si>
    <t>05/09/2021</t>
  </si>
  <si>
    <t>crisbe-138385</t>
  </si>
  <si>
    <t>Un versement aux Impôts a été effectué par erreur par les services de Generali et ce malgré de nombreux mails, documents et autres preuves les avertissant d'un doublon.
Les services concernés n'ont jamais répondu aux mails, ni aux RAR qui leur on été adressés afin de corriger leur grossière erreur.
Ils ont donc prélevé une partie de mon épargne alors qu'ils étaient prévenus en amont plusieurs mois auparavant qu'un  montant avait d'ores et déjà été prélevé sur mon compte courant (contestation parallèle en cours auprès des Impôts suite à une amende non justifiée pour laquelle j'ai obtenu l'annulation). PAS UN MOT D'EXCUSE, NI D'EXPLICATION malgré une ancienneté de près de 20 ANS!!!
A EVITER, A FUIR : en cas de problèmes, vous n'aurez pas d'interlocuteurs ! Seulement un répondeur anonyme qui bloque tous vos appels.</t>
  </si>
  <si>
    <t>Generali</t>
  </si>
  <si>
    <t>27/10/2021</t>
  </si>
  <si>
    <t>raso-d-132102</t>
  </si>
  <si>
    <t>Super merci je recommande je pense faire suivre le reste de mes contrats 2ème voiture habitation mutuelle et je parlerai autour de moi mon expérience avec l olivier</t>
  </si>
  <si>
    <t>09/09/2021</t>
  </si>
  <si>
    <t>mm-58659</t>
  </si>
  <si>
    <t>A éviter. La qualité du service client laisse vraiment à désirer. D'un point de vue tarif, ce ne sont pas les plus compétitifs (AA est un courtier et non une compagnie d'assurance, donc une part des commissions lui est donc rétrocédée). Attention aux frais de résiliation. Pour ma part, on m'a signifié que mon dossier était complet, puis au dernier moment, lorsque la validité de la carte verte provisoire arrivait à son terme, AA m'informe qu'il ne souhaite plus donner suite au contrat, les frais de résiliation restant bien entendu à ma charge, tout ça avec l'aval de l'ACPR et de la FFA, bien sûr. Heureusement que le client reste le point centrale dans les stratégies des compagnies d'assurance et des courtiers, et que les régulateurs y sont bienveillants...</t>
  </si>
  <si>
    <t>07/11/2017</t>
  </si>
  <si>
    <t>glimmerman-63016</t>
  </si>
  <si>
    <t xml:space="preserve">Assuré chez eux depuis 2013, j'en ai pas des choses positives à pointer. </t>
  </si>
  <si>
    <t>06/04/2018</t>
  </si>
  <si>
    <t>01/04/2018</t>
  </si>
  <si>
    <t>bian-m-137942</t>
  </si>
  <si>
    <t>Prix très intéressants, défiants toute concurrence
Souscription très simple et rapide, démarches automatiques très intuitives 
Très satisfait de mon nouveau contrat</t>
  </si>
  <si>
    <t>21/10/2021</t>
  </si>
  <si>
    <t>alexandre-c-114657</t>
  </si>
  <si>
    <t xml:space="preserve">L assurance voiture la moins chère que je connaisse très rapide pour une souscription en ligne, très bien expliqué
résilient eux même l'ancien contrat </t>
  </si>
  <si>
    <t>belaid-z-111921</t>
  </si>
  <si>
    <t xml:space="preserve">Je suis satisfait du service que je trouve relativement rapide et assez simple maintenant reste à savoir que rien ne remplace un contact humain . cordialement </t>
  </si>
  <si>
    <t>maranello92-116440</t>
  </si>
  <si>
    <t xml:space="preserve">Mutuelle à fuir !!! Aucun remboursement avant 2 à 3 mois incompétence total, joignable au téléphone au delà de 15 à 20 min d'attentes, la plateforme téléphonique vous explique qu'il remonte les informations... mais tout compte fait vous appelez le lendemain on vous dit qu'il y a aucune trace de votre appelle de la veille c'est juste incroyable </t>
  </si>
  <si>
    <t>09/06/2021</t>
  </si>
  <si>
    <t>christine-56226</t>
  </si>
  <si>
    <t>On vous vire sans prévenir avec 2 accidents non responsables en 3 ans.... 
On enregistre un sinistre alors que vous n'êtes plus client. Bref du jamais vu qui n'a qu'un seul objectif, vous mettre dans le pétrin....</t>
  </si>
  <si>
    <t>24/07/2017</t>
  </si>
  <si>
    <t>01/07/2017</t>
  </si>
  <si>
    <t>iulian-b-133452</t>
  </si>
  <si>
    <t xml:space="preserve">Je suis satisfait du service offert, le prix est convenable.  tout est simple et pratique.Je suis satisfait du service offert, le prix est convenable.  </t>
  </si>
  <si>
    <t>18/09/2021</t>
  </si>
  <si>
    <t>pierre-65519</t>
  </si>
  <si>
    <t>Jamais vu aussi mauvais !
Des délais à rallonge...
Des messages mensongers sur la masse de travail soudainement arrivée...
Des méthodes de travail d'un autre âge : rien par mail, tout par courrier et ensuite ils scannent !
Facile de faire des milliards de bénéfices sur notre dos !
 :-(</t>
  </si>
  <si>
    <t>CNP Assurances</t>
  </si>
  <si>
    <t>16/07/2018</t>
  </si>
  <si>
    <t>01/07/2018</t>
  </si>
  <si>
    <t>phi94--138252</t>
  </si>
  <si>
    <t xml:space="preserve">30 ans de conduite sans accident et Eurofil me résilie pour un bris de glace cette année  ! Une honte complète cette assurance, je suis assuré chez eux depuis des années avec 50% de bonus 
Et une conseillère dédaigneuse qui le dit qu’elle n’a pas à justifier cette résiliation ! Aucun respect pour le client, à fuir absolument </t>
  </si>
  <si>
    <t>25/10/2021</t>
  </si>
  <si>
    <t>patou19-105326</t>
  </si>
  <si>
    <t>L'Olivier assurance a été claire et rapide pour me donner son accord et assuré mon véhicule, n'ayant pas été assuré pendant 4 ans, pour des raisons de suspension et 
de santé, par contre, ayant mon permis depuis plus de 40 ans, n'ayant jamais eu 
d'accident responsable, ayant mes 12 points, ils auraient pu me proposer un bonus.
J'avais plus de 50% de bonus en 2016, après je n'ai plus conduit et j'ai repris en juillet 
2020. Je vais voire ce qu'il vont me proposer avant le renouvellement, si il n'y a pas 
d'effort, je demanderais ailleurs? Ce qui ne m'empèche pas de les conseillers pour le 
moment. Cordialement, Patrick BERTOLO</t>
  </si>
  <si>
    <t>03/03/2021</t>
  </si>
  <si>
    <t>alain-e-109321</t>
  </si>
  <si>
    <t>je suis satisfait des interlocutrices que j'ai eu au téléphone par leur professionnalisme et la précision et concision de leur dialogue.
Je recommande Direct Assurance</t>
  </si>
  <si>
    <t>06/04/2021</t>
  </si>
  <si>
    <t>retraite34170-51534</t>
  </si>
  <si>
    <t>Assuré au tiers depuis 5 ans, je compare les tarifs et surpris je trouve deux fois moins cher chez chez eux.Refusent évoquant la loi Chatel et  ignorant la loi Hamon.</t>
  </si>
  <si>
    <t>21/01/2017</t>
  </si>
  <si>
    <t>keanu-d-129313</t>
  </si>
  <si>
    <t xml:space="preserve">Simple, intuitif, pratique et rapide d'utilisation, tout est mise en œuvre pour pouvoir avoir accès à un devis détaillé.
Je suis satisfait des prix proposés ainsi que du service. </t>
  </si>
  <si>
    <t>24/08/2021</t>
  </si>
  <si>
    <t>philo33-86987</t>
  </si>
  <si>
    <t>Suite à une casse moteur en Espagne, j'ai été pris en charge par l'assistance AXA qui m'a mis entre les mains d'un dépanneur particulièrement désagréable et qui a profité des fatigue et panique du moment (1000 kms  de route, fille de 5 ans apeurée et un bébé de moins d'un an qui pleurait sous une chaleur écrasante, le taxi qui piétinait pour qu'on charge les bagages). Et donc à renfort de mines excédés en tapant dans ses mains pour accélérer le rythme en aboyant des ordres dans un langage que ni mon épouse ni moi ne comprenions, ce partenaire AXA m'a en toute hâte fait signer sur le capot de la voiture plusieurs documents en espagnol et s'en va avec, ne me laissant aucun double sinon une carte de visite de l'établissement.
Quelque semaines plus tard comme il n'était pas compétant pour réparer, mon véhicule me revient présentant de multiples rayures profondes, la jante AR rayée et le pare-choc AR arraché et pendant. Je me dit qu'il est assuré pour ce genre de désagrément et le signale à l'assistance d'AXA. Là, aussi honnête que sympathique, le "partenaire dépanneur" retourne un document signé de ma main certe mais rédigé sans moi, avec plusieurs encres différentes et manifestement des rajouts maladroits qui indique que le véhicule était déjà endommagé quand je lui ai confié. Il indiquait même des dégâts qui n'existent pas!!! Sidéré par cette réponse je me tourne confiant vers les services "d'assistance" AXA  qui refuse de donner le moindre crédit à mon indignation et me propose de faire une demande pour un geste commercial qui m'a été refusé. Enfin le service qualité m'a contacté et, indigné m'a encouragé a remplir un questionnaire par courriel mais la maladie et le décès dans ma famille m'ont retardé dans cette démarche et le lien est maintenant invalide. Je suis fatigué!!! 
Si quelque chose est possible.... Mille merci.</t>
  </si>
  <si>
    <t>13/02/2020</t>
  </si>
  <si>
    <t>adv-102714</t>
  </si>
  <si>
    <t>Bonjour,
extrêmement décu de cette assurance.
J'ai accident don je ne suis pas du tout responsable, je suis assuré tout risque avec pack sérénité. Je dépose ma voiture au garage partenaire pour les réparations qui sont soit disant prises en charge à 100% (je suis tout risque et non responsable,...).
2 mois après j'ai appel du garage me demandant de règler 1000€ pour l'attelage car accessoire, l'assurance refuse de rembourser, donc je dois payer.... En bref, ils ont essayé de me soutirer 1000€, il a fallut que je me batte et que je m'énerve au téléphone pour avoir gain de cause ==&gt; fuyez !!! En tous cas cette tentative malsaine ne restera pas impunie!!!! Ils ont perdu un client et je compte bien continuer à leur faire bonne presse!!!</t>
  </si>
  <si>
    <t>15/01/2021</t>
  </si>
  <si>
    <t>sam-92198</t>
  </si>
  <si>
    <t>Je dois bien lire le devis , et prendre ma décision , en un seul cluc jaieu les renseignements que je voulais savoir .
Rapidité et efficacité , rien à signaler de plus .</t>
  </si>
  <si>
    <t>25/06/2020</t>
  </si>
  <si>
    <t>01/06/2020</t>
  </si>
  <si>
    <t>sergen-c-131153</t>
  </si>
  <si>
    <t>PRIX NON EXCESSIF PAR RAPPORT AU MARCHE, SIMPLE ET RAPIDE D'UTILISATION ET DE SOUSCRIPTION, il y a un large choix de garantie proposé, inscription ergonomique et clair</t>
  </si>
  <si>
    <t>03/09/2021</t>
  </si>
  <si>
    <t>zuniga-j-110157</t>
  </si>
  <si>
    <t xml:space="preserve">Le site internet est parfois un peu lent (ou ne répond pas)
Mais tout y est lisible et très efficace, les rubriques sont claires et rapides
ne changez rien sauf ce qui est de l'optimisation (éventuellement)
</t>
  </si>
  <si>
    <t>12/04/2021</t>
  </si>
  <si>
    <t>nedelec-t-121320</t>
  </si>
  <si>
    <t>En tout cas au téléphone les commerciaux sont clair et convainquant, à l'écoute. En espérant ne pas avoir de problème avec le véhicule si je dois faire appel à l'assurance j'espère le SAV aussi compétent.</t>
  </si>
  <si>
    <t>26/06/2021</t>
  </si>
  <si>
    <t>damsbdx-74818</t>
  </si>
  <si>
    <t>Une assurance de champions de l'organisation!</t>
  </si>
  <si>
    <t>06/04/2019</t>
  </si>
  <si>
    <t>01/04/2019</t>
  </si>
  <si>
    <t>lilidu62-52808</t>
  </si>
  <si>
    <t>Bonjour ayant reçu ma nouvelle échéance,je m'aperçois que la cotisation annuelle de référence, soumise au bonus malus a augmenté de 24,29 euros par rapport a l'année dernière et que donc le calcul de la cotisation annuelle de référence , après application du bonus malus est donc lui aussi augmenté de ce fait.
Comment cela fait il d'augmenté la cotisation annuelle comme sa?
En attente d'une réponse, merci.</t>
  </si>
  <si>
    <t>27/02/2017</t>
  </si>
  <si>
    <t>01/02/2017</t>
  </si>
  <si>
    <t>zeropointe00-52400</t>
  </si>
  <si>
    <t>SERVICE SINISTRE DEPLORABLE - AUCUN SERIEUX</t>
  </si>
  <si>
    <t>14/02/2017</t>
  </si>
  <si>
    <t>etienne-100808</t>
  </si>
  <si>
    <t>Il m'a été impossible d'arrêter mon assurance logement lorsque je résidais en Belgique, 
le contrat a été arrêté de lui même car je refusais de payer mon un logement dans lequel je ne vivais plus depuis 6 mois.
Après plusieurs appels et mails expliquant mon problème, une entreprise de rachat de dette m'a envoyé une lettre.
Une bonne assurance c'est celle que l'ont peut arrêter de payer quand on en a plus besoin.</t>
  </si>
  <si>
    <t>30/11/2020</t>
  </si>
  <si>
    <t>ducrot-d-139654</t>
  </si>
  <si>
    <t>Je suis satisfait des conseillés et des explications qui ont été donné! Je m'attendais à un peu moins cher au niveau des franchises mais dans l'idée c'est pas mal</t>
  </si>
  <si>
    <t>laroche-f-137599</t>
  </si>
  <si>
    <t>tres bon service relationnel, à l'écoute et avec de bon conseil
des prix tres abordable
les commerciaux connaissent bien leur sujet et repondent en tout franchise et honneteté</t>
  </si>
  <si>
    <t>16/10/2021</t>
  </si>
  <si>
    <t>celine-r-130147</t>
  </si>
  <si>
    <t>Simple, pratique, immédiat, je suis satisfaite du service en ligne de direct assurance. j'ai pu assurer mon véhicule rapidement en quelques clicks. je recommande</t>
  </si>
  <si>
    <t>30/08/2021</t>
  </si>
  <si>
    <t>sebjunior33230-89883</t>
  </si>
  <si>
    <t xml:space="preserve">Après de nombreuses années d'assurances chez axa, avec de nombreux contrat, de déception en déception, hausse des tarifs, moins de prises en charges, pas de suivi client, remboursement long.... </t>
  </si>
  <si>
    <t>24/05/2020</t>
  </si>
  <si>
    <t>marie-m-103225</t>
  </si>
  <si>
    <t xml:space="preserve">le service me convient
 il est facile d'utilisation, les prix sont compétitifs
rapide, on a une réponse très vite.
on peut être rappelé par l'assureur choisi
Je recommande </t>
  </si>
  <si>
    <t>samsuffit-50798</t>
  </si>
  <si>
    <t>Cette mutuelle est la pire que l'on puisse trouver sur le marché et même quand on veut la quitter, ils cherchent à vous extorquer et vous empêche la résiliation!</t>
  </si>
  <si>
    <t>30/12/2016</t>
  </si>
  <si>
    <t>01/12/2016</t>
  </si>
  <si>
    <t>karinne-128486</t>
  </si>
  <si>
    <t>Très mécontent du service rapatriement 
6 heures d attente pour avoir une solution pas de taxi pour aller chercher la voiture de prêt et un véhicule trop petit pour 3 adultes et des bagages une 106 
Je ne recommande pas la gmf</t>
  </si>
  <si>
    <t>18/08/2021</t>
  </si>
  <si>
    <t>ozack-67147</t>
  </si>
  <si>
    <t xml:space="preserve">Documents envoyés par courrier en recommandé, non reçu, renvoi par email, puis directement sur le site. Contrat souscrit en date du 25 aout, résilié de leurs part en date du 26/08/18. Au vu des commentaires, ils m'ont résilié, gardé un mois pour l'assurance et les frais de dossier. Je suis du coup en attente du remboursement de la différence sur mon compte, nous verrons bien, service téléphonique à fuir. </t>
  </si>
  <si>
    <t>27/09/2018</t>
  </si>
  <si>
    <t>01/09/2018</t>
  </si>
  <si>
    <t>camisanegra-57072</t>
  </si>
  <si>
    <t>comment se faire flouer par votre propre assureur depuis 15 ans. Changer de véhicule sans avoir vendu l'autre!!! on ne vous propose pas un avenant mais un nouveau contrat !! Impossible à résilier dans les 30 jours qui suivent. Il faut attendre 1 an malgré les différentes lois "Chatel; Hamon" . J'ai proposé de régler la totalité de ma prime pour être dégagé immédiatement même cela on me l'a refusé.</t>
  </si>
  <si>
    <t>04/11/2017</t>
  </si>
  <si>
    <t>nacri-130535</t>
  </si>
  <si>
    <t xml:space="preserve">Delai trop long, pouvant laisser l'adhérent dans une situation financière critique
On peut joindre les documents que feuille par feuille , pas vraiment simple
En espérant contribuer à l'amélioration de vos services
Bien cordialement
Nadia </t>
  </si>
  <si>
    <t>philippe-76588</t>
  </si>
  <si>
    <t>Le tarif est bas uniquement la première année. 2ème année: +10%. 3ème année: +30%! Soit plus de 40% d'augmentation en 2 ans avec un véhicule qui perd de la valeur et un bonus de 50% depuis plus de 15 ans. Tout cela sans aucun sinistre déclaré. Je n'ose même pas imaginer l'évolution du montant de la prime avec un sinistre responsable. Ils peuvent bien garantir le bonus 50% à vie, vu que leur tarif explose d'année en année bien au delà de l'inflation. Pour finir, le montant de la prime augmente bien plus que la baisse de la franchise de 30%.</t>
  </si>
  <si>
    <t>jos-137934</t>
  </si>
  <si>
    <t>Ce jour j ai eu recours à un conseiller MGP. Cette personne, Stéphanie, m'a conseillée, guidée pour des démarches afin de créer mon compte. J'ai trouvé une personne patiente, qui n'a pas lésiné sur ses explications et son temps. Je la remercie car sans elle je ne serais pas arrivée à effectuer cette démarche. Bravo et merci à la MGP pour le service rendu.</t>
  </si>
  <si>
    <t>patlr17-71456</t>
  </si>
  <si>
    <t>Lors des discussions préalables à aucun moment le service client m'a informé d'un délai de carence de 3 mois sur l'optique et le dentaire ni m'a informé que j'étais compatible avec la suppression de ce délai de carence (même groupe assureur Malakoff Médéric et même niveau de remboursement sur l'optique. J'invite donc les internautes à éviter Santiane pour son manque de professionnalisme complet.</t>
  </si>
  <si>
    <t>21/02/2019</t>
  </si>
  <si>
    <t>01/02/2019</t>
  </si>
  <si>
    <t>elsa-tenaillon-110249</t>
  </si>
  <si>
    <t>Bonjour, Après 5 ans d'ancienneté avec cette assurance pour mes voitures, motos de toutes la famille, victime d'un cambriolage avec effraction de ma propriété privée avec vole de véhicule et aucune prise en charge même pas un geste commerciale, scandaleux ! Je me demande pour quoi on est assuré ?? Je trouvais que c'était une bonne assurance, bon contact et bon suivi, j'avais même incité mon conjoint à prendre toutes ses assurances à la Matmut et je réalise avec beaucoup de naïveté, que ce n'est qu'une entreprise comme les autres pour qui ne compte que la rentabilité. Ça coute moins cher de prendre un client que de l'indemniser. Résiliation complète sans regret. En résumé Matmut déplorable en cas de besoin.</t>
  </si>
  <si>
    <t>13/04/2021</t>
  </si>
  <si>
    <t>monblus-h-138134</t>
  </si>
  <si>
    <t>JE SUIS SATISFAIT DE L'INTERFACE ET LA FACILITEE D'ENGAGEMENT.
LES TARIFS APPLIQUES SONT BIEN EN DESSOUS DU MARCHE ET LES GARRANTIES PROPOSEES SATISFAISANTES</t>
  </si>
  <si>
    <t>23/10/2021</t>
  </si>
  <si>
    <t>dominique-m-121961</t>
  </si>
  <si>
    <t>je suis satisfait des prix, de la relation avec mon conseillé, de la facilite de joindre un conseillé pour un problème, et de la modernité de la GMF [internet)</t>
  </si>
  <si>
    <t>nicolas-d-108894</t>
  </si>
  <si>
    <t>On peut souscrire une offre au téléphone en 5min, en revanche lorsqu'il s'agit de résilier c'est un chemin de croix. Mon véhicule est vendu depuis Aout 2020 et je ne parviens toujours pas à résilier, un scandale.</t>
  </si>
  <si>
    <t>02/04/2021</t>
  </si>
  <si>
    <t>louise-c-128909</t>
  </si>
  <si>
    <t>Très satisfaite des prix proposée et de la possibilité de créer son pack assurance soi même. Les prix sont très très raisonnables, en attente de voir la rapidité des services si jamais il nous arrive quelque chose !</t>
  </si>
  <si>
    <t>21/08/2021</t>
  </si>
  <si>
    <t>laurent-m-123358</t>
  </si>
  <si>
    <t xml:space="preserve">Je ne suis pas satisfait de la relation inexistante que j'ai avec mon conseillé. Pas  moyen de vous joindre pour poser une question. Il faut passer par un cheminement de proposition de sujet qui ne correspondent pas a mon besoin. Je viens de déclarer un sinistre vendredi dernier qui n' a pas été pris en compte puisque je n'arrive pas a retrouver cette déclaration sur votre site  </t>
  </si>
  <si>
    <t>13/07/2021</t>
  </si>
  <si>
    <t>mario-c-105835</t>
  </si>
  <si>
    <t xml:space="preserve">Bien ,quelque petite choses a faciliter : ajouter une conduite accompagner, dépannage,véhicule de prêt . mais bien dans l'ensemble. je recommanderais </t>
  </si>
  <si>
    <t>08/03/2021</t>
  </si>
  <si>
    <t>txistou33-74688</t>
  </si>
  <si>
    <t>Ma fille a souscrit un contrat il y a un an. Elle est en arrêt maladie depuis 8 mois. Allianz lui demande une modification de contrat rayant ses affections afin de ne plus payer d'IJ. Ou alors radiation au fait que son contrat n'a pas deux ans. Cette clause est elle légale ?</t>
  </si>
  <si>
    <t>02/04/2019</t>
  </si>
  <si>
    <t>foufoune-75455</t>
  </si>
  <si>
    <t>Tres bon assureur,je le conseille vivement</t>
  </si>
  <si>
    <t>28/04/2019</t>
  </si>
  <si>
    <t>philippe-c-134572</t>
  </si>
  <si>
    <t>Je suis satisfait, Merci pour l'enregistrement. je m'occupe rapidement de vous envoyer mes pièces justificatives. et je reste v-bien sur à votre disposition</t>
  </si>
  <si>
    <t>26/09/2021</t>
  </si>
  <si>
    <t>marlene66-90902</t>
  </si>
  <si>
    <t>Tout est Parfait,
Devis facile à faire
Maintenant il ne me reste qu’à réfléchir pour changer ou non d’assurance 
J’espère ne pas être appeler pour l’instant !</t>
  </si>
  <si>
    <t>15/06/2020</t>
  </si>
  <si>
    <t>martinet-j-135354</t>
  </si>
  <si>
    <t>Service client très aimable et compétant au téléphone, prix plus bas que la concurrence.
Il s'agit d'une assurance , on va voir par la suite comment c</t>
  </si>
  <si>
    <t>ben-134335</t>
  </si>
  <si>
    <t>Je déclare un sinistre sur éclat/vitre de salon,j envoi deux photos des éclats et le devis de l artisant qui a posé mes fenêtres ,la MAIF ,elle ,a son expert qui fait des calculs du sinistre a distance sans se déplacer selon un bareme établi par MAIF /ses prestataires artisant.resultat ,mon devis est trop cher pour eux ,je dois payer la différence entre mon devis et devis MAIF,on nous impose leur prestataire sinon tu payes la différence..
Reste en plus la franchise à payer que tu prennes ton artisant ou le leur.
On paye des cotisations assez élèvees à notre assurance mais pour nous rembourser un sinistre de moins de 1000 euros il n y a personne Juju,moins il donne plus ils sont contents,</t>
  </si>
  <si>
    <t>24/09/2021</t>
  </si>
  <si>
    <t>berk-76717</t>
  </si>
  <si>
    <t xml:space="preserve">assuré chez axa depuis plus de 20ans sans accident
Je me fait percuter par une voiture je ne suis pas en tort et pour remèttre mon véhicule conforme ainsi que ma remorque je doit débourser 250 euro Mon véhicule passé au controle technique il y a 3mois zéro défaut JE demande que l'on me rende ma voiture et ma remorque a l'identique avant accident
sans avoir a rajouter de l'argent  L'expert juge tranche le bon dieu   et nous on paye     </t>
  </si>
  <si>
    <t>12/06/2019</t>
  </si>
  <si>
    <t>enjalbert-j-133165</t>
  </si>
  <si>
    <t>Pour l'instant c'est bien, on verra s'il y a des augmentations chaque année ou si jamais il y a un sinistre. Le dépôt des documents est simple, c'est bien.</t>
  </si>
  <si>
    <t>17/09/2021</t>
  </si>
  <si>
    <t>rando-de-felice-j-139566</t>
  </si>
  <si>
    <t xml:space="preserve">Des professionnels. Un contacte rapide, une explication clair et des collaborateurs avec compétences ainsi que des prix compétitifs défiant
toute concurrence. </t>
  </si>
  <si>
    <t>13/11/2021</t>
  </si>
  <si>
    <t>sophiel-57261</t>
  </si>
  <si>
    <t>Très déçue des pratiques de la MACIF ! Victime d'un cambriolage le mois dernier, j'ai eu la triste surprise d'apprendre que mes biens mobiliers (un vol de près de 2000€) n'étaient pas couverts pas mon assurance habitation. Seuls les biens immobiliers l'étaient en cas de vol ! Fallait-il encore savoir que l'assurance d'une habitation principale pouvait ne couvrir que l'immobilier... Je dénonce un défaut de conseil de la part de l'assureur. En effet, ce dernier ne m'a jamais présenté l'option à 2€ qu'il fallait souscrire pour assurer mes biens mobiliers qui m'étaient chers. Vivant dans un appartement en RDC, dans un quartier où le risque de cambriolage est élevé, il est évident que j'aurais souscrit à cette option.. Peut être une stratégie de la MACIF pour limiter les remboursements liés à des vols... Des méthodes peu scrupuleuses !</t>
  </si>
  <si>
    <t>11/09/2017</t>
  </si>
  <si>
    <t>desruol-f-110602</t>
  </si>
  <si>
    <t>je trouve qu'un rappel aurait été bien, car je ne m'étais pas aperçu que le contrat n'était pas signé ! et quelqu'un pour m'accompagner sur le site : merci</t>
  </si>
  <si>
    <t>16/04/2021</t>
  </si>
  <si>
    <t>hugo-63820</t>
  </si>
  <si>
    <t>Je viens juste de démarrer une assurance auto avec l'Olivier: le contrat ne mentionne pas les packs optionnels choisis (notamment le véhicule de prêt), le système de connexion à son espace client ne marche pas (pas de mot de passe envoyé), obligation de prélèvement SEPA : ce qui est illégal puisqu'au moins deux paiements doivent être proposés: que des déceptions !</t>
  </si>
  <si>
    <t>guy-douzet-131651</t>
  </si>
  <si>
    <t xml:space="preserve">Le contact (EMELINE) que j'ai eu avec mon assurance c'est fait très clairement et ma donné toute satisfaction.
A ce jour j'ai reçu que des réponses favorables à mes demandes.
J'espère vraiment que ça dure comme ça encore longtemps.
</t>
  </si>
  <si>
    <t>07/09/2021</t>
  </si>
  <si>
    <t>mag-091-59043</t>
  </si>
  <si>
    <t xml:space="preserve">C'est une bonne assurance pour ceux qui ne déclarent aucun sinistre (incluant ceux non responsables!). C'est inadmissible </t>
  </si>
  <si>
    <t>22/11/2017</t>
  </si>
  <si>
    <t>loic-l-116463</t>
  </si>
  <si>
    <t>Je n'ai toujours eu que cette assurance pour mes motos. j'en suis très satisfait. Tant au niveau tarif qu'à la qualité des réponses fournies lorsque j'en ai eu besoin.</t>
  </si>
  <si>
    <t>manue-138868</t>
  </si>
  <si>
    <t>Super assurance . Super accueil au téléphone. Application et site internet super avec envoi des factures par ce biais. Remboursement très rapide. Je larecommande</t>
  </si>
  <si>
    <t>Génération</t>
  </si>
  <si>
    <t>03/11/2021</t>
  </si>
  <si>
    <t>josie31-81567</t>
  </si>
  <si>
    <t>Mutuelle A EVITER. Ma Belle mère 88 ans et avec une petite retraite a du attendre le 02/12/2019 pour être réglée de 680 euros suite à un accident du 08/01/2018 soit presque 2 ans.  Elle a eu un nouvel accident le 02/07/2019 et la MGEN lui doit toujours dans les 500 euros. Nous n arrêtons pas d envoyer des courriers des mails des messages sur leur site et de les appeler. On nous rappelle on nous promet mais rien n arrive. Trop d'interlocuteurs qui ne sont pas au courant qui vous redemandent 10 fois les mêmes informations et les mêmes documents que nous renvoyons. On dirait que cette structure fait tout pour ne pas payer.</t>
  </si>
  <si>
    <t>04/12/2019</t>
  </si>
  <si>
    <t>william-p-122417</t>
  </si>
  <si>
    <t>je suis satisfait des prix, en espérant que s'il y a un problème cela se passe aussi bien qua la souscription.Et que les formalité soit aussi facile .</t>
  </si>
  <si>
    <t>05/07/2021</t>
  </si>
  <si>
    <t>anibal-m-108981</t>
  </si>
  <si>
    <t xml:space="preserve">je suis satisfait de l assurance au niveau des garanties et du prix et votre site internet ai accessible a toutes personnes et clair je recommanderais votre assurance a mon cercle d amies </t>
  </si>
  <si>
    <t>robert-charles-amand-e-133860</t>
  </si>
  <si>
    <t>Je suis satisfait de ce service jusqu'à présent et j'espère qu'il sera aussi facile à utiliser en cas de problème ou si vous avez besoin de votre aide. J'espère qu'il n'y aura pas besoin de l'utiliser. J'espère que YouDrive réduira mon coût mensuel.</t>
  </si>
  <si>
    <t>21/09/2021</t>
  </si>
  <si>
    <t>bryan-g-117563</t>
  </si>
  <si>
    <t xml:space="preserve">Bien je recommande . Prix abordable. 
Super super super bien . 
A voir par la suite 
Hâte de voir si c’est aussi bien par la suite . 
Je recommande a mon entourage </t>
  </si>
  <si>
    <t>18/06/2021</t>
  </si>
  <si>
    <t>you-59824</t>
  </si>
  <si>
    <t>J'ai appelé pour une demande de prise en charge urgente, on m'a répondu que le délais de réponse suite à envoi d'un devis était de 15 jours, je voulais poser d'autres questions, on m'a raccroché au nez, obligé d'attendre ENCORE 10 minutes pour pouvoir avoir une autre personne, tout aussi agréable.
Je trouve qu'au vu du prix de cette complémentaire, il y a beaucoup à améliorer.</t>
  </si>
  <si>
    <t>20/12/2017</t>
  </si>
  <si>
    <t>sebastien-a-133447</t>
  </si>
  <si>
    <t xml:space="preserve">Le prix est très correct 
Le site internet est pratique et rapide . 
Je suis  satisfait de l offre proposée par april. 
En plus april est partenaire de johann zarco que je suis tout les week end. 
</t>
  </si>
  <si>
    <t>missdidine--117017</t>
  </si>
  <si>
    <t>Une très mauvaise mutuelle déjà pour les appeler c'est très compliqué il répond jamais une fois que tu les as au téléphone pour faire un devis sur une paire de lunettes ah non on trouve pas cette personne là. prélever ils savent mais pour le reste ça vaux rien je le déconseille vivement</t>
  </si>
  <si>
    <t>Cegema Assurances</t>
  </si>
  <si>
    <t>14/06/2021</t>
  </si>
  <si>
    <t>elishabeth-m-132706</t>
  </si>
  <si>
    <t xml:space="preserve">Le pack sérénité est une formule qui me
Permets d’assurer mon nouveau véhicule n’ayant pas conduit depuis plusieurs années je suis considéré de nouveau jeune conducteur et cela augmente considérablement les tarifs du coup cette formelle est vraiment idéale pour bénéficier d’une assurance e à prix raisonnable merci Direct Assurance </t>
  </si>
  <si>
    <t>13/09/2021</t>
  </si>
  <si>
    <t>dudu-79016</t>
  </si>
  <si>
    <t>Encore une assurance qui fait tour pour ne pas rembourser</t>
  </si>
  <si>
    <t>06/09/2019</t>
  </si>
  <si>
    <t>01/09/2019</t>
  </si>
  <si>
    <t>eric-g-105642</t>
  </si>
  <si>
    <t>gestion et mise en place des contrats un peu laborieux, avec des erreurs de mentions et fautes de frappes sur un des contrats souscrit. pas moins de quatre appels et quatre interlocuteurs et conseillers différents pour faire modifier les erreurs en tout 2heures au téléphone. pas trop rassuré pour mon début chez direct assurance.</t>
  </si>
  <si>
    <t>05/03/2021</t>
  </si>
  <si>
    <t>andre-92683</t>
  </si>
  <si>
    <t>les prix sont correcte, j'attend de voir les franchises elle n'apparaissent pendant la saisie des informations, j'espère les trouver dans le devis....</t>
  </si>
  <si>
    <t>29/06/2020</t>
  </si>
  <si>
    <t>nicolas-r-130540</t>
  </si>
  <si>
    <t xml:space="preserve">Satisfait simple et rapide je vous recommanderais content à très vite bonne journée prix raisonnable joignable à tous instants merci pour tout à bientôt bonne journée </t>
  </si>
  <si>
    <t>xxxlamiss63xxx-57655</t>
  </si>
  <si>
    <t>Mauvais assurance refuse de m'assurer mais me prélève 90 euro pour les frais de dossiers et seulement 20 jours d'assurance 90 euro c'est pas rien!.Même pas un geste commercial que du négatif.</t>
  </si>
  <si>
    <t>28/09/2017</t>
  </si>
  <si>
    <t>swebz-78828</t>
  </si>
  <si>
    <t xml:space="preserve">A FUIR
Service client impoli
notamment au service des paiements
incapable d'appliquer un changement de RIB
Ça les arrange
 paiement refusé
demande de paiement intégral
on vois le vice de cette compagnie
1ère année terminée
départ le mois prochain </t>
  </si>
  <si>
    <t>30/08/2019</t>
  </si>
  <si>
    <t>jojo13-61398</t>
  </si>
  <si>
    <t>Nul pour payer pas de problème le jour où vous avez un problème gestion par téléphone horrible prennent les gens de haut raconte chacun des choses différentes et du coup aucune réponse réel ils font tirer sur le temps de procédure en procédure....</t>
  </si>
  <si>
    <t>13/02/2018</t>
  </si>
  <si>
    <t>01/02/2018</t>
  </si>
  <si>
    <t>auvray-b-122163</t>
  </si>
  <si>
    <t>Depuis mes deux souscriptions pour mes deux véhicules, je suis satisfait à 100%.
Le site est simple d'utilisation et surtout très convivial.
Bien cordialement.</t>
  </si>
  <si>
    <t>02/07/2021</t>
  </si>
  <si>
    <t>jeremy-f-128648</t>
  </si>
  <si>
    <t xml:space="preserve">Très satisfait du service.
Rapidité et facilité de l'adhésion.
Prix et garanties très compétitives.
Bonne ergonomie / interface du site pour l'adhésion
</t>
  </si>
  <si>
    <t>19/08/2021</t>
  </si>
  <si>
    <t>?-104918</t>
  </si>
  <si>
    <t>Bonjour,
je ne compte plus les années que nous sommes moi et mon épouse à cette mutuelle, mais pour le moment nous en sommes presque satisfait.
Notre âge aidant, il serait souhaitable que certains ennuis liés à nos âges un meilleur remboursement pour les soins et prothèses dentaire.</t>
  </si>
  <si>
    <t>ansart-c-116756</t>
  </si>
  <si>
    <t xml:space="preserve">Satisfaite de l'entretien téléphonique pour la mise en place de ma souscription. 
Le conseillé a était agréable poli et très explicite. 
Après un comparatif d assurance avec les mm garantie vous étiez les moins cher. </t>
  </si>
  <si>
    <t>11/06/2021</t>
  </si>
  <si>
    <t>nesprenzo-77016</t>
  </si>
  <si>
    <t>Je pensais que cette compagnie d assurance était pas chère mais après être allé chez la GMF, je me suis rendu compte qu il était al opposé de ce que je pensais. De plus si vous êtes victime d un avp même en tant que victime, vous êtes sûr d etre perdant sur tous les points. Je déconseille fortement cette compagnie malgré les prix au prime abord. Vous serez perdant au final.</t>
  </si>
  <si>
    <t>22/06/2019</t>
  </si>
  <si>
    <t>sousou-88197</t>
  </si>
  <si>
    <t xml:space="preserve">Cliente depuis plusieurs années, bonne conductrice sans jamais de sinistre responsable. Assurance tout risque sans franchise avec carte client privilege, on me vol ma voiture et la plus personne. 
On m apprend la clause valeur à neuve non écrite sur le contrat donc 8j de prêt et pas un jour de plus. C'est même pas eux qui me le disent c'est mondial assistance 
Je les rappelle pour leur dire que la voiture a été retrouvé dans un état épave (c'est la police qui l affirme) je reçois un courrier après avoir prévenu expert qui après avoir vu la voiture sans porte ni moquette bref plus rien et qui me demande les clefs pour vérifier l effraction (chercher l erreur) enfin déçu limite c'est moi la criminelle alors que je suis victime impactée dans mon quotidien 
Aucune communication sauf par mail pour envoyer 40 document, et on me parle de faire parler des clefs électroniquement chez Renault on sait jamais et en plus les 2 clefs pour un peu qu une soit muette c'est pathetic on y croit 
Je sais qu'il y a des procédures mais il y a une manière de faire c'est pitoyable de traiter ces clients comme ça surtout dans un moment de désarroi </t>
  </si>
  <si>
    <t>10/03/2020</t>
  </si>
  <si>
    <t>01/03/2020</t>
  </si>
  <si>
    <t>mena-66591</t>
  </si>
  <si>
    <t>15% d'augmentation sur 2 ans ! sans accident avec 50% de bonus</t>
  </si>
  <si>
    <t>04/09/2018</t>
  </si>
  <si>
    <t>assur07-48752</t>
  </si>
  <si>
    <t>suite a un dégât des eaux durant plus 1 mois l assurance a indemnisé sauf que c était au propriétaire de faire les travaux appris par système juridique vu que toujours pas remboursé des éléments cuisine car un expert ne les ayant pas vu mais attestation comme il a suggérait sauf il a changé d avis et prétendant  que c'était faux sauf que témoin et il ne le savait pas , ne vérifiant pas si encore fuite ou pas , pt que pas assez payé pour se baisser et ouvrir un robinet et on le paye .axa me disant que remboursement de ma cuisine a neuf mais je n ai rien reçu et cela fait 1 an déjà.</t>
  </si>
  <si>
    <t>19/12/2018</t>
  </si>
  <si>
    <t>dimitri-c-131122</t>
  </si>
  <si>
    <t xml:space="preserve">Bien lais chère 
Il faudrait baissé le prix
Je souhaite je juste que ça ira 
Par rapport au prélèvement 
Bonne journée  merci bien ainsi va la vie 
Au revoir 
</t>
  </si>
  <si>
    <t>kelenborn-77172</t>
  </si>
  <si>
    <t>A éviter absolument: je souscris en 2018 avec une bonne couverture en dentaire. Je fais exécuter des soins en Slovaquie pour ne pas me faire détrousser par les arracheurs de dents français. April refuse le remboursement au motif qu'elle ne rembourse pas les soins à l'étranger. Position étrange ( on ne voit pas son intérêt) et surtout contraire au droit: c'est un pays de l'UE et la cour de luxembourg a jugé que les soins médicaux entraient dans la libre circulation des marchandises. S'ensuit un dialogue de sourd et surtout un refus de me communiquer les coordonnées du médiateur (pas folle la guêpe). En cours car je suis tenace mais si vous l'êtes moins que moi fuyez cette officine . pourtant il y a pire encore! c'est dire!
je donne même mes coordonnées pour qui le souhaite: evgueniesokolof@gmail.com</t>
  </si>
  <si>
    <t>27/06/2019</t>
  </si>
  <si>
    <t>corentin--91265</t>
  </si>
  <si>
    <t xml:space="preserve">Je sui satisfait 
Super accueil téléphonique à l’écoute. Prix convenable. Répond au attente du demandeur.  Tarif attractif proposition honnête. Bonne journée </t>
  </si>
  <si>
    <t>17/06/2020</t>
  </si>
  <si>
    <t>ls-136008</t>
  </si>
  <si>
    <t>je viens d'avoir en ligne ABO de SANTIANE qui  malgré des incidents techniques quant au son a été très agréable et courtois. 
merci de l'accueil et de la disponibilité de ABO</t>
  </si>
  <si>
    <t>05/10/2021</t>
  </si>
  <si>
    <t>lia-70799</t>
  </si>
  <si>
    <t>DECUE  cela la fait 3 semaines que j'envoie des mails et tres difficilement joignable par téléphone je  les contacte pour plusieurs choses et gros galere (sinistre, carte verte ,et paiement prime 3 fois pour remboursement) et aucun suivi</t>
  </si>
  <si>
    <t>31/01/2019</t>
  </si>
  <si>
    <t>sandy-71426</t>
  </si>
  <si>
    <t>Bonjour
J’ai april pour l’assurance de deux de mes prêts.  Du jour au lendemain et sans prévenir ils ont rajouté une adhésion à une « association April ». Par ailleurs ils appliquent ce surcoût sur chacun de mes prêts alors qu’on ne peut adhérer à une association qu’une seule fois. Ils refusent de vous désaffiliées de l’association  alors que c’est un droit.
A priori ils ont fait cela sur tous leurs adhérents. 
Pour ce qui est de la prise en charge je ne peux pas juger car je n’ai jamais eu à m’en servir.</t>
  </si>
  <si>
    <t>18/02/2019</t>
  </si>
  <si>
    <t>bachelet-m-116250</t>
  </si>
  <si>
    <t>Bon contact téléphonique, simple pour souscrire. L'interface du site est ludique et simple d'utilisation. Evidement le seul point à travailler reste le prix .</t>
  </si>
  <si>
    <t>07/06/2021</t>
  </si>
  <si>
    <t>henri-c-117532</t>
  </si>
  <si>
    <t xml:space="preserve">trop de temps perdu pour contacter l'assistance dépannage   cela fait 15 mn que j'attends et toujours le même message
tout le monde ne sait pas se servir d'un smartphone </t>
  </si>
  <si>
    <t>nina6-106837</t>
  </si>
  <si>
    <t xml:space="preserve">Bonsoir,
Depuis quelque mois je reçois des prélèvements de mercer de 475 € au lieu de 39 € nous sommes que 2.. 
Je les ai appelés ils me disent que c'est une erreur mais rien ne change
Mutuelle nulle ! Et chère </t>
  </si>
  <si>
    <t>daikicaipi-99564</t>
  </si>
  <si>
    <t xml:space="preserve">Et encore qu'une étoile est déjà trop!!! Ils manipulent et mentent aux clients pour les inciter à souscrire! 
Lors de la souscription à mon assurance habitation, on m'avait certifié que je pourrai être mensualisée à partir de la deuxième année (capture écran du chat à l'époque à l'appui!!!)
Venant de recevoir mon nouvel échéancier, j'appelle le service afin de mettre en place la mensualisation. Et là surprise: IMPOSSIBLE! la mensualisation ne peut en aucun cas être mise en place par le logiciel... Pourtant que ce soit par téléphone ou par Chat, les conseillers m'avaient certifié que le paiement était annuel la 1ère année puis mensuel à partir de la 2ème. En réalité il s'agit juste d'une pratique commerciale trompeuse pour vous appâter! C'est juste inadmissible!!!! 
Puis augmentation de plus de 30€ de la cotisation sans prévenir. 
On nous a sorti ce discours pour l'assurance habitation mais également pour l'assurance voiture en nous disant que le paiement était annuel la 1ère année car il s'agissait d'un vieux véhicule, mais mensualisation possible à partir de la deuxième année. Le contrat n'est pas arrivé à échéance mais nous craignons encore une fois le mensonge.
De toute manière nous avons anticipé et avons résilié nos 3 assurances.
J'avais demandé à être contactée par un responsable, mais j'attends toujours. J'ai vraiment horreur de me sentir manipulée!!!! C'est honteux de traiter les clients de la sorte juste pour les inciter à conclure.
On pense qu'ils sont les moins chers, mais en réalité c'est faux! j'ai trouvé 200€ moins cher sur l'assurance voiture et 50€ moins cher sur l'assurance habitation! 
Merci DIRECT ASSURANCE car avec vos mensonges, vous m'avez permis de faire des économies! Rien que pour ça, je vous mets 5 étoiles !!!!!! </t>
  </si>
  <si>
    <t>03/11/2020</t>
  </si>
  <si>
    <t>bernard-r-106473</t>
  </si>
  <si>
    <t>Je suis satisfait du service et de l'accueil réservé par vos collaboratrices.; Ayant une formation de formateur de formateur. Les collaboratrices à l'accueil téléphonique, sont celles qui représentent la société.
Cordialement
Bernard RAPHAEL</t>
  </si>
  <si>
    <t>13/03/2021</t>
  </si>
  <si>
    <t>flap006-91687</t>
  </si>
  <si>
    <t>La maif est une assurance haut de gamme ; elle n'est pas compétitive les tarifs sont très élevés mais en cas d'incident vous pouvez être sûr de leur réponse professionnelle,  il ne chercheront pas à ne pas rembourser par tout les moyens comme la plupart des assurances...</t>
  </si>
  <si>
    <t>20/06/2020</t>
  </si>
  <si>
    <t>amsellem-r-137510</t>
  </si>
  <si>
    <t>j'ai pas pu avoir les 10% de parrainage comme je suis passé par un site comparateur.
sur mon compte je ne suis pas arrivé à faire un devis ni à être rappelé.</t>
  </si>
  <si>
    <t>15/10/2021</t>
  </si>
  <si>
    <t>cedric-g-117712</t>
  </si>
  <si>
    <t>Je suis satisfait du service , les prix me conviennent.
Simple et pratique je recommande.
Chez eux depuis plusieurs années rien à dire pour le moment.</t>
  </si>
  <si>
    <t>21/06/2021</t>
  </si>
  <si>
    <t>tlil-m-126209</t>
  </si>
  <si>
    <t xml:space="preserve">Je sui satisfait du prix est de la prestation de l efficacité du service donc je conseille vivement l olivier assurance a tout le monde ils sont très correct  </t>
  </si>
  <si>
    <t>max42p-75074</t>
  </si>
  <si>
    <t xml:space="preserve">J'ai pu résilier mon contrat sans problèmes grâce à l'aide de Youness, je l'en remercie pour son professionnalisme </t>
  </si>
  <si>
    <t>15/04/2019</t>
  </si>
  <si>
    <t>aurelien-j-111298</t>
  </si>
  <si>
    <t>Je suis satisfait du service en ligne .C'est clairement expliqué et rapide à enregistrer.  Souscription proposée par défaut me semble bien ciblée. Merci</t>
  </si>
  <si>
    <t>jonath77-116083</t>
  </si>
  <si>
    <t>Ma femme étant rentrée en catégorie 2 invalidité permanente pour Leucémie aigue lymphoblastique , nous avons envoyé les documents a AXA pour les indemnités toutes causes IPT, un médecin conseil ne l'a pas vu donc non consulté et a décidé qu'elle était ne correspond pas à une invalidité permanente, enfaite il est très fort il arrive a consulter sans voir les clients AXA, je pense surtout qu'il est organisé entre AXA et le médecin que des refus automatique, je me suis douté en voyant les avis ici depuis 1 mois vu que nous ne sommes pas les seuls.
Leur barème est absolument impossible a calculer et profitent de cette situation pour refuser les indemnités, pourtant lors des signatures avec un conseillé c'est si invalidité vous serez indemnisé mais évitent de préciser que il ne dépend pas du barème de la sécurité social.
De plus elle a des complications de polyarthrite et de grande difficultés avec ses mains et jambes mais ça évidemment ils n'a pas du lire le rapport de l'hôpital Gustave Roussy.</t>
  </si>
  <si>
    <t>05/06/2021</t>
  </si>
  <si>
    <t>ruddy-m-135163</t>
  </si>
  <si>
    <t>JE SUIS SATISFAIT ET J AI HATE QUE LE NECESSAIRE SOIT FAIT AUPRES DE MON ASSUREUR ACTUEL 
SI VOUS AVEZ D AUTRES QUESTIONS N HESITEZ PAS A ME CONTACTER</t>
  </si>
  <si>
    <t>29/09/2021</t>
  </si>
  <si>
    <t>fredo-76616</t>
  </si>
  <si>
    <t>Nul tous simplement, prendre de l'argent et le reste passe bien après</t>
  </si>
  <si>
    <t>Gan</t>
  </si>
  <si>
    <t>09/06/2019</t>
  </si>
  <si>
    <t>hafbaya-88885</t>
  </si>
  <si>
    <t>A fuir , ils font tout pour ne pas vous rembourser en cas de sinistre , après un an d’échanges avec eux suite au vol de mon véhicule, on refuse de me dédommager .</t>
  </si>
  <si>
    <t>rubat-a-133673</t>
  </si>
  <si>
    <t>très satisfaite du service téléphonique et des bons conseils. 
Tarif attractif pour jeune conducteur
efficacité dans la réactivité et service en ligne facile d'acces</t>
  </si>
  <si>
    <t>20/09/2021</t>
  </si>
  <si>
    <t>halepovic-f-123563</t>
  </si>
  <si>
    <t xml:space="preserve">Je suis satisfait du prix et du service 
Je recommande à tous jeunes conducteurs pour une première assurance c’est vraiment bien.
Merci aux contacts qui savent bien expliquer </t>
  </si>
  <si>
    <t>16/07/2021</t>
  </si>
  <si>
    <t>roumi-80112</t>
  </si>
  <si>
    <t>PREVOYANCE A FUIR ! courrier papier envoyé qu'ils n'ont soit disant jamais reçu ne mettez pas des formulaires en ligne si vous ne traitez pas de courrier par la suite ! ça fait trois mois que j'attends mes indemnités complémentaires c'est inadmissible .... 
a chaque fois mon on nous demande d'ajouter des pièces par e-mail qui rallonge les délais c'est du grand n'importe quoi cette prévoyance du jamais vu pour ma part !!!!!!!! par dessus le marché leur site web ne fonctionne jamais !!!!!!!!</t>
  </si>
  <si>
    <t>16/10/2019</t>
  </si>
  <si>
    <t>01/10/2019</t>
  </si>
  <si>
    <t>fabien-52575</t>
  </si>
  <si>
    <t>5 mois après le vol de mon véhicule : le dossier sinistre n'est toujours pas traité.
Inadmissible ! !
'On vous répond avant la fin de semaine' ...depuis 5 mois.</t>
  </si>
  <si>
    <t>20/02/2017</t>
  </si>
  <si>
    <t>didier-h-135116</t>
  </si>
  <si>
    <t>Je recommande AMV pour l'assurance de mon Can-Am.
Il est vraiment très pratique et facile en ligne de pouvoir modifier son contrat une fois l'an pour la saison d'hivers où je ne roule pas.</t>
  </si>
  <si>
    <t>mireille-g-122290</t>
  </si>
  <si>
    <t>je suis satisfaite pour le moment la GMF me parait être une assurance assez interessante au niveau du prix et des conditions. je suis à la GMF depuis de très nombreuses années</t>
  </si>
  <si>
    <t>04/07/2021</t>
  </si>
  <si>
    <t>le-hecho-m-116738</t>
  </si>
  <si>
    <t xml:space="preserve"> très Satisfait de l accueil téléphonique, ainsi que du service demande,les prix sont très attractifs par rapport aux autres assureurs pour les garanties souscrites</t>
  </si>
  <si>
    <t>acudad-90246</t>
  </si>
  <si>
    <t xml:space="preserve">Bonjour, je déconseille fortement cette assurance car j'ai eu un sinistre ( dégât des eau ) le 09/09/2019 et aujourd'hui le 05/06/2020 je bataille encore pour êtres indemniser de plus :
L'expert mandaté par Pacifia chiffre de la peinture sur du placoplatre CASSER et HUMIDE et ne chiffre pas une pièce sinistré ainsi que du carrelage casse pendant les réparation (canalisation sous le carrelage) 
Lorsque je demande une contre expertise on me dis que celle-ci sera mes frais.
Lorsque je fait un courrier de réclamation on me ne répond pas. (reçu par pacifia le 09/03/2020)
Lorsque je fait un mail a ma gestionnaire celle-ci renvoie la balle vers la société d'expertise, or n'étant pas le client de la société d'expertise je ne voie pas pourquoi je leur ferais des réclamation.
"ASSURANCE" a fuir </t>
  </si>
  <si>
    <t>05/06/2020</t>
  </si>
  <si>
    <t>ke-135400</t>
  </si>
  <si>
    <t xml:space="preserve">Je déconseille totalement cette mutuelle. J' y ai souscris par le biais de courtier. Depuis ma souscription soit 1 mois on ne m a jamais remboursée de mes prestations médicales alors que la sécurité sociale l a fait pour sa partie. Ne donnent aucune infos sur les délais de remboursement. Perde mes documents et me redemande les mêmes. Et surtout demande de présenter des facture a chaque prestation alors que ma télétransmission est activé. Piégé pour 1 an avec eux je suis très très déçues. </t>
  </si>
  <si>
    <t>lauradumont92-49355</t>
  </si>
  <si>
    <t>Gestion de l'indemnisation prévoyance catastrophique. Actuellement plus de 4 mois de délai, et aucune réponse du service client. on vous ballade à chaque appel.</t>
  </si>
  <si>
    <t>18/11/2016</t>
  </si>
  <si>
    <t>01/11/2016</t>
  </si>
  <si>
    <t>pe1603-57486</t>
  </si>
  <si>
    <t>l'olivier assurances à fuir absolument : tarif aguicheur la première année puis augmentation de 44 et 38 pour cent sur mes 2 véhicules l'année suivante ... en plus si vous n'aimé pas taper sur 1 puis 2 puis ... !!! et attendre en compagnie d'une musique entêtante !!! dommage la mariée était belle trop belle peut-être !!!</t>
  </si>
  <si>
    <t>20/09/2017</t>
  </si>
  <si>
    <t>Intervention supprimée à la demande de l'internaute.</t>
  </si>
  <si>
    <t>Intériale</t>
  </si>
  <si>
    <t>27/11/2016</t>
  </si>
  <si>
    <t>noemie-88233</t>
  </si>
  <si>
    <t>j ai contracté cette assurances par l intermédiaire d un courtier et je n ai rien a dire ils sont impecable j ai un numero directe pour appeler mon conseiller et je suis satisfaite de leur opticien partenair en plus j ai mopn espace adherent qui me facilite la tache</t>
  </si>
  <si>
    <t>11/03/2020</t>
  </si>
  <si>
    <t>pascal-n-106429</t>
  </si>
  <si>
    <t xml:space="preserve">je ne recommande pas du tout cette assurance , je me suis tromper de relevé d imformation et ils n ont jamais voulu prendre le 2 eme relever , du coup ils mon résilié </t>
  </si>
  <si>
    <t>12/03/2021</t>
  </si>
  <si>
    <t>yacine-v-133919</t>
  </si>
  <si>
    <t>Je suis satisfait du service le prix me convient simple et rapide bien expliqué . Agréable au téléphone . Très rapide c’est vraiment satisfaisant merci.</t>
  </si>
  <si>
    <t>22/09/2021</t>
  </si>
  <si>
    <t>juliette57--109669</t>
  </si>
  <si>
    <t>Ayant eu un contact téléphonique avec Emeline, cette dernière était très professionnelle , très à l’écoute, je recommande cette mutuelle à toute personne qui aurait des doutes.</t>
  </si>
  <si>
    <t>annonce-67337</t>
  </si>
  <si>
    <t xml:space="preserve">Service réclamation aucune compétence sur 10 appels 10 versions différentes.
 3 semaines de retard dans nos mails .Il me manque des documents .cela va être  traité  rapidement j'en passe et des meilleures .
5 mois pour rembourser un tiers payant d'ambulance.
Et bouquet final virements fait sur un compte sans nom d'identifiant .
Un conseil si vous le pouvez fuyiez cette mutuelle .
</t>
  </si>
  <si>
    <t>04/10/2018</t>
  </si>
  <si>
    <t>anne-sophie--h-106226</t>
  </si>
  <si>
    <t xml:space="preserve">je suis satisfaite de mon assurance , le prix n'est pas excessif , les réponses sont rapides  je n'ai pas eu pour l'instant à me servir de leurs dépannages mais on m'en dit d'excellentes nouvelles </t>
  </si>
  <si>
    <t>11/03/2021</t>
  </si>
  <si>
    <t>maillet-a-113312</t>
  </si>
  <si>
    <t>je viens de souscrire. personne sympa au téléphone prend le temps de repondre aux questions. prix interessant. satisfait pour le moment. voir pour assurer un deuxieme véhicule.</t>
  </si>
  <si>
    <t>10/05/2021</t>
  </si>
  <si>
    <t>belaidi-m-115214</t>
  </si>
  <si>
    <t xml:space="preserve">Les prix sont attractifs
Conseillère au top 
Rapidité 
J’ai souscrits à cette assurance j’ai eu une réponse rapide avec une conseillère très aimable et qui m’a bien détaillé toutes les offres et aussi conseiller </t>
  </si>
  <si>
    <t>28/05/2021</t>
  </si>
  <si>
    <t>kikilamalice-54587</t>
  </si>
  <si>
    <t>Assurés à la MAIF depuis de nombreuses années avec un bonus maximum, l'un de nos véhicules, garé sur un parking public, est accroché côté arrière droit par un autre véhicule.
La conductrice avait laissé ses coordonnées afin d'établir un constat.
Un expert, d'un cabinet d'expertises basé à Fréjus, a été mandaté par la MAIF et a refusé toute indemnisation concernant l'aile endommagée par le choc prétextant que cette aile avait subi un choc précédemment.
Alors je me pose la question suivante: faut-il avoir un véhicule flambant neuf sans la moindre bosse ou éraflure pour espérer être indemnisé par la MAIF ?
Nous précisons que l'état de l'aile avant le sinistre présentait effectivement une déformation mais sans commune mesure avec son état suite au sinistre.
Notre cas n'est sans doute pas isolé et ce type de pratique est indigne et irrespectueux envers ses adhérents mutualistes.</t>
  </si>
  <si>
    <t>10/05/2017</t>
  </si>
  <si>
    <t>01/05/2017</t>
  </si>
  <si>
    <t>karina2021-116144</t>
  </si>
  <si>
    <t xml:space="preserve">A fuir, pas de remboursement, toujours en attente de mon devis depuis mars
J"avance les frais je me demande si cette mutuelle existe vraiment.. malgre les appels les mails sans retour de leur part, jai decidé de bloqué les prelevements... 
</t>
  </si>
  <si>
    <t>06/06/2021</t>
  </si>
  <si>
    <t>patchouki-97529</t>
  </si>
  <si>
    <t>Ils ont semble t-il une fâcheuse habitude de résilier votre contrat pour un motif que personne ne comprends : " Notre politique technique nous amène à mettre fin à votre contrat 
d' assurance" 
et après cela bien difficile de trouver un autre assureur car on vous demande si vous avez eu une résiliation d' assurance, évidemment cela fait très mauvais effet....pourquoi avez-vous été résilié par votre assureur il doit y avoir un problème grave.....
Merci AXA</t>
  </si>
  <si>
    <t>17/09/2020</t>
  </si>
  <si>
    <t>sc33bcbr-58287</t>
  </si>
  <si>
    <t>4 contrats chez AMV depuis plusieurs années, aujourd'hui je cherche un courtier. La raison? Un service clients tellement peu aimable et peu efficace (consequence directe de l'amabilité) et un site web ne répondant pas a mon attente de gestion SIMPLE autonome de mes contrats.
A noter que je suis satisfait du traitement du sinistre non responsable que j ai eu en moto en 12106.</t>
  </si>
  <si>
    <t>23/10/2017</t>
  </si>
  <si>
    <t>01/10/2017</t>
  </si>
  <si>
    <t>beguin-g-114904</t>
  </si>
  <si>
    <t>Prix très correct pour l instant tout est vraiment bien l'acceuil l'ecoute le prix , à voir dans le temps mais oui je recommande fortement, Surtout que mon fils est aussi à l'olivier assurance c'est parfait , il voulait me parrainé hélas cela n'a pas fonctionné car on ne serait pas passé assez directement par eux , donc à partir des comparateurs on a commencé le devis mais pourtant vu que nous avons rencontré des soucis de validation nous avons contacté directement une conseillère , elle a retrouvé le devis précédant mais on a tout repris a zéro, malgré tout pas de prise en compte du code parrainage tout de même , dommage sur ce point .</t>
  </si>
  <si>
    <t>26/05/2021</t>
  </si>
  <si>
    <t>morvan-59895</t>
  </si>
  <si>
    <t>Le grand n'importe quoi. Ma mère a souscrit 5 contrats d'assurance vue via son conseiller de la poste. A son décès en aout, nous avons rencontré le conseiller financier de la Poste. Il nous a dit qu'il fallait nous adresser au CNP. Nous avonsécritau CNP à l'adresse figurant sur les relevés de ma mère de décembre 2016. Cela fait  3 mois et demi. Malgré les lettres recommandées, le CNP fait la sourde oreille.A ce jour nous avons reçu les informations concernant 3 contrats. Si nous n'étions pas persévérants et capables d'écrire et réclamer l'assureur garderait certainement cet argent pour lui</t>
  </si>
  <si>
    <t>22/12/2017</t>
  </si>
  <si>
    <t>nessam-111109</t>
  </si>
  <si>
    <t>Si vous voulez éviter de devenir nerveux éviter de péter un plomb de devenir fou alors éviter cette assurance !!! Je suis au bord des naire j'ai hate de ne plus avoir d'engagement pour partir de cette assurance !!! À fuire à fuire à fuire à fuire !!!!! ??????????</t>
  </si>
  <si>
    <t>21/04/2021</t>
  </si>
  <si>
    <t>morgane-w-133957</t>
  </si>
  <si>
    <t xml:space="preserve">Je suis satisfait du service. Rapide et très fluide. 
J’ai pu générer mon assurance très rapidement grâce au guidage..
Je recommande car c’est très ergonomique </t>
  </si>
  <si>
    <t>valerie-60832</t>
  </si>
  <si>
    <t>Bjr ma grande tante est décédée le 15 septembre 2016 plusieurs contrats assurances vies cardif dont je suis heritiaire a hauteur de 1/8 il a fallu que la notaire en charge de la succession les contacts pour qu' il se rapproche de nous 18 mois après le décès tous les documents leurs ont été envoyés en AR et rien n est versé c est scandaleux cette façon de procéder d autant que le notaire a régler toutes les sommes dû aux impôts sur ces assurances vies et j ai même joint au courrier la dévolution successorale de façon  a ce que la cardif est vraiment la totalité des  documents mais l argent n est toujours pas versée à ce jours 
Vu les montant de prime ils se se sont fait assez d argent sur notre dos il s agît au total pour les 2 contrats de 136521,21euros
Nous avons pris contact avec un avocat et les services de contrôles des assurances 
Numero de contrat 1821568 et 1624057 
J espère avoir rapidement de vos nouvelles</t>
  </si>
  <si>
    <t>26/01/2018</t>
  </si>
  <si>
    <t>01/01/2018</t>
  </si>
  <si>
    <t>butcut62-102903</t>
  </si>
  <si>
    <t xml:space="preserve">Je dois payer l'école de mes enfants , et j'attends toujours le règlement de la rente d'éducation,aucune indiqué les dossiers
Humanis c'est une honte
</t>
  </si>
  <si>
    <t>19/01/2021</t>
  </si>
  <si>
    <t>omar-t-106361</t>
  </si>
  <si>
    <t xml:space="preserve">Bonjour 
je vous raconte ma propre expérience et les expériences des gens autour de moi .... 
Juste y a pas moyen de mettre 0 étoile ...
on vous fait croire au début que c'est mon cher, en réalité votre prix d'assurance n'évolue pas au fil des années ....
service en ligne, le jour ou vous auriez un problème ou sinistre, c'est une catastrophe , chaque conseiller vous raconte son histoire , il vous raccroche au nez .... en ligne .... on ne peut rien faire ...
à fuir ..... sérieusement </t>
  </si>
  <si>
    <t>yo-100850</t>
  </si>
  <si>
    <t>C'est une assurance avec un manque de professionnalisme extrême aucun tact manque de respect en raccrochant au nez ne savent pas ouvrir des mails et des pièces jointes savent pas vous prévenir si il manque un papier beaucoup vos accès sur le site comme ça et en plus de ça vous coupe l'assurance sans vous prévenir je ne recommande pas cette assurance ils sont à la limite de l'..... Je roulais sans assurance, il me l'avait coupé alors que tous les papiers parce que soi-disant il n'arrivait pas à ouvrir les pièces jointes que j'avais bien envoyé je n'ai jamais été informé.</t>
  </si>
  <si>
    <t>02/12/2020</t>
  </si>
  <si>
    <t>nadjim-b-129934</t>
  </si>
  <si>
    <t>JE SUIS SATISFAIT DU PRIX ET DU SERVICE, JE SUIS DÉJÀ CLIENT assurance HABITATION ET JE RECOMMANDE VIVEMENT DIRECT ASSURANCE A TOUS MES PROCHES ET TOUT MES AMIS ET COLLÈGUES DE TRAVAIL</t>
  </si>
  <si>
    <t>28/08/2021</t>
  </si>
  <si>
    <t>conde-v-135340</t>
  </si>
  <si>
    <t xml:space="preserve">Je suis satisfait du service. E le prix me convient c’est le moins cher que je trouvé grâce à vôtre service je trouvé moins cher que dans le autre assurance merci </t>
  </si>
  <si>
    <t>sousou23-78343</t>
  </si>
  <si>
    <t xml:space="preserve">Je recoi une amande après lautre de 35car la vignette date du 31 mars
personne à gere ni lagence ni service client à ce jour
</t>
  </si>
  <si>
    <t>10/08/2019</t>
  </si>
  <si>
    <t>volka6951-80636</t>
  </si>
  <si>
    <t>j'ai demander a resilier avant la date anniversaire de mon contrat en leur specifiant que j'accepte de regler des indemnites car vraiment j'en ai trop marre de cet assurance et bien il m'ont repondu que je ne pouvais pas partir aveant la date anniversaire meme si je paie des indemnites.debiles de debiles et c'est vraiment prendre les gens pour des imbeciles mesdames messieurs fuyez cette assurance il y en as de bien meilleurs</t>
  </si>
  <si>
    <t>Eca Assurances</t>
  </si>
  <si>
    <t>02/11/2019</t>
  </si>
  <si>
    <t>charles-edouard-l-106552</t>
  </si>
  <si>
    <t>Je suis satisfait de votre service ainsi que des prix qui sont pratiqués .
La rapidité de votre service après vente est aussi agréable et permet un certain  confort.</t>
  </si>
  <si>
    <t>14/03/2021</t>
  </si>
  <si>
    <t>dani-79521</t>
  </si>
  <si>
    <t>Les sinistres et remboursements sont tres longs, ils demandent des justificatifs et font trainer les remboursements.</t>
  </si>
  <si>
    <t>27/09/2019</t>
  </si>
  <si>
    <t>bird26-129089</t>
  </si>
  <si>
    <t xml:space="preserve">Bonjour 
Un de mes capteurs solaires a été endommagé par le gel. J'ai pris l'option assurances panneaux solaires mais ils refusent de me prendre en charge ce sinistre au motif que je n'ai pas déclaré mes panneaux solaires.
Si vous avez eu le même problème ou si vous connaissez les rouages de leurs contrat  je vous remercie de m'en faire part.
</t>
  </si>
  <si>
    <t>23/08/2021</t>
  </si>
  <si>
    <t>manda-arivola-stephan-a-112906</t>
  </si>
  <si>
    <t>Je ne suis pas encore assuré pars Direct
Je viens d'acheter ma première voiture et cherche une compagnie d'assurance pouvant répondre à mes besoins. Je suis un étudiant étranger, avec un permis de conduire étranger</t>
  </si>
  <si>
    <t>06/05/2021</t>
  </si>
  <si>
    <t>stephane-69294</t>
  </si>
  <si>
    <t xml:space="preserve">TRES DECU!!!  Victime d'une effraction de porte en pleine journée et Soit disant bien assurer par la MAIF.
Il Appelle ça la contrat Sérénité!!!
justificatifs et preuves que vous fournirez ne seront jamais pris en considération. 
L'expert ne se DEPLACE même plus. UN devis de remplacement par le serrurier affilé MAIF. Trop cher. 
L'expert mandate une entreprise pour estimer le cout de Réparation avec de la colle à bois ou résine.
Il est alors plus question de remplacer  à l'identique mais bien de rafistoler votre porte et bâti à moindre cout.
La structure est endommagée par l'effraction mais aussi par le serrurier qui a attaqué la porte au ciseau à bois et au pied de biche. L'expert négociera avec vous quelques centaines d'euros pour vous faire taire et vous résigner. Les  gestionnaires successif noterons vos remarques dans votre dossier mais ça n'ira pas plus loin.
Malgré qu'ils s'engagement à vous apporter une réponse et suivre le dossier, nous sommes déçus. Je suis sociétaire depuis PLUS de 20 ans - est LA préoccupation du groupe MAIF n'est plus de tenir ses engagements.
Le sens et la qualité du service se perds. </t>
  </si>
  <si>
    <t>17/12/2018</t>
  </si>
  <si>
    <t>paslobrio-67530</t>
  </si>
  <si>
    <t>Rien à redire, assurance à très bon rapport garanties/prix, service client à l'écoute, démarches faciles à réaliser</t>
  </si>
  <si>
    <t>10/10/2018</t>
  </si>
  <si>
    <t>meyer-f-126511</t>
  </si>
  <si>
    <t>Je n'ai jamais eu de sinistre donc je ne peux pas donner un avis objectif. 
Les tarifs sont bien placés par rapport à la concurrence c'est pour cette raison que j'ai choisi  "l'olivier"</t>
  </si>
  <si>
    <t>stephane-d-107779</t>
  </si>
  <si>
    <t xml:space="preserve">Pas satisfait des conseils, pas satisfaits du prix , pas satisfaits.  je quitte l'assurance pour ma voiture et je vais quitté aussi pour l'habitation </t>
  </si>
  <si>
    <t>24/03/2021</t>
  </si>
  <si>
    <t>marie-64529</t>
  </si>
  <si>
    <t xml:space="preserve">Aucune réponse de leur part après 15 jours malgre un recommander. 
Je pense que si nous ne payons pas dans les délais nous sommes résilier 
mais dans l autre sens ???
Ah il faut peut être prendre contact avec les autorités supérieur </t>
  </si>
  <si>
    <t>iroise-58276</t>
  </si>
  <si>
    <t xml:space="preserve">Je suis extrêmement insatisfaite de cet assureur qui se clame Militant mutualiste. On a tout à gagner à se faire confiance, le dernier slogan publicitaire de la MAÏF m'indigne. Cet assureur joue sur des mots forts, militant, mutualiste et confiance pour mieux duper. </t>
  </si>
  <si>
    <t>22/10/2017</t>
  </si>
  <si>
    <t>cat-125314</t>
  </si>
  <si>
    <t>mutuelle serieuse ,satisfaite,rien à signaler, personne agréable au teléphone, merci pour votre accueil et votre rappel
cordialement
Mme Cathy BOISSONNADE</t>
  </si>
  <si>
    <t>28/07/2021</t>
  </si>
  <si>
    <t>marc-f-132117</t>
  </si>
  <si>
    <t>JE SUIS SATISFAIT DE VOTRE PRESTATION SI CE N'ESTLES POP UPS INTEMPESTIFS GENANTS CONCERNAT LA SATISFACTION
LES TARIFS SONT INTERESSANTS ET CONCURENTIELS</t>
  </si>
  <si>
    <t>celine-g--112738</t>
  </si>
  <si>
    <t>Contact téléphonique agréable et rassurant. La proposition semble honnête, les démarches relativement simples. Gageons que ma satisfaction perdure dans le temps !</t>
  </si>
  <si>
    <t>Zen'Up</t>
  </si>
  <si>
    <t>05/05/2021</t>
  </si>
  <si>
    <t>villeurbanne-102531</t>
  </si>
  <si>
    <t xml:space="preserve">personne très réactif ne vous laisse pas sans réponse a votre question, elle peuvent même vous appeler suite a votre mail pour expliquer si on ne trouvent ou on ne comprend pas  </t>
  </si>
  <si>
    <t>12/01/2021</t>
  </si>
  <si>
    <t>ziani-b-112659</t>
  </si>
  <si>
    <t>Service simple a mettre en oeuvre, prix interessants en espérant n'avoir jamais a essayer vos services de remboursements pour des accidents dans l'avenir</t>
  </si>
  <si>
    <t>04/05/2021</t>
  </si>
  <si>
    <t>amandine-d-125673</t>
  </si>
  <si>
    <t xml:space="preserve">Certains éléments sont manquants et mériteraient plus d information. C est assez clair dans l ensemble. Les peux sont plus bas qu ailleurs. A voir dans la pratique la réactivité </t>
  </si>
  <si>
    <t>30/07/2021</t>
  </si>
  <si>
    <t>franck-80856</t>
  </si>
  <si>
    <t xml:space="preserve">Bonjour, suite suspension de permis pour excès vitesse, j'ai acheté un scooter pour aller travailler (15km). La Macif n'a pas souhaité m'assurer malgré 26ans de permis sans aucun accident responsable! Un solde de plus de 8 points sur mon permis. Lamentable et indigne d'une assurance qui prétend, dans ses pubs, être présente surtout lors des mauvais coups de la vie. J'ai changé d'assurance : la confiance est perdue à jamais. </t>
  </si>
  <si>
    <t>09/11/2019</t>
  </si>
  <si>
    <t>charlene-b-116457</t>
  </si>
  <si>
    <t xml:space="preserve">Satisfaite depuis le premier contrat. Ils sont joignable facilement. Espace personnel complet et simple d'utilisation. Simple, rapide et efficace au besoin. </t>
  </si>
  <si>
    <t>floriane-sm-53473</t>
  </si>
  <si>
    <t xml:space="preserve">Bonjour Numero client 247224
J ai souscris une assurance par internet et ils m ont faut une nulite de contrat pour moi c est une annulation j ai payer 146€ pour une assurance pour 2 mois hors ils ne veulent pas me rembourser pour X raisons. A fuir
</t>
  </si>
  <si>
    <t>22/03/2017</t>
  </si>
  <si>
    <t>01/03/2017</t>
  </si>
  <si>
    <t>bloody76320-50626</t>
  </si>
  <si>
    <t xml:space="preserve">Assuré depuis 8 ans à la MATMUT. toujours imbattable sur les prix. Après avoir eu un accident avec un Sanglier, j'ai pu constaté la qualité de la MATMUT ; Prise en charge directe et changement de toute les pièces, même la jante rayée par le garde boue tombé dessus. Vraiment très content de cette assurance. Je recommande. </t>
  </si>
  <si>
    <t>24/12/2016</t>
  </si>
  <si>
    <t>djfex1-85939</t>
  </si>
  <si>
    <t>Service sinistre médiocre, aucun professionnalisme. J'ai un sinistre en cours 2019226531, la gestion est une catastrophe, retard considérable et accueil désagréable</t>
  </si>
  <si>
    <t>07/12/2019</t>
  </si>
  <si>
    <t>lila21-62312</t>
  </si>
  <si>
    <t xml:space="preserve">Nous nous sommes fait cambrioler et lors de la déclaration surprise le contrat que nous avons signé n'est pas celui qui est en cours : le conseiller nous a fait signer un contrat inférieur en garantie. Résultats indemnisation plafonnée à 1000euros en cas de vol proposée alors que notre réel contrat nous garantissait un plafond à 10000 euros ! Cette erreur est notifiée noir sur blanc sur leur document interne mais rien à faire ! Cela va faire presque un an et depuis il nous font galèrer de Courier en Courier,  aucune compréhension, que du mépris, ils sont de mauvaises fois, perfides, sournois, fourbes, nous avons eu recours au médiateur, l'affaire est en cours toujours... Assurance à éviter, à fuir absolument !!! La matmut elle assure que dalle !!!!!  </t>
  </si>
  <si>
    <t>14/03/2018</t>
  </si>
  <si>
    <t>01/03/2018</t>
  </si>
  <si>
    <t>couturier-jasinski-r-135574</t>
  </si>
  <si>
    <t>Satisfait de mon echange telephonique car j ai été bien renseigné. C etait clair et conçi, très bien expliqué. Personne agréable et à l ecoute, tout à été bien expliqué.</t>
  </si>
  <si>
    <t>02/10/2021</t>
  </si>
  <si>
    <t>marie-agnes-c-131301</t>
  </si>
  <si>
    <t>Bien je suis satisfait de la prestation
Par contre payer 2 mois d’avance c’est difficilement et la somme
Est importante pour le reste c’est compétitif et rapude</t>
  </si>
  <si>
    <t>04/09/2021</t>
  </si>
  <si>
    <t>aurelie-r-131630</t>
  </si>
  <si>
    <t>Bon rapport qualité/prix,le  service client est fiable et à l'écoute et réactif.
Rapidité de réception des justificatifs.
Je suis très satisfaite de cette agence.</t>
  </si>
  <si>
    <t>billfly-121490</t>
  </si>
  <si>
    <t>Je suis gentil, si cela était possible, je mettrais la note de 0!!!!!fuyez cette mutuelle !!!!!!!!!!ne vous attardez pas sur eux,car ,vous avez tort sur tout à leurs yeux.....!!</t>
  </si>
  <si>
    <t>29/06/2021</t>
  </si>
  <si>
    <t>pat-107329</t>
  </si>
  <si>
    <t>Content d'avoir choisi Axa assurance
Bonne relation avec les conseillers Axa. Je recommande vivement Axa.
Inscrit depuis peu et aucun souci pour le moment.</t>
  </si>
  <si>
    <t>20/03/2021</t>
  </si>
  <si>
    <t>kaokuei-s-132702</t>
  </si>
  <si>
    <t>Je reste assez satisfait même si je m'attendais à un meilleur prix.
Le site est pratique pour la prise d'assurance voiture auprès de vous.
Bonne journée</t>
  </si>
  <si>
    <t>porcher-y-116548</t>
  </si>
  <si>
    <t xml:space="preserve">Pour un début d'aventures à vos côtés, tout est très bien. 
Que ce soit prix, conseillère au téléphone, et interface du site, rien à dire jusqu'à présent.
Cordialement, </t>
  </si>
  <si>
    <t>joh-104633</t>
  </si>
  <si>
    <t>Ce n'est pas la meilleure concernant le montant des remboursements mais cependant ils sont très réactif et toujours disponible........................</t>
  </si>
  <si>
    <t>23/02/2021</t>
  </si>
  <si>
    <t>analat06-97637</t>
  </si>
  <si>
    <t>Assurance a fuir !
Assurance mensongère , le service client déplorable lorsque sa ne leur conviennent pas. Ne prennent rien en charge alors que l’on paye une assurance pour pouvoir être remboursé par la suite! 
Assurance a bannir !!!</t>
  </si>
  <si>
    <t>SantéVet</t>
  </si>
  <si>
    <t>cbd69-67960</t>
  </si>
  <si>
    <t>3 sinistres non responsables mineurs conduisent à un refus d'assurance pour nouveau véhicule sans alerte au préalable, après avoir été client depuis 33 ans !!! Comportement inadmissible!!!</t>
  </si>
  <si>
    <t>23/10/2018</t>
  </si>
  <si>
    <t>thomas75-68654</t>
  </si>
  <si>
    <t>Client depuis 3 ans, j'ai trouvé cette assurance après une recherche sur un comparateur. Agréablement surpris, société à l'écoute, disponible et réactif. Un peu longue lors de la résolution de mon sinistre. Je suis plutôt très satisfait de cette assurance, que je recommande.</t>
  </si>
  <si>
    <t>cope-j-116321</t>
  </si>
  <si>
    <t xml:space="preserve">Plutot satisfait sauf sur le fait que mon parrainage n a pas été pris en compte et sur le fait que le prix a augmenté du jour au lendemain suivant le conseiller
Merci
Bonne journée
</t>
  </si>
  <si>
    <t>08/06/2021</t>
  </si>
  <si>
    <t>maroussia-t-134063</t>
  </si>
  <si>
    <t xml:space="preserve">Ravie d'avoir pu avoir une assurance aussi claire et efficace avec un tarif raisonnable
l'accès simple et ergonomique en ligne est un vrai plus pour moi
</t>
  </si>
  <si>
    <t>myjo-103625</t>
  </si>
  <si>
    <t xml:space="preserve">Lorsque mon Toutou est DCD ce 30 Janvier 2021 ils ont été très réactif mais surtout, très cool, au téléphone, en partage de mon chagrin. J'étais cliente depuis plus de 10 ans chez eux et, si je reprends un autre Toutou je n'hésiterai pas à le faire assurer chez ASSUR'OPOILS.
BRAVO et MERCI.   </t>
  </si>
  <si>
    <t>wautrin-w-109892</t>
  </si>
  <si>
    <t>je suis agréablement satisfait de la simplicité pour souscrire a un contrat pour une assurance auto c'est simple et très rapide en 20 min tout es ok et la carte verte provisoire est déjà envoyer.</t>
  </si>
  <si>
    <t>10/04/2021</t>
  </si>
  <si>
    <t>tazou2009-72185</t>
  </si>
  <si>
    <t xml:space="preserve">voila plus de 2 mois que je me suis radier normalement
j'ai même reçu un courrier dans ce sens .
Mais les prélèvements continu les intérêts sont juteux sur les centaine de personne comme moi    </t>
  </si>
  <si>
    <t>21/06/2019</t>
  </si>
  <si>
    <t>papa05-89590</t>
  </si>
  <si>
    <t>Client de la MATMUT depuis de nombreuses années au maximum de bonus pour mon assurance auto et pocedant plusieurs contrats pour lesquels je n ai pas déposé de sinistre. Je suis déçu de ce groupe auprès duquel je m' adresse depuis 2 mois afin d' obtenir un duplicata de ma carte verte par e-mail me trouvant dans ma résidence secondaire et n' Ayant pu réceptionner la carte verte envoyé à mon adresse principale avant la pandémie. A ce jour, les contacts que j' ai pu avoir ne m' ont donné satisfaction et je ne sais plus à qui m adresser pour obtenir ce duplicata. Je ne recommanderai plus ce groupe d' assurance.</t>
  </si>
  <si>
    <t>09/06/2020</t>
  </si>
  <si>
    <t>sonia-b86-70946</t>
  </si>
  <si>
    <t>Bonjour, nous sommes le Lundi 4 Février 2019 et depuis le 07/01/2019 je n'ai tjrs pas reçu ma vignette verte d'Actives Assurances malgrès que je les ai contacté 3 fois par tel et envoyé 1 mail (sans retour d ailleurs). On me repete sans arret que je recevrai prochainement ma vignette. A ce jour le 4 fevrier 2019 je n'ai tjrs rien reçu et je roule sans vignette. Le travail n est pas du tout serieux on se fou completement de ma gueulle. Pour prelever par contre ya aucun souci ils le font tres bien. Je vous deconseille cette assurance honnetement</t>
  </si>
  <si>
    <t>04/02/2019</t>
  </si>
  <si>
    <t>loulou-107918</t>
  </si>
  <si>
    <t xml:space="preserve">De très bon conseil pour le client toujours à la recherche du meilleur rapport qualité prix. Ils sont très professionnels pour le suivi des dossiers. A conseiller </t>
  </si>
  <si>
    <t>25/03/2021</t>
  </si>
  <si>
    <t>aguillau-80129</t>
  </si>
  <si>
    <t>Pour encaisser les cotisation , ils sont très fort
par contre en cas de sinistre c est ZERO 
un reel manque de fiabilité ... c est honteux
aucun support, aucune réponse téléphonique et mail
pas de suivi.
A penser qu'il n y a personne au sinistre</t>
  </si>
  <si>
    <t>bps30-54520</t>
  </si>
  <si>
    <t>Client chez eux depuis deux ans , ils me proposent un renouvellement a 420 euros alors que si je fais un devis ils sont a 320 euros donc je pars</t>
  </si>
  <si>
    <t>06/05/2017</t>
  </si>
  <si>
    <t>shadounet-81578</t>
  </si>
  <si>
    <t>Suite à un sinistre, je n'ai aucune nouvelle de mon accident pendant quelques jours. J'essaie d'appeler le service sinistre sans succès. Je me connecte alors à mon compte en ligne pour la première fois et je me rend comptes qu'on m'avait envoyé un message sur mon compte le lendemain de ma déclaration pour me dire "Au vu des éléments d'information que vous nous avez communiqués, votre responsabilité apparaît totalement engagée."
Bien sur sans m'avoir jamais contacté, ni même pris la peine de me contacter pour me donner la nouvelle d'une voie normal (au moins par email).
Qui plus est, j'ai du mal à me juger responsable à 100%, l'autre conducteur (particulier) était sur une voie de bus, sa voie se finissait à l'intersection et devait donc céder le passage au véhicule de la voie du milieu.
Je me demande s'ils ont pris le temps de lire le constat. Pas d'expert rien. On a même pas voulu prendre les photos que j'avais fait de l'accident.</t>
  </si>
  <si>
    <t>nv-89612</t>
  </si>
  <si>
    <t xml:space="preserve">PROPOSITIONS SUR MESURE
CONSEILLER A L ECOUTE
RENSEIGNEMENTS CLAIRS
RAPIDITE DE LA PRISE EN CHARGE DU DOSSIER
RAPIDITE SUR LE RETOUR </t>
  </si>
  <si>
    <t>Afi Esca</t>
  </si>
  <si>
    <t>13/05/2020</t>
  </si>
  <si>
    <t>basso-a-109647</t>
  </si>
  <si>
    <t xml:space="preserve">ok très bon rapport prix et assurance rapide je recommande l'Olivier assurances pour auto par sa facilité et rapidité prix très compétitif pour assurance de base </t>
  </si>
  <si>
    <t>mehdi-49962</t>
  </si>
  <si>
    <t xml:space="preserve">Le prix augmente chaque année sans aucune justification(pas de sinistre déclaré, bunus qui augmente).
frais de gestion à 188 euros/an pour une cotisation annuelle de 309 euros. c'est vraiment abusé.
Le service client est injoignable et je n'arrive même pas à accéder à mon compte client. 
</t>
  </si>
  <si>
    <t>06/12/2016</t>
  </si>
  <si>
    <t>ju56-71560</t>
  </si>
  <si>
    <t xml:space="preserve">A fuir! On a abusé de notre confiance et bénéficié de défaut de conseil. Leurs placements sont médiocres et bien en dessous de ce que fait le marché. Nous avons perdu 12% en 6 mois! attention à leurs supports de mauvaise factures!
</t>
  </si>
  <si>
    <t>23/02/2019</t>
  </si>
  <si>
    <t>theo-v-124002</t>
  </si>
  <si>
    <t xml:space="preserve">Je suis satisfait des prix, un peu moins du service client. Demandes téléphoniques sans retour... Malheureusement et probablement justifié par les prix bas. </t>
  </si>
  <si>
    <t>20/07/2021</t>
  </si>
  <si>
    <t>danielle-m-110385</t>
  </si>
  <si>
    <t>je suis satisfaite de votre service en ligne
 la souscription a été très rapide 
elle me convient parfaitement à mes attentes
petit bémol il y a un étage et je n'ai pas réussi a modifier</t>
  </si>
  <si>
    <t>14/04/2021</t>
  </si>
  <si>
    <t>kergeot-100653</t>
  </si>
  <si>
    <t xml:space="preserve">Situation plutôt comique. J'ai fait une demande d'assurance pour un prêt à la consommation chez afi-esca lesquels ont demandé un complément d'information médical suite à un document que je leur ai fait suive de mon cardiologue lequel précise qu'il veut me voir dans 6 mois afin d'effectuer un test d'effort seulement voilà le docteur me voit tous les 6 mois et à chaque fois il note un examen différent que je dois effectuer juste pour se rassurer car je n'ai pas de maladie cardiaque..cela veut donc dire que je ne pourrai jamais m'assurer chez cet assureur qui suit pathetiquement une procédure incohérente.. </t>
  </si>
  <si>
    <t>26/11/2020</t>
  </si>
  <si>
    <t>yann-p-110089</t>
  </si>
  <si>
    <t>Je ne suis pas du tout satisfait puisque c'est la 3ème fois que vous me redemandez un relevé d information me concernant sur la période du 26/03/2019 au 05/04/2019 pour la création de mon contrat, alors que je vous joins systématiquement le même doc concernant cet période</t>
  </si>
  <si>
    <t>cyril-s-101242</t>
  </si>
  <si>
    <t>Sous réserve de l'accomplissement final de notre opération de réassurance emprunteur, nous sommes satisfait de l'accompagnement et des réponses obtenues par l'équipe</t>
  </si>
  <si>
    <t>10/12/2020</t>
  </si>
  <si>
    <t>elodiem-75746</t>
  </si>
  <si>
    <t xml:space="preserve">Nul... Je regrette bcp d'avoir quitté la MACSF qui me versait tjs les prestations rapidement. Je l'ai fait suite à la sollicitation de courtiers GIEA qui m'ont complètement baratiné 
J'attends une prime de naissance que je ne toucherai sans doute jamais !
Espace client nul on me renvoie tjs vers le courtier GIEA par lequel jai souscrit ... Réponses molles parlent mais n'agissent pas
Je compte résilier si cette prime de naissance ne m'est pas versée très vite </t>
  </si>
  <si>
    <t>SwissLife</t>
  </si>
  <si>
    <t>09/05/2019</t>
  </si>
  <si>
    <t>cafrinette-101627</t>
  </si>
  <si>
    <t>Je suis à la MATMUT depuis dix ans, je suis satisfaite de leur service. Dommage qu’il ne fasse pas de remise plus intéressante quand vous avez plusieurs contrats chez eux.</t>
  </si>
  <si>
    <t>wiiwii-103309</t>
  </si>
  <si>
    <t>Je suis adhérente Intériale depuis 2005 . Fonctionnaire du ministère de l'intérieur et en arrêt de travail depuis le 15/03/2020 au 10/07/2020 puis du 17/09/2020 au 29/01/2021.
A demi traitement depuis juin 2020 avec perte de salaire et primes chaque mois en fonction de ma quotité saisissable. J'ai fournis tout les documents nécessaires à mon maintien de salaire et primes à Intériale afin d'être indemnisée rapidement, nous sommes le 27/01/2020 et malgré mes relances quasi tout les jours, courrier etc...Intériale me répond : 
 Nous n'avons constaté aucune perte au titre de votre traitement et de vos primes sur les bulletins de salaire des mois de septembre, octobre, novembre et décembre 2020.
Les pertes de salaires ont même été constatées par plusieurs de leurs conseillers au téléphone...on me fait tourner en rond et aujourd'hui je me retrouve interdit bancaire!
On me dit que mon dossier passe en urgence niveau max, de rassurer ma banque que le règlement de mon demi traitement va intervenir sous 4 ou 5 jours pour au final me dire que je ne perds pas de salaire.
Aussi, à savoir, lorsque vous vous retrouvez à demi traitement, peut importe le montant retenu sur votre salaire chaque mois ce qui compte c'est l arrêté de demi traitement. C est à dire que la mutuelle doit chaque mois vous verser la moitier de votre salaire brut même si avec la quotité saisissable vous n'avez perdu que 200 euros par exemple. Pourquoi parce qu'au bout de 6 mois de retenu sur salaire si l'administration n'a pas réussi à se " rembourser intégralement" ca part chez la DGFIP ( finances publiques) qui émet alors des titres de perceptions à régler dans les 15 jours sous peine de mise en demeur. Ces titres de perceptions ne sont pas indemnisés par la mutuelle Intériale. C est pourquoi le maintien de salaire doit être versé chaque mois dans son intégralité et non en fonction de ce que vous avez perdu réellement.
Pour conclure, je suis déçue, dégoutée et en colère contre Intériale, qui sait pendre chaque mois mes 200 euros de cotisation mais est incapable de m'indemniser.
Je déconseille cette mutuelle à tout les collègues qui seraient tenté d'y adhérer.
Aujourd'hui je vais me tourner vers mon assistance juridique afin d'entamer une procédure.</t>
  </si>
  <si>
    <t>27/01/2021</t>
  </si>
  <si>
    <t>thlx33-88983</t>
  </si>
  <si>
    <t>Titulaire d'une rente assurance vie, je me bas depuis 5 mois pour tenter de faire enregistrer un simple changement de coordonnées bancaires</t>
  </si>
  <si>
    <t>19/04/2020</t>
  </si>
  <si>
    <t>01/04/2020</t>
  </si>
  <si>
    <t>loic-o-130009</t>
  </si>
  <si>
    <t xml:space="preserve">Prix qualitatif, je verrais au fur et à mesure de votre niveau de satisfaction.
Néanmoins les prix et et prestations proposées sont très compétitifs.
</t>
  </si>
  <si>
    <t>29/08/2021</t>
  </si>
  <si>
    <t>aderdour-m-117410</t>
  </si>
  <si>
    <t xml:space="preserve">je suis  clients  chez  l olivier   assurance  depuis  longtemps  et avec  deux voitures  assurer  j'ai  que 10  pour cent de réduction et c'est pas énorme.  </t>
  </si>
  <si>
    <t>17/06/2021</t>
  </si>
  <si>
    <t>pjean-101440</t>
  </si>
  <si>
    <t xml:space="preserve">Impossible de résilier mon contrat
J'en suis à ma 3e tentative toujours une bonne raison pour bloquer la résiliation
Très procéduriers
Je déconseille cette mutuelle
</t>
  </si>
  <si>
    <t>14/12/2020</t>
  </si>
  <si>
    <t>utilisateur94-78714</t>
  </si>
  <si>
    <t>Conseilleres incompetentes
Ils m'ont fait resilier et souscrire un nouveau contrat alors qu en fait il n y avait pas besoin
Resultat des courses obligation de payer 3 mois d avance e nouveau plus un service de drivebox que pour le moment je paye pour rien car je ne peux leur transmettre encore la carte grise définitive  
Et bien sur ils ne remboursent pas le service non utilise</t>
  </si>
  <si>
    <t>27/08/2019</t>
  </si>
  <si>
    <t>jm-99355</t>
  </si>
  <si>
    <t>A fuir. J'ai changé de banque pour un meilleur taux, et impossible de joindre pacifica pour leur transmettre le nouveau RIB. Suite à plusieurs mensualités impayés car ils ne répondent pas au téléphone (heureusement que je n'ai jamais eu de sinistre), ils réclament des sommes de résiliation.
Je suis passé par LCL assurance, à fuir de la même façon.</t>
  </si>
  <si>
    <t>29/10/2020</t>
  </si>
  <si>
    <t>juliette-351-115487</t>
  </si>
  <si>
    <t>Lamentable. Dossier de succession reçu complet il y a plus d 1 mois.aucune réponse aux mails , aucune explication par téléphone ( quand joignables, patience) mis à part de patienter. Le conseiller n a pas accès à toutes les pièces du dossier et ne sait rien.. le service succession est totalement incompétent. Fuyez !</t>
  </si>
  <si>
    <t>Afer</t>
  </si>
  <si>
    <t>na74-59111</t>
  </si>
  <si>
    <t>Loin de l humain..résilie les contrats meme sous accident non responsable</t>
  </si>
  <si>
    <t>24/11/2017</t>
  </si>
  <si>
    <t>cc-131765</t>
  </si>
  <si>
    <t>L'aventure rocambolesque que j'ai vécu avec Générali justifie cette note. 
16 ans en tant que cliente, une assurance-vie à récupérer pour financer un déménagement outre-mer et le début des ennuis. Je contacte "mon conseiller" fin juin pour lui signifier que je vais probablement changer de lieu de travail et de ce fait aurais besoin d'une partie de mes fonds. Départ validé en juillet pour commencer à travailler en septembre. Je lui demande donc de mettre en route un rachat partiel de mon assurance-vie et un rendez-vous pour finaliser tout ça. 1 semaine sans réponse. J'insiste sur tous les réseaux communiqués et parviens à obtenir les documents à fournir. Envoi par mail sans savoir si tout est OK. J'insiste encore et il me dit que tout est OK et me demande de patienter. 1 mois plus tard (nous sommes au mois d'août) pas un euro. Et monsieur est en congé. Dieu merci mon départ est reculé à quelques semaines mais mon inquiétude monte. Dès son retour je le contacte : messagerie, 10 appels en moyenne, whatsapp : il lit mon message mais ne répond pas. Mail : idem. Et quand le téléphone  
sonne c'est dans le vide. Au final j'appelle le numéro en 09 et tombe sur une conseillère qui me dit que ma demande de rachat n'a JAMAIS été faite...je suis à 3 semaines de mon départ !!! Elle me donne des coordonnées mail et me demande d'y envoyer tous les documents déjà fournis à "mon conseiller". 3  jours après le 02 septembre je reçois mon argent ENFIN et pas grâce à lui !!! Je découvre qu'au lieu d'un rachat partiel il m'avait fait remplir une demande de rachat total...A ce jour aucunes nouvelles de ce monsieur pour justifier son comportement. Merci à cette conseillère qui me permet d'appréhender mon départ sereinement. Quant à ce monsieur...et Pour le reste : A FUIR !!!</t>
  </si>
  <si>
    <t>caistiker-117524</t>
  </si>
  <si>
    <t>victime d'une tentative de vol de ma moto , les voleurs pris en flagrant délit0 , dépôt de plainte ..
je contacte april pour avoir un avocat pour me défendre car l'assistance juridique est comprise dans mon contrat 
April me donne les coordonnées de Allianz , pas de nouvelles de leur part et quand je les appels(toute les semaines) ils me disent on  s'en occupe le jour du procès approchant ..
2 jours avant le procès allianz me dit qu'en réalité je suis assuré auprès d 'une autre compagnie solucia ...
résultat je vais au procès sans avocat ...autant vous dire qu'avec un bon avocat j'aurais pu obtenir beaucoup plus de dommages et intérêts
je contacte april car j'ai payé une prestation qu'ils n'ont pas été capable de me fournir  en leur demandant ce qu'ils comptaient faire en dédommagement  et la tous le monde fait le mort en me disant on  s'en occupe je dois les relancer tous les mois et toujours aucune réponse de leur part ...
les conseillers sont plutôt sympas mais à chaque fois il faut voir avec leur direction et la .....</t>
  </si>
  <si>
    <t>audrey-f-117480</t>
  </si>
  <si>
    <t>Adhérente depuis plusieurs années et satisfaite du service.
Bonne réactivité des conseillers. Les tarifs sont attractifs et les prestations complètes.</t>
  </si>
  <si>
    <t>mbernannou-80059</t>
  </si>
  <si>
    <t xml:space="preserve">Faisant suite à la disparition de sa filiale low-cost, IDMACIF, j'ai été contacté par la Macif qui m'a fait une offre honnête sur un pack auto et habitation, il y avait moins cher mais de par mon travail, je ne voulais pas m'engager dans une nouvelle démarche couteuse en temps.
La première année s'est passée sans encombre mais dès l'échéance de mon contrat, chez la Macif il est fixé au 30 avril, les soucis ont commencé et je me suis vite aperçu que cette compagnie n'est pas à l'aise avec l'outil informatique. En effet, en tant que consultant, j'interviens sur des missions de longue durée et ne rentre en France que tous les 2 à 3 mois, cette situation à priori anodine a causé une première résiliation de mon contrat. En effet, en raison d'un incident sur le paiement qui m'a été signalé par courrier mais jamais par email, je ne pouvais donc agir et 2 mois après la date d'échéance, j'ai été notifié par courrier de ma résiliation sans aucun effort de me joindre par mail ou téléphone (il n'y avait pas d'erreur sur mon adresse mail puisque je continuais à recevoir des emails promotionnel).
A mon retour, je trouve les courriers et me déplace en agence, l'un des vrais avantages de cette compagnie, et la personne qui m'a accueilli a admis des ratés au niveau de leur système d'information et pour résoudre la situation, on m'a demandé de régler la totalité de la prime en une seule fois. 
Plusieurs jours après, je me rends compte que la date de début mentionnée sur le certificat était celle du rétablissement du contrat et la date d'échéance. Je les ai contacté et demandé soit de rectifier la date, soit qu'ils me remboursent le trop-perçu s'ils souhaitent garder la date du rétablissement, D'autant plus que l'erreur est partagée. Ils ont bien entendu refusé et en février 2019, j'ai déménagé et les ai informés. A la date d'échéance, je leur envoie un courrier demandant la résiliation de mon contrat auto (l'habitation elle devait être résiliée à la date du déménagement). Entre temps, je trouve une autre assurance avec une date de démarrage au 20 Juin pour tenir compte du préavis. 3 semaines après ma demande de résiliation, je reçois un courrier refusant la résiliation au motif que la démarche doit être faite par le nouvel assureur. Je recontacte le nouvel assureur qui accepte de faire la démarche par ses soins et on décale la date d'effet au 20 Juillet pour tenir compte du nouveau préavis.
Entre temps, je leur demande un recalcule de ce je leur dois afin que je puisse régler au prorata. En réponse, je reçois un "impayé" de 625 Euro, supérieur à la cotisation annuelle, pour un prorata de 89 jours. Je n'ai évidemment pas payé et attendu mon retour pour régler le problème directement en agence.  
A mon retour, je me présente et fourni les documents prouvant que j'ai déménagé et demandé un recalcule des sommes dues au prorata, ils recalculent mais gardent toujours une pénalité de 274 Euro pour résiliation par l'assurance. Ce qui est totalement faut puisque c'est moi qui ai demandé la résiliation comme me l'autorise la loi.
Pire, d'un litige sur le montant des cotisations, on me sort un relevé d'information avec la mention résilié par l'assureur pour non-paiement, ce qui frôle la mauvaise foi et vise simplement à m'empêcher de m'assurer ailleurs.
Résultat de l'histoire : soit je dois payer le montant surévalué de la Macif, soit payer une surprime au nouveau assureur puisque mon profil est devenu plus risqué.
Qui a dit qu'il n'y avait pas de la concurrence dans le domaine des assurances ?
Actuellement, je suis en procédure devant le médiateur des assurances mais quel gachis en termes de temps et d'argent pour les deux parties.
</t>
  </si>
  <si>
    <t>15/10/2019</t>
  </si>
  <si>
    <t>hairie-j-115450</t>
  </si>
  <si>
    <t>L'accueil téléphonique est très sympathique. Le comparatif par mail est accessible. C'est relativement simple. Les prix sont raisonnables comparés à d'autres assureurs.</t>
  </si>
  <si>
    <t>31/05/2021</t>
  </si>
  <si>
    <t>bebekoualy-64629</t>
  </si>
  <si>
    <t>Je suis assurée au tiers chez Axa Click and Go, leurs prix défient toute concurrence. On peut prendre des options comme option 0 km en cas de panne, voiture de remplacement en cas d'accident, le joker pour moins de 30 ans... etc</t>
  </si>
  <si>
    <t>09/06/2018</t>
  </si>
  <si>
    <t>sandrine-h-135757</t>
  </si>
  <si>
    <t>Prix convenable . Souscription simple et rapide.
Pas d'exageration de prix comme beaucoup d autres mutuelles..site clair et accessible. Tres satisfaite</t>
  </si>
  <si>
    <t>03/10/2021</t>
  </si>
  <si>
    <t>jbavrillier-81697</t>
  </si>
  <si>
    <t>Encore une fois refus de prise en charge d'un dommage de carrosserie en assurance tous risques. C'est désespérant</t>
  </si>
  <si>
    <t>06/12/2019</t>
  </si>
  <si>
    <t>lol-77807</t>
  </si>
  <si>
    <t>Service client quasi-inexistant, rétention des informations, choix des prestataires-réparateurs médiocre. Bref, le type même de la vieille assurance où le client est juste une rente. Un seul conseil : passez votre chemin avec cet assureur.</t>
  </si>
  <si>
    <t>22/07/2019</t>
  </si>
  <si>
    <t>thierry-96584</t>
  </si>
  <si>
    <t>je suis  depuis 40 ans je viens d'avoir un sinistre la banne de ma terrasse à été endommagée par un coup de vent bien qu’étant assuré pour les biens extérieur mon assureur ma répondu comme quoi je n’était pas assuré car il ni avait pas eu de tempête (il faut être idiot pour déplier un banne un jour de tempête)
un geste commercial à été fait 200€ sur un dégât de plus de mille euros (pour info je paie environ 10000€ par an entre mon entreprise véhicule et habitation
il faut croire que la maaf assure que ce qu'il ne risque rien
je vous conseil de privilégier une autre assurance même si elle est légèrement plus cher
thierry rossillol</t>
  </si>
  <si>
    <t>23/08/2020</t>
  </si>
  <si>
    <t>romeo00-64444</t>
  </si>
  <si>
    <t xml:space="preserve">Je suis en incapacité partielle depuis le 01/12/2017 et je perçois du RSI une pension d'invalidité à ce titre d'autre part j'ai une assurance prévoyance pour les indépendants qui doit aussi intervenir en complément mais à ce jour aucune nouvelle de leur part , cela fait 5 mois que j'attends . j'ai été convoqué pour une expertise médicale qui a constaté et validé mon état de santé et depuis plus rien.
-Lettre recommandée sans réponse
-3 émails sans réponse 
Cela devient inadmissible et insupportable ,manque de communication flagrant ,les appels téléphoniques nous sont clairement reprochés. 
Faut-il passer par un avocat ? je crois que je vais faire cela car j'ai une protection juridique dans une autre compagnie d'assurance ,je vais voir avec eux.
</t>
  </si>
  <si>
    <t>05/06/2018</t>
  </si>
  <si>
    <t>antoparis78-56658</t>
  </si>
  <si>
    <t xml:space="preserve">Les personnes ne se communique pas entre elles !
Pas suivi dans le dossier client !
Lorsque vous avez des problèmes, il n'y a personne pour vous aider.
Quand vous avez besoin d'appeller plusieurs fois  le service client pour le même problème, vous êtes obligés répéter le même discour à chaque appel puisque vous ne tombez jamais les mêmes personnes !
</t>
  </si>
  <si>
    <t>14/08/2017</t>
  </si>
  <si>
    <t>01/08/2017</t>
  </si>
  <si>
    <t>jsm941-77494</t>
  </si>
  <si>
    <t>Dans le cadre d'un déménagement avec augmentation de la prime d'assurance, Direct assurance refuse la résiliation pourtant prévue dans ce cas par la loi Hamon, (Art 113-16 du code des assurances)
Ils invoquent le fait que ce motif n'est pas prévu dans leurs conditions générales...
Ben voyons... Donc Direct Assurance est au dessus des lois, sachez le !!!
Passez votre chemin.</t>
  </si>
  <si>
    <t>10/07/2019</t>
  </si>
  <si>
    <t>az-99715</t>
  </si>
  <si>
    <t xml:space="preserve">Apres un sinistre non responsable en 2018. 
a ce jour aucun retour des services concernés, malgres plusieurs appels, et des reponses évasives
J'ai dû laisser tomber. 
</t>
  </si>
  <si>
    <t>05/11/2020</t>
  </si>
  <si>
    <t>neness-85724</t>
  </si>
  <si>
    <t xml:space="preserve">A fuir à tout prix, relation client zéro, je demande depuis plusieurs mois un relevé d'information via l'application, le site ou par appel et je n'ai toujours rien.
Mon fils a terminé sa conduite accompagné, je veux le notifié sur mon contrat, j'ai envoyé un mail il y a quelques temps, pareil toujours pas de réponse.
Ma fille venant d'avoir 18 ans, j'appel pour la notifié en conducteur secondaire sur mon contrat, j'ai été baladé de service en service pour au final me dire que la personne en ligne ne peut rien faire pour moi et me dit qu'un conseillé me rappellera, cela fait 3 jours .........
la concurrence doit être heureuse :-) </t>
  </si>
  <si>
    <t>10/01/2020</t>
  </si>
  <si>
    <t>chris-28-77708</t>
  </si>
  <si>
    <t>Cet assureur se lance sur le marché français en proposant des garantie et conditions équivalentes aux assureurs établis avec un modèle "à distance" Web et téléphone, et des tarifs très concurrentiels.
A consulter pour qui est familier d'Internet et recherche le meilleur rapport garanties/prix .</t>
  </si>
  <si>
    <t>17/07/2019</t>
  </si>
  <si>
    <t>benjamin-49752</t>
  </si>
  <si>
    <t>Les conseillers en ligne sont très sympa mais pas du tout coordonnées avec les agences. Les prix annoncés sont très différent et le service client est exécrable, je ne recommande vraiment pas ! surtout à Montpellier ... considérant que les prix ne sont pas du tout compétitifs , même pour les fonctionnaires !</t>
  </si>
  <si>
    <t>30/11/2016</t>
  </si>
  <si>
    <t>aud-119077</t>
  </si>
  <si>
    <t>Fuyez !!!!on peut pas mettre zéro étoiles….depuis plusieurs années je paye assez cher (en tout cas plus qu’ailleurs après m’être renseigné).J’ai voulu pour la première fois faire fonctionner cette Prevoyance ,deux mois d’attente pour une réponse négative qu’il m’a fallut obtenir en téléphonant avec insistance .on m’a envoyé 3 fois le même courrier pour me dire que les courriers étaient traité sous 3 semaines Meme si ils sont similaires !!! J’attend + de deux mois pour qu on me dise c’est refusé au titre de l’article 12 .Quel est l’article 12? Je ne sais pas c’est l’article 12 ,en attendant il laisse les familles crevés la dalle .idem pour la mutuelle que j’ai chez eux par obligation employeur 25 jours d’attente pour des remboursements  de soins à hauteur de 680€ .j’ai 2 enfants ,leur pere est tétraplégique .Quand j’ai souscrit ,pour prendre mon pognon on m’a dit aucun soucis vous serez bien couverte ! C’est que des embrouilles, des courrier identique à répétition ,histoire de dissuader ,des appels intempestifs pour avoir des réponses ballades ,et finalement des refus .Gaspillez pas votre argent Croyez moi ,cherchez ailleurs !!!!moi tout sera résilié dans  la journée !</t>
  </si>
  <si>
    <t>24/06/2021</t>
  </si>
  <si>
    <t>nicolas-s-124883</t>
  </si>
  <si>
    <t>cette assurance et bien nivaux explication et nivaux prix
et je suit satisfais des renseignement que jais pu avoir par tel
super assurance
cordialement</t>
  </si>
  <si>
    <t>26/07/2021</t>
  </si>
  <si>
    <t>lolo624-57669</t>
  </si>
  <si>
    <t>Super acceuil en agence, ils font tout pour répondre aux attentes des clients, je recommande vivement.
Un peu cher peut etre mais certainement dû au rapport qualité prix
Agence de Lunel 34400</t>
  </si>
  <si>
    <t>chatbbchat-71251</t>
  </si>
  <si>
    <t>J'attends toujours les remboursements de l'année 2018. J'ai résilié au 31/12/2018. Ils n'ont pas voulu prétextant que je n'étais pas cliente depuis plus d'un an alors que j'étais cliente depuis plus de 2 ans. Ils ne répondent jamais. Beaucoup de difficultés déjà à la souscription. Envoie de lettres recommandées en octobre,novembre2018 et janvier 2019 demeurées sans aucune réponse Toujours dans l'attente des remboursements.</t>
  </si>
  <si>
    <t>13/02/2019</t>
  </si>
  <si>
    <t>naouf3l-65071</t>
  </si>
  <si>
    <t xml:space="preserve">Services externalisés au Maroc difficilement joignables. Prix qui ont l'air intéressants mais trop cher pour un service inexistant. Car quand vous avez un sinistre et que vous renseignez le dossier de sinistre le jour même et que l'assurance met plus d'une semaine avant de vous contacter, et vous dit que le véhicule est déplacé vers un garage pour l'expertise. Et votre conseiller vous assure que l'expert est passé voir votre véhicule, et vous vous rendez compte que votre véhicule n'a pas bougé, et ils vous disent que les frais de gardiennage sont à votre charge. On vous promet une voiture de remplacement, juste pour vous calmer, mais elle ne viendra jamais comme chacune de leurs promesses. L'expert définit la valeur du véhicule via des annonces le bon coin, et du coup sous évalue la valeur réelle. Votre conseiller au bout d'une vingtaine d'emails et une trentaine de coup de fil vous dit que vous pouvez contester l'estimation. Leur réponse à cela met du temps à vous parvenir malgré qu'elle soit négative. Sans jamais que le conseiller ou l'assurance ne vous communique une limite de temps, lorsqu'ils reçoivent vos documents pour l'indemnisation, ils vous la refusent.
fuyez cette assurance qui prendra votre argent et vous laissera volontiers à votre malheur quand vous aurez besoin d'une vraie assurance. </t>
  </si>
  <si>
    <t>26/06/2018</t>
  </si>
  <si>
    <t>jsnewton-98989</t>
  </si>
  <si>
    <t xml:space="preserve">Jamais vu une mutuelle où tout est si compliqué : au démarrage j'ai attendu plus d'un mois pour avoir ma carte de tiers payant. A mon départ ils ne m'ont pas déconnecté de la télétransmission Noemie (je les ai appelé 5 fois, envoyé 5 emails). Les conseillés que nous avons au bout de 30 minutes d'attente sont incompétents. A fuir absolument ! </t>
  </si>
  <si>
    <t>21/10/2020</t>
  </si>
  <si>
    <t>marielle-j-110425</t>
  </si>
  <si>
    <t>Je suis insatisfaite. Bris de glace déclaré  le 12/04/21 n'apparait pas dans mon espace, on demande au prestataire agrée par direct Assurances le contrôle technique impossible de leur envoyer par mail car les courriers sont rejetés. J'ai passé l'après midi à essayer de régler ce problème et n'y suis pas parvenue. Je suis en colère d'autant que j'ai souscrit en tout risque sans franchise bris de glace !!!!</t>
  </si>
  <si>
    <t>soni-96395</t>
  </si>
  <si>
    <t xml:space="preserve">Bonjour, je suis agréablement surprise, au début j'ai eu beaucoup d'hésitation avec les commentaires négatifs, j'ai souscrit à ECA en mars pour mon furet et malheureusement elle a déclaré une pathologie en juillet et j'ai cru la perdre heureusement j'ai une super veto, j'ai rempli les papiers de l'assurance et je viens de recevoir un mail comme quoi je vais être remboursé à hauteur de 70%, je vais garder cette assurance pour mon furet c'est certain, je pense qu'il faut bien lire le contrat pour ne pas être déçu et de la patience. </t>
  </si>
  <si>
    <t>laurent-p-125596</t>
  </si>
  <si>
    <t>Je suis Satisfaite du service rendu par la GMF lié à ma demande.
cependant, pas assez rapide la réception de la carte verte du véhicule et donc besoin d'imprimer une attestation.</t>
  </si>
  <si>
    <t>decue-50357</t>
  </si>
  <si>
    <t xml:space="preserve">F1601776618R
La Maif n'offre plus le service qui correspondait à son image, service client devenu inexistant </t>
  </si>
  <si>
    <t>16/12/2016</t>
  </si>
  <si>
    <t>beatrice-b-106151</t>
  </si>
  <si>
    <t xml:space="preserve">partiellement satisfaite du service. 
pas d'augmentation de tarif mais pas de baisse alors que nous avons été confinés depuis mars 2020....à voir je pense
</t>
  </si>
  <si>
    <t>10/03/2021</t>
  </si>
  <si>
    <t>serge39500-67739</t>
  </si>
  <si>
    <t>TRES BIEN. AUCUNS SOUCIS. BONNE TELETRANSMISSION. POSSIBILITE DE CHANGER DE FORMULE RAPIDEMENT. REMBOURSEMENTS RAPIDES</t>
  </si>
  <si>
    <t>16/10/2018</t>
  </si>
  <si>
    <t>sandrine-72254</t>
  </si>
  <si>
    <t>Suite au contact téléphonique avec votre conseillère ERIKA  accueil parfait réponse à mes renseignements parfaits courtoise et agréable</t>
  </si>
  <si>
    <t>18/03/2019</t>
  </si>
  <si>
    <t>amoin-adele-a-135076</t>
  </si>
  <si>
    <t xml:space="preserve">À la recherche d’un nouveau contrat d’assurance auto et habitation, j’ai trouvé des tarifs et prestations correctes, service rapide et efficace, disponibilité des conseillers. Vraiment top, Je recommande direct assurance. </t>
  </si>
  <si>
    <t>jean-phi-123875</t>
  </si>
  <si>
    <t xml:space="preserve">Globalement satisfait. Les tarifs sont conséquents et pas toujours à la hauteur des attentes, notamment en lunetterie.. Remboursement des montures et verres progressifs... Toujours obligé de compenser, sans avoir des goûts de luxe et en allant en boutique sponsorisée par la MGP... Délais de traitement trop longs. Accueil des opérateurs toujours sympathique et avis toujours éclairés. 38 ans de fidélité ne donnent pas le droit à des avantages personnalisés, c'est dommage. </t>
  </si>
  <si>
    <t>19/07/2021</t>
  </si>
  <si>
    <t>ismaila-c-109833</t>
  </si>
  <si>
    <t>Service rapide et la souscrire est rapide nous verrons si le service client est aussi efficace au fil du temps , pour le moment entouca sa démarre bien</t>
  </si>
  <si>
    <t>09/04/2021</t>
  </si>
  <si>
    <t>eli-112751</t>
  </si>
  <si>
    <t>également en attente de remboursement de frais réglés directement aux praticiens (3 mois 1/2), 4 mails sans réponse sur le site, renvoi des factures, appels téléphoniques (répondeur ....), et après avoir lu toutes les critiques, je me suis rendue à leur siège . J'habite le Var 2 heures aller -retour
ils ne reçoivent pas de public , cause CAUVID, mais j'ai sonné : une dame est venue, j'ai tout expliqué , un peu énervée, la dame est restée calme , m'a expliqué de pas être en cause .... oui, elle n'est qu'une employée. désolée
mais a pris toutes mes factures et est partie les régler. 20 mn après , m'a confirmée que le virement serait sur mon compte d'ici 3-4 jours. J'ai demandé ce qui se passait, pourquoi ils ne répondaient pas aux mails, etc.. les gens sont en colère ...
effectivement, ils ont un problème de logiciel : changé depuis 3-4 mois, le basculement ne s'est pas bien passé, tout est resté en attente, ils ont embauché des stagiaires pour apurer les retards. voilà, j'ai réglé mon problème, mais j'attends la suite. voici le mail que cette dame m'a indiquée pour envoyer les documents, doléances, etc.... moncontratsanté@cegema.com. 
Je viens de recevoir un mail présentant des excuses.....</t>
  </si>
  <si>
    <t>laura-92340</t>
  </si>
  <si>
    <t>Je suis satisfaite de la simplicité pour la réalisation d’un devis. 
Les prix m’ont l’air bien, en concurrence avec d’autres assurances mais je pense que c’est la meilleure.</t>
  </si>
  <si>
    <t>26/06/2020</t>
  </si>
  <si>
    <t>franc-66973</t>
  </si>
  <si>
    <t>Suite à réception du relevé d'info, l'assureur à rajouté 100 e sur ma prime ,du fait que le relevé indique 2 sinistres , ce n'est qu'une réparation et ensuite changement du pare-brise!. J'ai 50%de bonus et jamais d'accidents .Ce n'est pas normal</t>
  </si>
  <si>
    <t>20/09/2018</t>
  </si>
  <si>
    <t>adams-j-107379</t>
  </si>
  <si>
    <t>Simple et practique. Tout est fait par téléphone et prix acceptable. C'est malheureusement que je n'ai pas pu profiter du bonus de référence pour un ami. On m'a dit seulement une fois le paiement effectué.</t>
  </si>
  <si>
    <t>21/03/2021</t>
  </si>
  <si>
    <t>laure-j-123560</t>
  </si>
  <si>
    <t>Pour le moment je suis satisfaite du déroulement du changement. 
je n'ai pas testé en cas de sinistre responsable ou non. c'est à ce moment que l'on peut juger réellement le service de DIRECT ASSURANCE</t>
  </si>
  <si>
    <t>ced-86046</t>
  </si>
  <si>
    <t>Tres bien la première année mais ensuite bcp bcp trop cher. 200,caractères pour écrire quoi de plus que le prix est attractif la première année et après..</t>
  </si>
  <si>
    <t>17/01/2020</t>
  </si>
  <si>
    <t>dede-87139</t>
  </si>
  <si>
    <t>Un demi siècle de fidélité à la Macif pour me rendre compte que je me suis fait avoir. Ils ont encaissé plus de 9 ans de cotisations "obsèques" sans jamais me mettre au courant que mon contrat était obsolète à l'âge de 72 ans. Lorsque je suis allé les voir, ils m'ont répondu que je n'avais qu'à lire mes contrats.
Je me rends compte à 83 ans que je me suis bien fait avoir par ces gens. Ma fille très remontée va résilier mes contrats et s'en va elle aussi car elle était aussi à la Macif.
Décevant et pas honnête!</t>
  </si>
  <si>
    <t>jo-138039</t>
  </si>
  <si>
    <t xml:space="preserve">Je suis adhérente "Neoliane Santé" depuis quelques mois et j'ai eu besoin de conseils pour faire ma première demande de remboursement, les conseils d'Emeline m'ont été très utiles, qualité de l'accueil et gentillesse de l'hôtesse. </t>
  </si>
  <si>
    <t>22/10/2021</t>
  </si>
  <si>
    <t>pierre-m-130591</t>
  </si>
  <si>
    <t xml:space="preserve">Simplicité pour la recherche d’une assurance suivant mes besoins
Offre claire et concise reçue rapidement 
Prix et prestations compris dans la moyenne de la. concurrence </t>
  </si>
  <si>
    <t>alex0doc-57868</t>
  </si>
  <si>
    <t xml:space="preserve">6 mois à les avoir laissés soit disant relanceravant de découvrir que la partie adverse n était même pas au courant du sinistre. </t>
  </si>
  <si>
    <t>06/10/2017</t>
  </si>
  <si>
    <t>isam-98904</t>
  </si>
  <si>
    <t>je mets une étoile parce que je ne peux pas en mettre 0.cliente à la MAAF depuis 1987, je constate depuis 3 pas une dégradation totale du service: impossibilité de joindre mon agence malgré des prises de RV téléphoniques, dossiers de sinistres qui se gèrent avec des courriers recommandes et un médiateur car ils ne répondent jamais ni aux mails, ni aux appels, mélange dans les dossiers, plateforme incompétente , aucun suivi.
Bref j'ai résilié mes contrats habitation il y a 2 ans et je suis en cours de résiliation de mes contrats moto (dès qu'ils auront réussi à faire correspondre mon nom avec mon n° client et mon n° contrat... ce n'est pas gagné, c'est du niveau 6ème, mais ils se sont arrêtés au CM2!)</t>
  </si>
  <si>
    <t>19/10/2020</t>
  </si>
  <si>
    <t>zouzou77-94980</t>
  </si>
  <si>
    <t>J ai été victime d un accident par un animal sauvage et leur expert contre dit les faits et ils nous disent de payer la contre expertise et une 3 e expertise avec incertitude d avoir une indemnisation, alors qu on est de bonne fois et sincère, moi même étant médecin.</t>
  </si>
  <si>
    <t>23/07/2020</t>
  </si>
  <si>
    <t>lea16-100625</t>
  </si>
  <si>
    <t>1ere expérience d'assurance par Internet....je suis tombée sur une personne super qui a répondue clairement à mes attentes sans vouloir me "vendre" de garanties supplémentaires ou me pousser à quoi que ce soit.....
Tout à été réglé très rapidement, transfert de documents par mail et carte verte en retour
JE RECOMMANDE ??</t>
  </si>
  <si>
    <t>frapol-54083</t>
  </si>
  <si>
    <t>Chute en moto, passage aux urgences. Le carénage de la moto a pris (c'est ce qui est visible)...En une semaine, pas moyen de joindre Aurélien qui est sensé gérer ces dossiers de sinistres : quels conseils peut-on avoir ? Passer par la voie juridique ou faire confiance ? Etant donné que la confiance semble se situer au plus bas pour ce courtier (ASSURBONPLAN) si l'on suit les commentaires du site !!!</t>
  </si>
  <si>
    <t>14/04/2017</t>
  </si>
  <si>
    <t>chris-123470</t>
  </si>
  <si>
    <t>Titulaire d un contrat GAV, j'ai été brûlé et défenestré (2 pieds brûlés au 3eme degrés, 6 points sutures au genou, 2 au bras, cicatrice sur le visage de 2 cm).
Formule intégrale (la plus haute), donnant lieu à une indemnisation de 0 euro (évaluation par le médecin conseil de 1,5 sur 7 lié au préjudice esthétique, franchise relative de 3)
Souffrance enduré 0 (malgré les brulures et le reste !)
Autrement dit si vs n êtes pas dévisagé vs ne serez pas indemnisé.
Je déconseille fortement !!! A fuir</t>
  </si>
  <si>
    <t>Sogecap</t>
  </si>
  <si>
    <t>15/07/2021</t>
  </si>
  <si>
    <t>maniale50-61119</t>
  </si>
  <si>
    <t>Ayant été resiliee pendant les vacances sur mes 3 assurances, donc recommandés non reçus, vous ne serez pas surpris de savoir que je ne recommande absolument pas Pacifica lorsque l'on m'en parle !!!!!!</t>
  </si>
  <si>
    <t>04/02/2018</t>
  </si>
  <si>
    <t>alexis-v-128279</t>
  </si>
  <si>
    <t>Simple, rapide, j'espère que la considération client est au rdv!
Les commentaires en lignes sur la qualité de traitement des dossiers ne sont pas toujours élogieux, j'imagine que Direct Assurance prends en compte ses remarques pour améliorer sa qualité de service.</t>
  </si>
  <si>
    <t>17/08/2021</t>
  </si>
  <si>
    <t>etienne-d-128969</t>
  </si>
  <si>
    <t>Trés bon accueil ,bon rapport qualité prix,chèque de parrainage trés appréciable 
ce n'est pas un devoir de français,
ce n'est pas un devoir de français</t>
  </si>
  <si>
    <t>roux-o-127350</t>
  </si>
  <si>
    <t>Très bon service, contrat bien expliqué et prix intéressant.
A voir par la suite ce que ça donnes mais pour le moment je suis satisfait et recommande L'olivier assurance.</t>
  </si>
  <si>
    <t>10/08/2021</t>
  </si>
  <si>
    <t>patoche-93746</t>
  </si>
  <si>
    <t>Je suis satisfait du service, simple et efficace, et des tarifs proposés par diect-assurance, et je recommande direct-assurance pour l’assurance automobiles</t>
  </si>
  <si>
    <t>10/07/2020</t>
  </si>
  <si>
    <t>syl-101521</t>
  </si>
  <si>
    <t>Simplicité, efficacité et réactivité sont réelle chez cet assureur avec des tarifs  très interressant pour que le client soit totalement satisfait
Merci à l'olivier assurance pour vos excellents services.</t>
  </si>
  <si>
    <t>16/12/2020</t>
  </si>
  <si>
    <t>nicolas-v-110732</t>
  </si>
  <si>
    <t>Souscris  chez cet assureur à partir de ce jour, trop tôt pour donner un avis de satisfaction. Très concurrentiel au niveau tarif.
Je donnerai un avis plus objectif quand j'aurai plus d'ancienneté.</t>
  </si>
  <si>
    <t>17/04/2021</t>
  </si>
  <si>
    <t>marie-53919</t>
  </si>
  <si>
    <t>client chez maaf en habitation depuis plus de 2 ans, je n'avais jamais eu de sinistre j'étais donc contente!
aujourd'hui après avoir déclaré un dégat des eaux, ils me demandent de les contacter pour avoir plus d'éléments et là c'est la cata!!!! impossible de les joindre! j'ai un message qui me dit soit que tous les conseillers sont occupés soit qu'ils sont fermés. j'ai également envoyé 2 mails sans succès non plus! 15 jours de tentative infructueuse, mon sinistre ne va pas avancer à ce rythme!!!!</t>
  </si>
  <si>
    <t>07/04/2017</t>
  </si>
  <si>
    <t>terry-t-116181</t>
  </si>
  <si>
    <t xml:space="preserve">déjà client dans le passé je ne souhaite passer que par vous.
Je recommande a tout mes contacts motard de mon entourage. 
Merci a vous cordialement,  </t>
  </si>
  <si>
    <t>jonathan-g-128331</t>
  </si>
  <si>
    <t>Satisfait de la facilité d'utilisation et de simplicité d'avoir une assurance deux roues sur le site en ligne.
Service à la hauteur rapport qualité prix
Merci</t>
  </si>
  <si>
    <t>kartal-h-108311</t>
  </si>
  <si>
    <t xml:space="preserve">Souscription facile, et prix très attractif (-50% sur l'année en comparaison à direct assurance)   
Site facile d'utilisation et possibilité envoie de doc sur espace en ligne très bien                    </t>
  </si>
  <si>
    <t>28/03/2021</t>
  </si>
  <si>
    <t>jocelyne-d-116911</t>
  </si>
  <si>
    <t>je suis satisfait du service
les prix me conviennent
je suis favorable pour donner mon avis
je suis satisfait de l accueuil
je suis satisfait la rapidité</t>
  </si>
  <si>
    <t>13/06/2021</t>
  </si>
  <si>
    <t>rourou-77512</t>
  </si>
  <si>
    <t>Plus de voiture depuis deux mois pour un accident ou je ne suis pas en tord, on me laisse totalement sans rien, service client jamais joignable. A fuire ils ne font absolument rien.</t>
  </si>
  <si>
    <t>soury-p-139441</t>
  </si>
  <si>
    <t xml:space="preserve">Service satisfaisant et rapide, en revanche sur mon premier contrat de ma Peugeot 307 les tarifs on augmenté alors que mon bonus augmente lui aussi ce qui n'est pas normal a mon gout ce devrais être l'inverse.
C'est dommage car cela donne a réfléchir quand au prochains contrats et celui de la maison.
Sinon Ras </t>
  </si>
  <si>
    <t>11/11/2021</t>
  </si>
  <si>
    <t>gracia-v-128360</t>
  </si>
  <si>
    <t>Je suis étonnée des prix compétitifs . Comme quoi il ne faut pas rester bête. Direct assurance est beaucoup plus avantageux et couvrant que le plus part des assurances « connues »</t>
  </si>
  <si>
    <t>alain-68897</t>
  </si>
  <si>
    <t>Ma mère qui avait souscrit une assurance obsèques  Allianz vient de décéder. Quelle n'a pas été ma surprise en découvrant qu'elle aura versé 7670 euros et que Allianz ne versera que 3835 euros soit la moitié de la somme que ma mère aura déboursée. Ma mère a été démarchée par un courtier Allianz peu scrupuleux qui a manifestement abusé de sa crédulité en lui laissant entendre que les frais d'obsèques étaient couverts sans lui dire précisément que la somme assurée, qui peut être permettait de couvrir les frais d'obsèques il y a 20 ans, sont nettement insuffisants actuellement. Le fait que le montant garanti ne soit pas revalorisé sur une période aussi longue et que dans le même temps, les cotisations continuent à être prélevées, bien au delà de la somme assurée est profondément inique. Je ne soupçonnais pas que de telles pratiques puissent exister et je vais m'employer à les dénoncer avec force. Par ailleurs, dans la lettre que j'ai reçue, j'aurais aimé trouver une esquisse de formule compassionnelle, un semblant de condoléances en ces moments difficiles. Il n'en n'est rien. C'est une lettre factuelle et froide. Dernier point à mentionner: ma mère a eu un nouveau prélévement sur son compte bancaire après son décès....Tant de cupidité et de rapacité  de la part de cet assureur doivent être dénoncés. Je termine en disant que, trois semaines après son décès, ni mon frère ni moi n'avons rien touché.</t>
  </si>
  <si>
    <t>25/11/2018</t>
  </si>
  <si>
    <t>youset-69794</t>
  </si>
  <si>
    <t>Je suis en demande d'un justificatif de soins suite à un remboursement d une grosse somme effectuée depuis plus de 6mois. Jai contacté APril plus de 15 fois pour recevoir ce fameux justificatif auquel on m a répondu, à chaque fois, de patienter 48 à 72h pour le recevoir par mail. Cela fait maintenant plusieurs mois que j'attend et je n'ai toujours rien reçu. APRiL et moi navons visiblement pas la même notion du temps ! De plus, la seule réponse qu on est amène de me donner lorsque je les appels c'est de "PATIENTER". Je trouve inadmissible de devoir courir après un simple justificatif et je me vois dans l'obligation de prendre d'autres mesures. Ils ne sont là que pour faire de largent.</t>
  </si>
  <si>
    <t>alain-l-122308</t>
  </si>
  <si>
    <t>C'est parfait vos tarifs sont corrects
Je déménage car j'ai une belle proposition et je dois assurer très rapidement pour la signature du bail de location.
MERCI</t>
  </si>
  <si>
    <t>scorpion-60122</t>
  </si>
  <si>
    <t xml:space="preserve">La relation avec le service client est très conviviales 
Dans l'ensemble les explications sont claire
très bon accueil dans les agences même si parfois l'entente est un peu longue. </t>
  </si>
  <si>
    <t>03/01/2018</t>
  </si>
  <si>
    <t>fram0080-43586</t>
  </si>
  <si>
    <t>Sinistré depuis mi-juillet sur 2 maisons (prêt relais) aucune maison n'est vendable et une carrément non-habitable; je les ai eu une fois au téléphone où on m'a dit oui oui oui et rien ne se passe quand même.</t>
  </si>
  <si>
    <t>20/11/2018</t>
  </si>
  <si>
    <t>rabera-57927</t>
  </si>
  <si>
    <t>Je suis décue de mon assurance AXA, voilà que l'on me demande de fournir des documents de douanes pour des bijoux acquis il y a de longues pour me  rembourser années à l'étranger. C'est scandaleux ce que les assurances font pour ne pas vous rembourser. Je suis toujours en attente mon dernier courrier date du mois de mars 2017. Mais mes échéances sont elles payées en tant et en heure je vous l'assure. Je ne recommanderais plus AXA</t>
  </si>
  <si>
    <t>09/10/2017</t>
  </si>
  <si>
    <t>jean-c-107275</t>
  </si>
  <si>
    <t>Ayant trois biens assurés chez vous, je trouve excessif  le montant des augmentations annuelles.
Je suis également surpris que vous rémunériez le parrainage et rien pour les clients possédant plusieurs contrats...
Cela peut remettre en question notre fidélité...</t>
  </si>
  <si>
    <t>patod-117631</t>
  </si>
  <si>
    <t xml:space="preserve">                                            MAIS QUE SE PASSE T'IL A LA MATMUT ?????
La MATMUT, une valeur sûre « pas si sûre que ça » ? Voilà ce qui nous est arrivés.
Nous avons été victimes d'un « home-jacking » dans la nuit du 30 avril au 1er mai 2021.
Des intrus sont rentrés dans notre maison fermée à clés et ont volé les clés de notre voiture, une VOLVO V 70 immatriculée DK 462 VK  assurée tous risques.
Sur le procès-verbal établi par la gendarmerie il est indiqué qu'aucune effraction n'a été constatée sur la porte d'entrée laissant supposer que la porte n'était pas verrouillée.
Sur le dépôt de plainte de la gendarmerie il a été précisé que la veille au soir nous avions bien vérifié que la porte d'entrée était bien verrouillée.
La Matmut conteste le remboursement de notre véhicule estimé par l'expert à 16000€ , en se basant sur une supposition « que nous aurions laissé la porte ouverte »
Bien évidemment nous ignorons par quel moyen les voleurs ont pu ouvrir notre serrure (Fausse-clé, Crochetage, Bumping etc….. ) de notre maison fermée à clés, afin d'y dérober la clé de notre véhicule « sans effraction ».
N'étant pas en faute, le véhicule était fermé à clé, la maison aussi.
LA MATMUT  ne tient pas en compte cette loi du code pénal et refuse l'indemnisation
Article 132-73 modifié par la loi 2004 du 9 mars-art 12. JORF 10 mars 2004
L'effraction consiste dans le forcement, la dégradation ou la destruction de tous dispositifs de fermeture ou toute espèce de clôture.
Est assimilé à l'effraction, l'usage de fausses clés, de clés indument obtenues ou de tout instrument pouvant être frauduleusement employés pour actionner un dispositif de fermeture SANS LE FORCER NI LE DEGRADER.
Non seulement nous sommes victimes de voleurs, mais nous sommes également victime de LA MATMUT qui se carapate derrière leurs « conditions générales du contrat multirisques et nous prenne éventuellement pour des fraudeurs, C'EST INSUPPORTABLE, donc LA MATMUT soi-disant « la valeur sûre selon la pub télé n'est pas aussi  sûr que ça.
A suivre……
</t>
  </si>
  <si>
    <t>19/06/2021</t>
  </si>
  <si>
    <t>bettiga-a-115353</t>
  </si>
  <si>
    <t>Un peu déçu de voir les prix augmentés sans trop comprendre les raisons par rapport aux différentes simulation sur Lelynx.
Egalement dommage de voir le prix fortement augmenté en procédant par mensualités.</t>
  </si>
  <si>
    <t>30/05/2021</t>
  </si>
  <si>
    <t>moha-80807</t>
  </si>
  <si>
    <t>Je déconseille cette assurance fuyez fuyez, tout va bien si vous payez vos cotisations et n'avez pas d'accident par contre le jour ou ils vous arrivent un accident bon courage. Ils font tout pour vous faire galérer ça fait 3 mois que mon véhicule est bloqué dans un garage en Espagne, il est réparé mais comme fidelia n'arrive pas à contacter le garage on me laisse dans l'attente. je contacte gmf sinistre pour leur dire que je souhaite avoir un dédommagement pour l'indisponibilité de mon véhicule on me répond on vous donne 200 euros alors que ce montant représente a peine la moitié des cotisations que j'ai payé depuis 3 mois et demi sans avoir mon véhicule. La moindre des choses c'était au moins de me rembourser les mois que j'ai payé pour rien...... bref en plus de cela je doit aller récupérer mon véhicule en Espagne et on me paye seulement l'avion aller pour une personne,alors j'explique que je souhaiterai aller avec ma femme pour me seconder sur la route on me répond"NON" je demande alors au moins une nuit d'hotel du à la fatigue pour prendre la route dans de bonne condition on me repond encore "NON" donc voila comment une assurance va augmenter le risque que je fasse un accident sur le retour....pour une assurance qui est censé vous protéger c'est un peu BAD</t>
  </si>
  <si>
    <t>08/11/2019</t>
  </si>
  <si>
    <t>tiffany-r-134379</t>
  </si>
  <si>
    <t xml:space="preserve">Contente de ce choix j espere ne pas me tromper 
Dans l attente des documents que j espere avoir rapidement je reste a votre disposition pour des questions supplémentaires 
</t>
  </si>
  <si>
    <t>pedro-n-127560</t>
  </si>
  <si>
    <t>Je suis satisfait du service et de l'accompagnement. Au téléphone, j'ai eu un devis précis et des conseils avant de me lancer dans l'achat de mon premier véhicule. En agence on m'a remis ma lettre d'accord préalable à la conduite supervisée et des conseils pour gérer mes contrats. J'aime le service client car les conseillers(ères) sont souriants(es) et aimables. Pour moi la confiance, la transparence et primordiale.</t>
  </si>
  <si>
    <t>11/08/2021</t>
  </si>
  <si>
    <t>elsa-d-130637</t>
  </si>
  <si>
    <t xml:space="preserve">Je suis satisfaite du service.
Les prix sont intéressants.
Je recommande.
Service rapide et efficace. Rien à redire.
N'hésite plus si vous recherchez une bonne assurance </t>
  </si>
  <si>
    <t>el-farisi-t-124842</t>
  </si>
  <si>
    <t xml:space="preserve">A l écoute meilleur qualité prix service client disponible rapidement pas plus de 2min d attente conseiller sympa et tres clair je recommande fortement cette assurance </t>
  </si>
  <si>
    <t>fanny-64058</t>
  </si>
  <si>
    <t>Inadmissible : nous résilions notre contrat d’assurance auto le 23 mars dernier car notre voiture est vendue. Ils nous prélèvent tout de même la cotisation de 720€ le 3 avril 2018 concernant l’assurance résiliée 10jours avant. Depuis cela fait 1mois et demi que nous tentons de nous faire rembourser ces 720€ en vain. Ils nous mentent en permanence en nous disant que le virement sera effectué sous 48h mais ce n’est jamais le cas...
Inadmissible de devoir les harceler pour obtenir gain de cause...  
Après 5appels et en haussant le ton ils finissent par nous expliquer que notre banque peut s’opposer tardivement (jusqu’à 64j aprèss) a ce prélèvement. Notre banque va donc s’y opposer et nous auront le remboursement d’ici 48h ... cette fois si, pou je de vrai !</t>
  </si>
  <si>
    <t>17/05/2018</t>
  </si>
  <si>
    <t>piparono-138762</t>
  </si>
  <si>
    <t xml:space="preserve">Assuré pour 2 véhicules chez eux depuis 40 ans. Cette année 2 bris de glace sur un véhicule et 2 dépannages sur le second. Dans les 4 situations responsabilité nulle d'ailleurs je bénéficiais de 50% de bonus + 15%, de bonus supplémentaires en tant que bon conducteur. Résultat pour cette année 2021 avec 2 sinistres mineurs sur chaque véhicule et malgré 40 années sans autres sinistres, jeté comme un malpropre sans autre forme de procès pour l'ensemble des 2 contrats. </t>
  </si>
  <si>
    <t>02/11/2021</t>
  </si>
  <si>
    <t>stephane-133801</t>
  </si>
  <si>
    <t>Bonjour,
Suite à de nombreux courriers de ma part et des appels téléphoniques,
pour le contrat d'assurances vie de ma Mère, aucune information ne m'est donnée,
ni même le moyen d'avoir accès aux éléments du contrat.
Ils bloquent l'argent qui me revient depuis 4 ans déjà.
A fuir.</t>
  </si>
  <si>
    <t>monamicq-j-107791</t>
  </si>
  <si>
    <t xml:space="preserve">je suis satisfait du service, j'espere que ma fidelite a l'olivier sera recompensee au moment de la reconduction des contrats , pas comme les annees precedentes </t>
  </si>
  <si>
    <t>jean-francois-r-125583</t>
  </si>
  <si>
    <t>inscription facile et pratique et pas chère, à voir avec temps si les services sont au rendez vous.
Je conseillerai cette assurance si elle me convient.</t>
  </si>
  <si>
    <t>enrick-g-112370</t>
  </si>
  <si>
    <t>Je suis satisfait parce que cela s'est fait très rapidement et les prix sont très attractifs. Je suis un nouveau client et si cela me convient, je prendrai d'autres contrats</t>
  </si>
  <si>
    <t>02/05/2021</t>
  </si>
  <si>
    <t>finked92260-90338</t>
  </si>
  <si>
    <t xml:space="preserve">Service efficace facile d'accès et d'utilisation
La plate forme est joignable les personnes qui traitent la demande sont à l'écoute </t>
  </si>
  <si>
    <t>dominique-f-124715</t>
  </si>
  <si>
    <t>Très  satisfait merci beaucoup à bientôt dans la newsletter 2021 je ferai de l'information sur vous en donnant vos références à mes connaissances amicales...</t>
  </si>
  <si>
    <t>saphia-c-124703</t>
  </si>
  <si>
    <t>Top je recommande attention jeune conducteur paiement à l’année vous pouvez souscrire sans problème en toute confiance et pas cher pour assurer le vehicule</t>
  </si>
  <si>
    <t>25/07/2021</t>
  </si>
  <si>
    <t>tontonbubu-54321</t>
  </si>
  <si>
    <t xml:space="preserve">Bonjour a tous 
Je suis outré lorsque je lis les commentaires "negatifs " de Direct assurance.
Une des "plainte" recurrente est : augmentations des tarifs au fil des années (meme sans sinistre)
Et Alors : c'est le jeu ma pov' lucette !!!!!!
Faut il vous prendre par la main pour vous dire : surveillez vos echeanciers ? les assurances sont reconduites d'années en années ( par tacite - reconduction !)
La concurrence existe  ! au lieu de vous plaindre (specialité française) : COMPAREZ ! ( vous avez le droit (meme le devoir ) de changer d'assurance regulierement : minimum tous les ans: habitation,voitures....et meme santé !!!!!), Alors Certes cela demande un effort : fournir des documents(permis, C.G , relevé d'informations  (sur 24 mois,voire36 mois !, et un RIB) .alors Dimanche prochain , au lieu d'aller jouer au golf ,ou bien d'aller au vernissage d'un illustre inconnu Rendez -vous sur les sites types: Assurland,les furets, meilleursassurance, le lynx  Etc etc etc......
dernier petit conseil : faites la meme chose avec vos fournisseurs d'energie (gaz et electricité) vous verrez vous ne serez pas deçu ( j'en ai fais les "frais cette semaine !") </t>
  </si>
  <si>
    <t>02/10/2020</t>
  </si>
  <si>
    <t>fro-99095</t>
  </si>
  <si>
    <t>J'ai toujours eu une bonne relation avec mes interlocuteurs. 
Leurs réponses correspondaient à mes attentes.
La communication par mail sur les remboursements est efficace.</t>
  </si>
  <si>
    <t>22/10/2020</t>
  </si>
  <si>
    <t>justine-l-130482</t>
  </si>
  <si>
    <t>Bon rapport qualité prix, simple et pratique. Facilité d'utilisation pour faire un devis en ligne et rapide à la souscription. Large choix d'option pour les assurances.</t>
  </si>
  <si>
    <t>kevin-b-134670</t>
  </si>
  <si>
    <t>le prix est très intéressant surtout pour les garanties.
Facilité pour faire le devis ainsi que pour faire le contrat.
Envoi de documents faciles également.</t>
  </si>
  <si>
    <t>27/09/2021</t>
  </si>
  <si>
    <t>ttcedc-101530</t>
  </si>
  <si>
    <t xml:space="preserve">Comme beaucoup d'assureurs en ligne, les prix semblent intéressants mais le vrai service attendu n'est plus présent au moment où on a le plus besoin d'un assureur sérieux, le moment d'un sinistre.
Mon cas, assurée tous risques, je me fais rentrer dedans en tourisme en Andorre, je ne suis pas en tort et Olivier assurance me confirme que je ne suis pas responsable. Mais a priori la partie adverse andorrane a négocié son dossier et a refusé la responsabilité ... a invoqué le droit du sol andorran et le partage de la responsabilité. Contre toute attente, non seulement Olivier assurance n'a pas réussi à défendre mon cas mais en prime ils ne me remboursent que la moitié de la franchise du coup ! Super commercial ! 
Bien sûr pour couronner le tout, sinon ce ne serait pas aussi croustillant, le litige a eu lieu en janvier 2020 et je n'ai à ce jour ... Presque 1 an... toujours pas obtenu de remboursement. </t>
  </si>
  <si>
    <t>trespeur-90288</t>
  </si>
  <si>
    <t xml:space="preserve">Je ne suis  pas  client  mais  quand je vois  tous les  commentaires  négatifs je me dis que  je vais  voir  ayeur c'est  pas possible  d'avoir  autant de commentaire  négatif  et de ne pas  réagir  derrière  </t>
  </si>
  <si>
    <t>07/06/2020</t>
  </si>
  <si>
    <t>marchand-54157</t>
  </si>
  <si>
    <t>Je suis très très inquiet 
J'ai regarder pas mal de site sur les avis de cette assurance 
Je vien de me me faire voler mon véhicule il a ete retrouvée brûlée 
J'ai déclaré le siniste on me prête un véhicule 5 jours 
Mais pour la suite pas de nouvelles 
Partout les avis raconte qu'il faut entre 2 a 6 moi pour que sa avance 
J'ai meme vus des avis qui on du faire appel à un avocat 
Je vous avoue je suis tellement inquiet que des se soir je regarde pour une procédure au tribunal de proximité histoire de me préparer 
J'habite à 70km de mon lieu de travail sans transport en commun..
N°client 1219175322</t>
  </si>
  <si>
    <t>19/04/2017</t>
  </si>
  <si>
    <t>lori-l-111151</t>
  </si>
  <si>
    <t>impossible de changer ce prix d'assurance auto exorbitant alors qu'on me propose la moitié de ce tarif ailleurs. je vais changer d'assurance auto je ne peux pas payer autant c'est totalement injuste. J'ai une vieille voiture et plus de 5 ans de permis sans aucun accident je ne devrais pas payer 50€ par mois.</t>
  </si>
  <si>
    <t>baud-m-122357</t>
  </si>
  <si>
    <t xml:space="preserve">Je suis très Satisfaite du service, ce n’est pas compliquée et c’est facile à comprendre, il y a de bonnes indications afin de suivre les démarches. Merci 
</t>
  </si>
  <si>
    <t>mycka-102835</t>
  </si>
  <si>
    <t xml:space="preserve">Un drame ! Le service client fait mine de ne rien comprendre pour vous empêcher de résilier. Heureusement que le contrat stipule clairement que si vous ne recevez pas l'avis d'échéance au minimum 15 jours avant les 2 mois de préavis requis pour résilier le contrat vous pouvez résilier dans les 20 jours après la date de réception de celui ci. Heureusement que j'ai envoyé le courrier AR dans les 20 jours ! </t>
  </si>
  <si>
    <t>18/01/2021</t>
  </si>
  <si>
    <t>madinina-27349</t>
  </si>
  <si>
    <t xml:space="preserve">La Macif se vante partout d'être solidaire et notamment de ne pas vous faire payer de cotisations pendant un an si vous êtes au chômage. Mais c'est un beau mensonge. Ils vont le faire et vous virer au premier prétexte. En ce qui me concerne virée pour avoir fait appel à l'assistance alors qu'un dépannage coûte peanuts comparé à un sinistre. Quelle honte !! </t>
  </si>
  <si>
    <t>20/01/2021</t>
  </si>
  <si>
    <t>lopes-m-109364</t>
  </si>
  <si>
    <t>Les prix de l'assurance auto me paraissent très convenables. Devis en ligne très pratique et très bonne communication par téléphone. Ravie d'avoir trouvé cette assurance.</t>
  </si>
  <si>
    <t>rebuffet-gregory-52906</t>
  </si>
  <si>
    <t xml:space="preserve">Une assurance ou on peut demander des renseignements via Facebook a des chargés de clientèle compétents et qui répondent rapidement. </t>
  </si>
  <si>
    <t>02/03/2017</t>
  </si>
  <si>
    <t>jean-simon-o-115756</t>
  </si>
  <si>
    <t xml:space="preserve">Prix abordable et juste. Les conseillers ont été très réactifs pour me conseiller et me donner les informations nécessaires.                             </t>
  </si>
  <si>
    <t>adrien93-81102</t>
  </si>
  <si>
    <t>Percuté par un chauffard qui a pris la fuite le 11 mars 2017, j attends désespérément qu on traite mon dossier et mon indemnisation afin que je puisse avoir les soins medicaux qui me sont necessaires. 24 factures des cotes. Je recois le meme courrier depuis presque 3 ans : traitement en cours. Je suis bloqué car je ne peux meme pas vendre ma moto. Je suis furieux du delai de traitement. SCANDALEUX !</t>
  </si>
  <si>
    <t>18/11/2019</t>
  </si>
  <si>
    <t>nasslahs-90055</t>
  </si>
  <si>
    <t>D'abord, il y a un manque de transparence pour le sociétaire. Je n'ai à date aucune visibilité sur l'avancement de mon dossier, malgré plusieurs relances. Les différents intermédiaires,(experts et garagistes) me disent qu'ils ont besoin du feu vert de l'assurance. L'assurance, me dit que mon dossier est bon et qu'il n'y a plus aucun blocage. Malheureusement, je viens à nouveau de recontacter le garagiste cette après-midi, qui me donne le même retour, depuis quelques jours. L'expert, me dit qu'il a eu le gestionnaire de mon dossier par téléphone, mais tant qu'il n'a pas d'écrit de la part de l'assurance, il ne peut rien faire.
 C'est vraiment, désolant de laisser ces assurées dans cette situation. Qui dure depuis 1 mois et demi. Et qui est toujours au même point de départ.</t>
  </si>
  <si>
    <t>29/05/2020</t>
  </si>
  <si>
    <t>carla45-51707</t>
  </si>
  <si>
    <t xml:space="preserve">Je suis partie de cette assurance car suite à un déménagement d'une zone très peuplée au fin fond de la campagne, j'ai eu une augmentation spectaculaire et aucune justification. Je ne savais pas pourquoi et j'avais déjà réglé ma cotisation alors j'ai laisser traîner  (j'étais très prise à  cette période ), j'ai eu le droit à plusieurs pénalité mais jamais d'explication, après un recommandé, ils ont toute de même fini par m'appeler pour m'expliquer MAIS des raisons non valables !  </t>
  </si>
  <si>
    <t>26/01/2017</t>
  </si>
  <si>
    <t>nath-128805</t>
  </si>
  <si>
    <t xml:space="preserve">Un parcours du combattant pour régler un dossier assurance vie suite au décès de notre père : 2 mois pour répondre au notaire…49 jours pour établir les documents de réglementation ….12jours pour « étudier » le dossier ….sans compter les informations erronées lors des échanges téléphoniques  :documents soi disant non reçus ….bref nous avons lancé le dossier le 25  mars et le règlement est intervenu le 16 août !!!!!!! Qui dit mieux ..et je ne souligne pas le peu d.amabilité  de la dite société….lors des contacts téléphoniques ….c.est  comme cela et vous n.avez rien a dire ….
  </t>
  </si>
  <si>
    <t>20/08/2021</t>
  </si>
  <si>
    <t>pierrelecorse-36220</t>
  </si>
  <si>
    <t>Nous avons souscrit par l'intermédiaire de prévoyance direct le 05/07/2017 un contrat entre autre couvrant mon épouse contre les agressions décès , incapacité , invalidité etc... mon épouse victime d'une violente agression avec tiers identifié 120 jours ITT judiciaire ( fev 2018)  , poursuite pénale etc....nous déclarons sinistre , nous envoyons régulièrement pièces médicale .nous envoyons un certificat de consolidation avec évaluation séquelle invalidante permanente courant janvier 2019 afin que le contrat produise ses effets.depuis nous attendons ...nous n'avons aucune correspondance du groupe ALLIANZ rien nous indiquant la bonne prise en compte de notre process . je relance prevoyance direct et la dépité il nous ai répondue qu'ils ont de gros problème avec le groupe et des délais parfois pouvant allé jusqu'à + de 10 mois. Nous demandons à ce que nous soit communiqué notre n de sinistre allianz et coordonné afin d'essayé de les joindres pour en savoir plus. le 17 avril 2019 nous les contactons et nous avons comme infos qu'ils auraient relancé le médecin expert afin que soit diligenté une expertise sur pièce et qu"ils n'auraient pas eu de retour nous somme à j+ 3 mois sans compter le délai que vas nous opposer la date de visite si un expert daigne donner un rendez vous et ensuite un délai d'étude pour ensuite un délai de proposition et ensuite un délai de versement d'indemnité . de plus dans nos conditions général il est indiqué que la compagnie à réception des pièces justificatives  procède au versement d'indemnité sous quinzaine. à ce jour aucun retour et de surcroît force de constater par contre une violation des clauses de la police d'assurance de notre contrat! nous avons aussi également écris via Mail au services dédié pour les réclamations et n'avons aussi à ce jour aucun retour .</t>
  </si>
  <si>
    <t>19/04/2019</t>
  </si>
  <si>
    <t>maxime-d-112321</t>
  </si>
  <si>
    <t>Super suivi téléphonique après signature électronique avec aide à la rédaction des papiers à envoyer à la banque etc très sérieux et professionnel. Petite amélioration sur l'utilisation de l'espace client sur le site web serait parfait</t>
  </si>
  <si>
    <t>03/05/2021</t>
  </si>
  <si>
    <t>dizzy84-35469</t>
  </si>
  <si>
    <t>Les devis proposés en ligne sont moins chers que ceux proposé par les interlocuteurs au téléphone.... étrange. Pour des conditions et paramètres strictement identique bien entendu. Seraient-ils payés à la com. ?</t>
  </si>
  <si>
    <t>claire1986-75470</t>
  </si>
  <si>
    <t xml:space="preserve">Impossible d'avoir un suivi lorsque l'on a un sinistre. Le service me balade depuis le 12/04/2019. Je n'ai aucune réponse. J'ai avancé les frais car j'ai souhaité passer par mon garagiste en qui j'ai confiance pour faire les travaux, j'ai avancé les frais et depuis on me dit que le dossier est en attente. A chaque fois lorsque j appelle la plateforme la personne me répond qu elle ne peut pas consulter mon dossier. </t>
  </si>
  <si>
    <t>29/04/2019</t>
  </si>
  <si>
    <t>dhahbi-a-132207</t>
  </si>
  <si>
    <t xml:space="preserve">Globalement je suis satisfait, il y’a juste un problème au niveau de augmentation des prix. J’ai l’impression qu’on paie pour les mauvais conducteur c’est à dire si le nombre de sinistre dans la région a , on augmente le prix pour tout le monde.      </t>
  </si>
  <si>
    <t>morel-s-117377</t>
  </si>
  <si>
    <t xml:space="preserve">Je suis satisfaite du professionnalisme de mon interlocutrice,très gentille,à l'écoute,qui nous propose différentes formules
Tarifs très satisfaisants
</t>
  </si>
  <si>
    <t>angie-66422</t>
  </si>
  <si>
    <t xml:space="preserve">Bonjour, Je suis Mme PERPEROT, j'ai souscrit un contrat mutuelle santé en 2015. En mars 2018, nous devons prendre la mutuelle professionnelle de mon mari. Nous demandons donc une résiliation du contrat. Nous sommes au mois d'aôut et cela n'est toujours pas réglée. Au total 3 courriers recommandés ont été envoyés. Mais cela n'a pas bougé même après de multiples appels téléphonique. Je précise que le travaille des agents administratif laisse à désirer...et encore je suis gentille. Si l'on nous avait communiqué la procédure exacte à suivre dès le début nous n'en serions pas là aujourd'hui. De plus, on nous réclame la somme de 530 euros pour les mois de cotisations impayés (nous payons déjà la mutuelle pro). Je les ai même menacé d'engager des procédures à leur encontre. Rien n'y fait. On nous menace d'huissier de justice!! HONTEUX!! Je me suis donc rendu sur ce forum où j'ai vu que nous n'étions pas les seuls dans cette situation. (d'ailleurs je leur ai dit au téléphone mais d'après eux ce n'est pas vrai)... j'ai envoyé un mail vendredi en fin d'après midi en demandant de me rappeler au plus vite. Et ce matin appel de Monsieur Jérémie THOLLOT...d'une compréhension et d'un professionnalisme hors pair. Merci beaucoup à vous cher Monsieur...grâce à vous mon dossier a été clos en moins de 10 minutes. Je recommande vivement à toutes les personnes qui ont des litiges avec Néoliane de le contacter. Avec lui vous serez aidé et surtout vous serez ECOUTE!! </t>
  </si>
  <si>
    <t>27/08/2018</t>
  </si>
  <si>
    <t>01/08/2018</t>
  </si>
  <si>
    <t>stephanie-g-133838</t>
  </si>
  <si>
    <t xml:space="preserve">Pas pu ajouter mon 4eme enfant. 
Assez clair mais tarif change par rapport à la simulation sur internet.  Pourquoi paie t on plus cher que ce qui est annoncé 
</t>
  </si>
  <si>
    <t>cisco-108336</t>
  </si>
  <si>
    <t>Ayant été accroché avec la portière ouverte une voiture qui n’a pas respecté le stop m’a accroché la portière a manqué de m’ecraser et le service sinistre de la GMF me donne entière responsabilité ayant la responsabilité juridique avec la la même société je ne peux rien faire mais certainement changer de société après plus de 50 ans auprès d’elle.
Comment une responsable sinistre peu donnée un avis sans tenir compte de tous les éléments ni de témoins de cette accrochage je n’etais pas au volant de mon véhicule j’etais Piéton je ne sais ou me tourner pour me rendre justice ?</t>
  </si>
  <si>
    <t>maxence-d-137291</t>
  </si>
  <si>
    <t>Rien à dire explication superbe par le conseiller au téléphone a recommander à ma famille est mes amis question de pris c est raisonnable bonne journée</t>
  </si>
  <si>
    <t>13/10/2021</t>
  </si>
  <si>
    <t>chouamou-kameni-yitembe-c-127682</t>
  </si>
  <si>
    <t xml:space="preserve">Après 3 année passé chez un autre assureur et sans jamais avoir eu à déclarer d'incident. Je ne suis pas satisfait du fait que mon bonus antérieur n'est pas été prit en compte. </t>
  </si>
  <si>
    <t>12/08/2021</t>
  </si>
  <si>
    <t>mila-60145</t>
  </si>
  <si>
    <t>Des incompétents qui ne répondent pas aux recommandés AR et qui font tout le nécessaire pour résilier les contrats même si ils sont dans l'illégalité, une impression qu'ils ont décidé d'évincer les anciens contrats AIG VIE.</t>
  </si>
  <si>
    <t>MetLife</t>
  </si>
  <si>
    <t>jipetto-51545</t>
  </si>
  <si>
    <t>Bonjour,
Je suis très insatisfait de direct assurance qui augmente ses prix sans préavis et scrupule. J'ai trouvé une assurance bien moins chère pour les mêmes garanties.je vais vite partir car n'ayant eu aucun sinistre responsable c'est inadmissible !</t>
  </si>
  <si>
    <t>22/01/2017</t>
  </si>
  <si>
    <t>cedric-d-134752</t>
  </si>
  <si>
    <t>je suis satisfait du tarif et de la rapidité pour s'assurer tres bien expliqué et je recommnderais cette assurance a un ami rapport qualité pris il ni ya rien a redire</t>
  </si>
  <si>
    <t>laurence-79843</t>
  </si>
  <si>
    <t>très bien reçu par SaraM et par tout le personnel  très bien renseigné pour adhérer à votre mutuelle</t>
  </si>
  <si>
    <t>09/10/2019</t>
  </si>
  <si>
    <t>laucal-85960</t>
  </si>
  <si>
    <t xml:space="preserve">Sociétaire à la Macif depuis plus de 25 années je vais vite récupérer mais contrat d assurances pour fuir cette assurance 
Une plateforme téléphonique à la ramasse qui transmet de fausses informations,un conseiller en agence qui me déclare que malgré 33 années d ancienneté il ne peut pas intervenir sur mon dossier.
Dans ce cas pourquoi rester chez eux,plus aucune relation client physique possible </t>
  </si>
  <si>
    <t>16/01/2020</t>
  </si>
  <si>
    <t>melanieds-61632</t>
  </si>
  <si>
    <t>Très déçue de cette assurance qui:
- Se trompe d'adresse lors de l'envoi d'un recommandé pour résilier l'assurance précédente et trouve le moyen de dire que le client a donné une mauvaise info.
- Promet des garanties avant la souscription du contrat et change de discours en toute impunité une fois le contrat signé et débuté... Encore une fois, on s'entend dire au téléphone que c'est un "quiproquo".</t>
  </si>
  <si>
    <t>21/02/2018</t>
  </si>
  <si>
    <t>corro-81554</t>
  </si>
  <si>
    <t>Les prix montent et au moment de résilier, pas moyen d'avoir un relevé d'information : la conseillère me coupe la parole et quand je lui demande de me laisser terminer ma phrase, me raccroche au nez (au 02 35 03 68 68 le 03/12/2019 à 10h30). Tout ça en l'espace de 30 secondes. Et évidemment, pas de réponse non plus à la demande que j'ai envoyée via l'espace personnel la semaine dernière...
Et lors de mon appel précédent, une autre conseillère avait carrément menti en s'abstenant de m'envoyer le document demandé.
Quel soulagement de les quitter ! Ils peuvent compter sur moi pour leurs prochains prélèvements sur mon compte bancaire.</t>
  </si>
  <si>
    <t>ludovic-b-127158</t>
  </si>
  <si>
    <t>satisfait de vos tarifs et du site internet. merci beaucoup. je verrai ce que donne votre réactivité lors de sinistres si il y en a . merci et merci et voila</t>
  </si>
  <si>
    <t>09/08/2021</t>
  </si>
  <si>
    <t>cedric-g-131357</t>
  </si>
  <si>
    <t>Je suis satisfait du service,les prix me conviennent, j'ai trouvé le devis simple et assez facile a réaliser. Je recommanderais les devis sur april moto.</t>
  </si>
  <si>
    <t>polonez-48292</t>
  </si>
  <si>
    <t>Une Horreur, j’étais auparavant a la mutuelle MGC ou tout étais parfait. Malheureusement j'ai du prendre la mutuelle d'entreprise qui s’avère être APRIL.Service clientèle catastrophique. une moyenne de 30 MINUTES d'attente pour avoir un opérateur téléphonique, plus de 1 mois pour répondre a un e mail, plus d'un mois pour traiter un remboursement. Je pense ils ont un sérieux probleme de manque de personnels pour traiter les demandes.</t>
  </si>
  <si>
    <t>10/06/2017</t>
  </si>
  <si>
    <t>01/06/2017</t>
  </si>
  <si>
    <t>patricia-d-105183</t>
  </si>
  <si>
    <t>je suis satisfaite du service
le prix me convient
très facile d'utilisation. J'espère que j'aurai les documents en temps et en heure.
Pour information, ma voiture sera essence et gpl</t>
  </si>
  <si>
    <t>daniele-72036</t>
  </si>
  <si>
    <t>A 5 reprises (tél - Internet) j'ai demandé un tableau récapitulatif de mes garanties pour me permettre de voir la concurrence. Le site me répond pas d'informations sur ce contrat. Au tél. la réponse st on vous l'envoie et toujours rien Impossible d'obtenir
ce document.</t>
  </si>
  <si>
    <t>11/03/2019</t>
  </si>
  <si>
    <t>tommy-d-109984</t>
  </si>
  <si>
    <t>Je ne connaissais pas cette assurance les furets m’ont envoyer sur ce site et j’en suis ravie 
Prix intéressant 
Devis rapide 
Service bien expliqué 
Facilite de souscription</t>
  </si>
  <si>
    <t>11/04/2021</t>
  </si>
  <si>
    <t>bernard-l-106042</t>
  </si>
  <si>
    <t>Simple et rapide
Prix honnête, conseillers efficaces.
Facilité de communication 
Espace client bien fait et pratique permettant d'avoir toutes les réponses facilement.</t>
  </si>
  <si>
    <t>martine-l-113020</t>
  </si>
  <si>
    <t>Très rapide que ce soit par mail ou par tel - très professionnel  le service clients- pas cher tarifs très compétitif et possibilité parrainage très intéressante</t>
  </si>
  <si>
    <t>07/05/2021</t>
  </si>
  <si>
    <t>cemile-d-115751</t>
  </si>
  <si>
    <t>Je suis satisfait du service le prends le prix me convient simple pratique depuis 4 ans combien Desjardins de la carte grise a été annulé en raison de la carte</t>
  </si>
  <si>
    <t>brirey-102629</t>
  </si>
  <si>
    <t xml:space="preserve">Suite à la recommandation d'amis j'ai rejoint la MGP, en première impression je parlerai de réactivité rapide aux demandes formulées.
En changeant de mutuelle nous attendons que la suivante soit différente, pour l'instant c 'est le cas. Un avis très positif pour l'instant, sauf pour la prise en charge de la podologie qui n'est pas expliqué clairement.
</t>
  </si>
  <si>
    <t>14/01/2021</t>
  </si>
  <si>
    <t>nath-63371</t>
  </si>
  <si>
    <t xml:space="preserve">Après avoir fournit tous les documents nécessaire pour compléter le dossier de restitution du capital, plusieurs appels de demande d'explication de l'avancé du dossier, on m'annonce froidement, avec un  mépris total, la perte du document envoyé en recommandé avec AR. Je suis forcement très contrariée mais aussi mécontente. Ma maman s'est privée pour nous laisser "quelques petits sous" comme elle disait, on lui prélevé tous les mois à date régulière, et surtout sans retard, mais pour récupérer ce capital "il faut attendre patiemment" et surtout pas élever la voix. Merci CNP je ne vous ferais pas de publicité. </t>
  </si>
  <si>
    <t>18/04/2018</t>
  </si>
  <si>
    <t>udrab-105241</t>
  </si>
  <si>
    <t>Mutuelle sérieuse, au tarif un peu élevé par rapport à la concurrence, ce qui, je pense est compensé par des remboursements et des renseignements efficaces...</t>
  </si>
  <si>
    <t>lyli-108052</t>
  </si>
  <si>
    <t xml:space="preserve">Adhérente auprès de cette mutuelle depuis quelques années. Les conseillers sont agréables, sympathiques et très professionnels. Les requêtes sont immédiatement prises en compte et une réponse rapide est apportée. J'ai récemment effectué un dossier de frais de secours auprès de l'action sociale et j'ai été ravie de l'aide qui m'a été accordée concernant un traitement d'orthodontie. Je remercie infiniment le service d'action sociale ainsi que l'ensemble du personnel de la MGP en qui j'accorde toute ma confiance. </t>
  </si>
  <si>
    <t>pierre-jean-w-109000</t>
  </si>
  <si>
    <t>Très bonne agence prix très attractif réponse rapide questionnaire un peut long ,je suis très content ,en espérant quand cas desinistre ,ça sera aussi facile</t>
  </si>
  <si>
    <t>jl-121860</t>
  </si>
  <si>
    <t>En maladie depuis le 19Novembre 2020 suite opération du genou malgré les documents envoyés sur le site dédié et les différents documents papiers les mêmes documents me sont de nouveau demandé systématiquement et cela dure depuis plusieurs mois .Je me retrouve dans les différents commentaire</t>
  </si>
  <si>
    <t>30/06/2021</t>
  </si>
  <si>
    <t>personne--92917</t>
  </si>
  <si>
    <t>Pas de tout satisfait, le prix ne me convient pas et c’est très compliqué de faire un devis.. et c’est trop flou en ce qui concerne la garantie . Mais je suis obligé de le faire.</t>
  </si>
  <si>
    <t>mendy-j-136236</t>
  </si>
  <si>
    <t>Satisfaite de cette assurance auto  qui correspond à mes attentes. Je recommande fortement. Je compte prendre mon assurance habitation chez l’olivier assurance.</t>
  </si>
  <si>
    <t>joseph-l-123911</t>
  </si>
  <si>
    <t>je suis satisfait du servir et du prix, demande faite très rapidement,
Envoie des documents rapide, La réponse est très  rapide.
ATTEND LA VALIDATION DE MON DOSSIER</t>
  </si>
  <si>
    <t>louloutte571303-69068</t>
  </si>
  <si>
    <t>J ai un sinistre depuis 2017 pour un dommage électrique et pas de réponse à ce jour même après un courrier de réclamation adressé y un an : pas de réponse</t>
  </si>
  <si>
    <t>02/12/2018</t>
  </si>
  <si>
    <t>jp62400-135035</t>
  </si>
  <si>
    <t>Compagnie d'assurance proposant de très bon tarifs, souscription très facile.Je compte transféré tout mes contrats d'assurance auto chez l'olivier prochainement.Je recommande vivement cette compagnie .</t>
  </si>
  <si>
    <t>bichope-92329</t>
  </si>
  <si>
    <t xml:space="preserve">je viens de téléphoner pour un remboursement , et une personne absolument charmante du prénom de Emeline m’a rassuré  elle etait très chaleureuse, courtoise et pas glacial, elle a répondu à toute mes attentes </t>
  </si>
  <si>
    <t>albert-61727</t>
  </si>
  <si>
    <t>l'inscription sans problème avec une personne aimable qui connaissait bien son métier, long mais questionnaire très détaillé (le mème partout) donc à la fin on prend même les options les plus chères</t>
  </si>
  <si>
    <t>24/02/2018</t>
  </si>
  <si>
    <t>pasdav-63408</t>
  </si>
  <si>
    <t>aucun problème que ce soit à la déclaraion de sinistres , la mise en relation avec un interlocuteur, prise en charge, règlement.....</t>
  </si>
  <si>
    <t>19/04/2018</t>
  </si>
  <si>
    <t>m-106185</t>
  </si>
  <si>
    <t>A FUIR ! Lentilles non remboursées.  Lunettes : 300 euros de ma poche.  
J ai voulu résilier mon contrat suite à l adhesion à la mutuelle obligatoire de mon employeur : Impossible de résilier avant les 1 an ! 
Conseillers injoignables. 
Je ne recommande pas du tout cette mutuelle .</t>
  </si>
  <si>
    <t>guerche-81716</t>
  </si>
  <si>
    <t xml:space="preserve">je recois mon echeancier le 7/12 d un courier du 23/11envoye le 3/12 tout cela pour ne pas avoir le temps de resilier .23e d augmentation par mois 270e par an ! enorme pour rien de plus .pas d avertissement avant rien </t>
  </si>
  <si>
    <t>el-mottaqui-m-116963</t>
  </si>
  <si>
    <t>Satisfait simple, efficace et rapide. Merci ++++++++++
juste code promo qui ne fonctionne pas
Certification par sms très simple et facile a communiquer</t>
  </si>
  <si>
    <t>bucle-126558</t>
  </si>
  <si>
    <t>Bonjour assuree tout risque je me fais rentrer dedans par un livreur qui prend la fuite. axa ouvre le sinistre demande une expertise. l'expert chiffre et axa me confirme prendre en charge les frais. Un mois se passe et le garagiste me dit qu'axa a fait stopper les reparations. AXA a demande une deuxieme expertise au meme cabinet. Celui ci affirme que mon accident remonte a un an en arriere vu la corrosion. Je precise que mon accident date de mars neige sel nous sommes dans le jura. Je lui fournis le PV du passage controle techique de decembre 2020 pour lui montrer que le sinistre ne peut pas remonter a un an. Depuis AXA bloque le dossier nous raccroche au nez et nous hurle dessus des que l'on demande une reponse. Je ne peux pas demander une contre expertise car sur le 1er PV la corrosion n'est pas mentionnee. Depuis ils ont modifie mon contrat sans mon accord et avec une belle augmentation. AXA ne m'envoie pas leur decision par ecrit. A FUIRE ABSOLUMENT</t>
  </si>
  <si>
    <t>05/08/2021</t>
  </si>
  <si>
    <t>laetitia-52904</t>
  </si>
  <si>
    <t>Cela fait presque 35 ans que je suis à la MAIF ( tout d'abord sur la mutuelle de mon papa professeur) ainsi que mon frère et ma soeur et ma soeur, et toutes nos voitures sont en assurance plénitude...jusque maintenant très satisfaite, mais depuis le 1/02/2017 alors qu'un jeune est venu foncer dans ma voiture à l'arrêt..et en ayant le nom de celui çi, rien n'avance...j'ai payée ma franchise et j'attend. Je relance sans cesse par mails, on est le 7/03 et toujours rien...est ce le fait d'être dans le sud ouest??? car avant j'étais dans l'Allier...
Si les choses s'accélèrent pas, toute la famille partira ailleurs...et en plus on me demande de relancer les témoins...La MAIF, vous avez un coup de fil à donner...je vais pas faire votre boulot, et vous avez tous les éléments...</t>
  </si>
  <si>
    <t>07/03/2017</t>
  </si>
  <si>
    <t>thomas57-95851</t>
  </si>
  <si>
    <t xml:space="preserve">Bonjour,
Je vais poursuivre la cascade de commentaire négatifs ce qui n'est pas dans mon habitude. J'ai souscrit le 4 juillet à une assurance tout risques chez Allianz service délivré par Calypso tout se passe super rapidement une équipe commerciale réactive et à l'écoute... mais trés vite on voit apparaitre le poteau rose.
J'envoies la documentation nécessaire dans la semaine de la souscription par email et puis par courrier la semaine suivante.
Aprés deux semaines j'essaie de les contacter par email et téléphone aucune réponse et depuis chaque jours je perds mon temps au téléphone à essayer d'avoir quelqu'un du service gestion.
Demain soir a minuit serais-je encore assuré ??
Résultat des courses plus de 120 € de perdu sans parler du stress et du temps gacher.
Conclusion : je ne recommande absolument pas </t>
  </si>
  <si>
    <t>03/08/2020</t>
  </si>
  <si>
    <t>maryann33-74566</t>
  </si>
  <si>
    <t>Nous avons subit un déga des eaux depuis plus de 3 ans ... malgré nos relances le dossier n'a pas été pris en charge et aucun frais de réfection de notre bien n'a été pris en charge par la Maif. Suite à notre dernière relance la Maif rétorque que, comme nous avons passé 2 années ils ne epuvent pas prendre en charge notre dossier</t>
  </si>
  <si>
    <t>28/03/2019</t>
  </si>
  <si>
    <t>ponge-y-115810</t>
  </si>
  <si>
    <t xml:space="preserve">Devis clair et sans mauvaise surprise. Très bon rapport qualité prix. Très bonne réponse et interlocuteurs au téléphone                                         </t>
  </si>
  <si>
    <t>03/06/2021</t>
  </si>
  <si>
    <t>philippelc-80769</t>
  </si>
  <si>
    <t>En 36 ans et 2 véhicules assurés, respectivement 57% et 65% de bonus. MAIS 4 sinistres mineurs ces 36 derniers mois. Alors, sanction sans appel : Résiliation. SCANDALEUX !</t>
  </si>
  <si>
    <t>06/11/2019</t>
  </si>
  <si>
    <t>nicole44-50677</t>
  </si>
  <si>
    <t>8 mois en invalidité et perte de documents envoyés en recommandé avec AR. Attendent-ils que l'on décède?. Je crée un collectif pour dénoncer ces méthodes. Plusieurs envois de documents similaires. Aucune réponses. Me contacter pour rejoindre le collectif et faire bouger les choses.</t>
  </si>
  <si>
    <t>27/12/2016</t>
  </si>
  <si>
    <t>laureline-l-128955</t>
  </si>
  <si>
    <t>Satisfaisant 
Rapidité d’exécution 
Pas de nécessité de rendez vous 
Tout à été fait par internet sans contrainte de temps de connexion sur le site web</t>
  </si>
  <si>
    <t>chapotot-t-109271</t>
  </si>
  <si>
    <t>Je suis satisfait du service mais je suis pas trop content de l'augmentation de mon autre contrat pars que j'ai eu un enfant je ne trouve pas celà trop normal mais bon pas trop le choix ...</t>
  </si>
  <si>
    <t>11/10/2021</t>
  </si>
  <si>
    <t>manel-a-127044</t>
  </si>
  <si>
    <t xml:space="preserve">Les prix me conviennent je suis satisfaite de la rapidité  j’ai pus m’inscrire rapidement sur internet les étapes sont clair et compréhensible je recommanderais </t>
  </si>
  <si>
    <t>guendouz-m-128729</t>
  </si>
  <si>
    <t xml:space="preserve">Tarif, a revoir un peu à la baisse.
Conseille sympa et à l'écoute.
Réactif sur l'envoi des documents.
A voir sur le long terme les niveaux de garantie.
Mais à première vu, il m'ont l'air mieux que certaine assurance. </t>
  </si>
  <si>
    <t>asct27-29288</t>
  </si>
  <si>
    <t>Direct assurance m'indemnise mon véhicule tous risques une misère (l'expert justifie son montant par des annonces de véhicules n'ayant pas les mêmes caractéristiques), après une contre expertise à mes frais, ils ne modifient pas l'indemnisation, mentent et ne répondent pas aux LRAC. je saisis la justice via mon avocat (à mes frais) doit payer une expertise judiciaire (à mes frais) qui valide la valeur de mon véhicule justifiée par mes documents. Direct Assurance propose donc le montant de mon véhicule après 2 ans de procédure, mais refuse de prendre en charge les expertises et mes frais d'avocat pendant plusieurs mois encore avant d'accepter sous la menace d'un procès. Je vous conseille à tous de mener vos procédures au bout, même s'il faut avancer les frais.</t>
  </si>
  <si>
    <t>18/07/2017</t>
  </si>
  <si>
    <t>leti155-139596</t>
  </si>
  <si>
    <t>Moi il m ont indemnisé pour dégâts des eaux pour l instant je suis contente d axa sa fais des année que j ai une assurance chez eux je ne suis pas déçu les dossiers sont bien traités merci axa</t>
  </si>
  <si>
    <t>14/11/2021</t>
  </si>
  <si>
    <t>skyfox-103804</t>
  </si>
  <si>
    <t>A fuir également, aucune communication, indemnisation bien au dessous que prévu, dossier hyper long à être traité ! bref NE PRENEZ SURTOUT PAS CETTE ASSURANCE.</t>
  </si>
  <si>
    <t>08/02/2021</t>
  </si>
  <si>
    <t>patoche33-89356</t>
  </si>
  <si>
    <t xml:space="preserve">Client depuis les 90's, je suis toujours aussi satisfait de mon assurance et je la recommande à mon entourage.
En 27 ans de conduite deux roues, j'ai eu quelques péripéties et j'ai toujours étais bien soutenu. </t>
  </si>
  <si>
    <t>04/05/2020</t>
  </si>
  <si>
    <t>castapiagne-62506</t>
  </si>
  <si>
    <t>La solution proposé est très bonne , explication claires, et la compétance de l'intervenant très bonne.</t>
  </si>
  <si>
    <t>20/03/2018</t>
  </si>
  <si>
    <t>ludo-57318</t>
  </si>
  <si>
    <t>Je suis adhérent chez harmonie mutuelle depuis un certain temps et en suis très satisfait. Traitement des dossiers en temps. Possibilité de tiers payant optique  dentaire... vraiment très content.</t>
  </si>
  <si>
    <t>31/10/2017</t>
  </si>
  <si>
    <t>cahuzac-m-117598</t>
  </si>
  <si>
    <t>Les conseillers sont à l'écoute et très professionnels, c'est un plaisir de pouvoir échanger facilement par téléphone ! Les démarches de résiliation sont prises en compte, vous n'avez rien à faire.</t>
  </si>
  <si>
    <t>unknwo-56992</t>
  </si>
  <si>
    <t>De l’appât légal puisque il faut 24 mois de bonus seulement j'ai eu une voiture assuré en collection durant 6 mois par conséquent j'ai fais de fausse information puisqu'il n'y a pas de bonus sur des voiture de collection. 
Le paiement comptant de l'année n'a pas été remboursé malgré qu'ils ne m'assure plus.</t>
  </si>
  <si>
    <t>31/08/2017</t>
  </si>
  <si>
    <t>moulin45-71561</t>
  </si>
  <si>
    <t>Mutuelle santé qui se moque du monde ; suite au décès de ma mère la mutuelle devait nous payer une légère contribution au frais d'obsèques ; après envoi de deux dossiers complets par lettre recommandée avec A/R ( papier signé en retour ), ne voyant rien venir , je les ai contactés pour découvrir qu'ils n'avaient  aucune trace du dossier ; 
je leur renvoie les pièces scannées par mail ;
en réponse par mail ils me réclament encore des documents dont un original des frais d'obsèques transmis par lettre avec A/R ;
incompétence totale et classique de ces organisations du genre en plate forme où personne n'est responsable du suivi ou simple escroquerie sachant que vous n'allez pas prendre un avocat pour récupérer quelques dizaines d'euros . Mystère !!</t>
  </si>
  <si>
    <t>22/02/2019</t>
  </si>
  <si>
    <t>gaelle-m-114863</t>
  </si>
  <si>
    <t>satisfaite du service d'ouverture de contrat.
bon rapport qualité prix.
mais j'espère ne pas devoir remplir un rapport de satisfaction a chaque connexion.</t>
  </si>
  <si>
    <t>cath78-67969</t>
  </si>
  <si>
    <t>Résiliation du jour au lendemain suite à des sinistres qui n'étaient pas de notre fait</t>
  </si>
  <si>
    <t>elisa-92560</t>
  </si>
  <si>
    <t xml:space="preserve">Je viens d'avoir un sinistre auto, Pacifica a su m'expliquer la démarche à effectuer pour être dépannée et m'a accompagnée jusqu'à ma prise en charge par le dépanneur. Ils ont payé le dépannage ainsi que le taxi qui m'a ramené chez moi et payeront le taxi pour que j'aille récupérer ma voiture une fois réparée. Je suis très satisfaite de cette assurance et la recommande ! Merci encore ! </t>
  </si>
  <si>
    <t>28/06/2020</t>
  </si>
  <si>
    <t>valerie-b-114269</t>
  </si>
  <si>
    <t xml:space="preserve">Je suis très satisfaite du service, simple, rapide et efficace. Je recommande vivement les services de cette assurance en ligne.  
Cordialement
Merc 
</t>
  </si>
  <si>
    <t>19/05/2021</t>
  </si>
  <si>
    <t>tati-137746</t>
  </si>
  <si>
    <t xml:space="preserve">Très peu d'attente, rapide à la compréhension et mon assureur Mr Diallo très agreable. De nos jours avoir un accueil comme j'ai reçu fut très appréciable. 
Merci beaucoup </t>
  </si>
  <si>
    <t>19/10/2021</t>
  </si>
  <si>
    <t>cyrille-d-132469</t>
  </si>
  <si>
    <t>TRES BON PRIX SATISFAIT DU SERVICE EN LIGNE TRES RAPIDE EST COMPLET RIEN A DIRE DE PLUS AU TOP JE CONSEIL A TOUS LES SERVICE DE DIRECT ASSURANCE .....</t>
  </si>
  <si>
    <t>12/09/2021</t>
  </si>
  <si>
    <t>lilou-96486</t>
  </si>
  <si>
    <t>SwissLife a mal géré mon contrat d’assurances vie et ne répond pas a mes LRAR. Je ne sais pas ce qu’il est devenu suite a une erreur de la compagnie Il s’agit pourtant de mon argent. Cela n’inspire pas confiance Je trouve la conduite de la compagnie désinvolte et irresponsable ??</t>
  </si>
  <si>
    <t>19/08/2020</t>
  </si>
  <si>
    <t>laurent-91865</t>
  </si>
  <si>
    <t>J'ai eu besoin de l'assistance amv. Refus catégorique de l'assistance à prendre en charge mon véhicule. Impossible de joindre AMV de quelque manière que ce soit, ne répondent à aucun mail, ne répond pas au téléphone. A fuir absolument !! Beaucoup trop cher pour les services proposés.</t>
  </si>
  <si>
    <t>22/06/2020</t>
  </si>
  <si>
    <t>ds-94984</t>
  </si>
  <si>
    <t>Incapables . N'y A fuir.</t>
  </si>
  <si>
    <t>doudouty-79913</t>
  </si>
  <si>
    <t>Très bon rapport qualité prix , réponses rapides , très bonnes garanties , facilité de contact . J'ai souscrit mon assurances rapidement et facilement , les prix , les franchises sont très compétitives ainsi que les garanties .</t>
  </si>
  <si>
    <t>10/10/2019</t>
  </si>
  <si>
    <t>herve-b-105888</t>
  </si>
  <si>
    <t>Satisfait de la simplicité des démarches et de l’accès aux documents sur sa page perso, un petit effort de prix pour la reconnaissance de la fidélisation client et qui possède plusieurs contrats.</t>
  </si>
  <si>
    <t>lotfi-63402</t>
  </si>
  <si>
    <t xml:space="preserve">beaucoup de va et viens  
service client trop cher 
conseillère m'a menti en me disant qu'il ne y a pas de droit de rétractation chez active assurance 
j'ai fait le contrat en ligne le 1er avril 2018 
c'est quoi la solution pour me rétracter </t>
  </si>
  <si>
    <t>flipper--101984</t>
  </si>
  <si>
    <t xml:space="preserve">Au moment de changer de véhicule j'ai dû payer une majoration de mon contrat.  On m'a fait contracter une protection juridique que je n'ai pas demandée.  Après contact on m'a assuré que je pouvais résilier mais pas possible au bout de quelques mois. Ce jour j'ai complètement résilié mon contrat donc. La Maif a changé et pas en bien </t>
  </si>
  <si>
    <t>29/12/2020</t>
  </si>
  <si>
    <t>ait-ziane-s-138863</t>
  </si>
  <si>
    <t xml:space="preserve">C'est bien mais il faut augmenter le délai 
Votre assurance ces la meilleure et le prix c un prix bas paraport a les autre assurance 
Merci beaucoup et bonne soirée 
</t>
  </si>
  <si>
    <t>mmama-b-129786</t>
  </si>
  <si>
    <t xml:space="preserve">Le service n’est pas top car je n’ai pas pu souscrire avec le conseillé qui a fait le devis j’ai donc perdu beaucoup de temps avec lui et les prix étant un peu élevé à mon goût je n’ai pas pu négocier ni bénéficier d’une petite offre pour nouveau client. </t>
  </si>
  <si>
    <t>27/08/2021</t>
  </si>
  <si>
    <t>jaade059-76120</t>
  </si>
  <si>
    <t>Cliente depuis 10 ans , un sinistre du 04 mars ... coup de tel hier du garage pour me dire que j 'ai 24h pour recuperer mon véhicule sinon l'on me facture les frais de gardiennage.
Rapport d expert envoyé depuis le 13 mai , passage en agence, appel depuis 2 jours et personne ne sait me dire pourquoi il n 'y a pas de prise en charge sur mon véhicule , je recupere donc mon véhicule avec vitre brisée qui va stationner dehors n ayant pas de garage donc si qqch arrive encore je me retrouve sans rien Super merci</t>
  </si>
  <si>
    <t>21/05/2019</t>
  </si>
  <si>
    <t>pat-102968</t>
  </si>
  <si>
    <t xml:space="preserve">La souscription en ligne pour un changement de compagnie via direct assurance est vraiment simple, ainsi que pour les pièces justificatives à fournir via leur application.
Les réponses sont réactives, je recommande.  </t>
  </si>
  <si>
    <t>guyom-94379</t>
  </si>
  <si>
    <t xml:space="preserve">Gestion de mon sinistre déplorable qui a duré 1an 1/2 dossier perdu réseau de réparateur digne d'un sketche et service client incompétent . passez votre chemin il n'y a pas de considération pour le client chez l'olivier </t>
  </si>
  <si>
    <t>17/07/2020</t>
  </si>
  <si>
    <t>laeti-93728</t>
  </si>
  <si>
    <t>Cliente depuis 2005 avec un Bonus à 0,50 sans aucun incident de paiement.
Je déclare malheureusement sur 12 mois glissant :
- 1 bris de glaces
- 1 accrochage (carrosserie) où je suis responsable
 - 1 accident non responsable
Je précise que le dernier sinistre avant ceux-là remontait à 2007 !!
J'ai tout simplement été résiliée par EUROFIL !!
C'est hallucinant et grotesque à la fois !
Un calcul rapide m'amène à un total de cotisations versées d'environ 25 000 € en 15 ans.
Cela se passe de commentaire !
A vous de juger :)</t>
  </si>
  <si>
    <t>pyrilis-63730</t>
  </si>
  <si>
    <t>En mars 2012, j'ai placé 14.000e sur Himalaya de Generali qui était supposé me rapporter plus de 7% par an. Contre mon gré, Generali a transféré les fonds sur un support qui ne rapporte rien. En mai 2018, le capital est de 14.153,39€. Compte tenu des frais, je ne peux récupérer que 12.737,84€.
Mon avocat a écrit à Generali. Generali n'a jamais daigné répondre.</t>
  </si>
  <si>
    <t>02/05/2018</t>
  </si>
  <si>
    <t>jerome80-57741</t>
  </si>
  <si>
    <t>Me voici arrivé dans là même spirale que vous. Déclare invalide catégorie 2 Cardif m’informe que suite à la visite de leur médecin expert je ne peux plus bénéficier des garanties car - 66% évidemment le même courrier que vous ! Durant mon arrêt maladie par contre tout c’est bien passé d’où mon étonnement.  Pour le coup, lorsque votre état est reconnu par les médecins experts de la sécurité sociale et bien leurs décisions sont discréditées par un médecin « expert » que vous rencontrez  5 min et qui vous juge en parfait état ! Hallucinant !! Ce traitement est inhumain. Je me demande comment on peut traiter ses adhérents de la sorte ! Après j’ai envie de dire c’est tellement facile l’expert est payer par l’assurance donc il va dans l’intérêt de son client lui évidemment ! C’est pitoyable ! Je compte me battre moi aussi ! Si un collectif est mis en place je signe ... j’ai fait une demande auprès de Cardif pour avoir le rapport de l’expert j’attends de le recevoir .
En tout cas bon courage à tous..</t>
  </si>
  <si>
    <t>16/10/2017</t>
  </si>
  <si>
    <t>papy-66922</t>
  </si>
  <si>
    <t xml:space="preserve">tres bien accueilli                 les personnes que j ai eu mont bien expliquees                        et               bien renseignees                  tres reactifs sur les mails   et    tres aimables                      je recommande auture de mon entourange votre professionnalisme        
</t>
  </si>
  <si>
    <t>18/09/2018</t>
  </si>
  <si>
    <t>fabien-71079</t>
  </si>
  <si>
    <t xml:space="preserve">D'abord, précisons que c'est une filiale de La Parisienne Assurances. Victime d'un sinistre non responsable avec préjudice physique, aucune nouvelle depuis 3 mois, aucune indemnisation ou provision, aucune garantie, un flou totale car ce sont des agents d'un autre pays qui répondent aux demandes. Déconnecté complètement de la réalité, et surtout en cas de sinistre évidemment, mais n'es ce pas pour cela que nous sommes assurés? Il faut remonter à la société mère pour avoir les coordonner de l'assurance adverse, sans avocat il ne veulent pas les communiquer, il ne font aucun effort pour leur client en contentieux. Si vous choisissez cette assurance assurez vous d'avoir un bon avocat dans vos contacts </t>
  </si>
  <si>
    <t>Euro-Assurance</t>
  </si>
  <si>
    <t>08/02/2019</t>
  </si>
  <si>
    <t>delarue-116356</t>
  </si>
  <si>
    <t>Bonjour 
Je viens d'avoir une conversation téléphonique,au sujet d'un remboursement et je félicite une conseillère très aimable Emeline,un grand merci pour sa gentillesse!!
Marcelle Delarue</t>
  </si>
  <si>
    <t>florent-s-131832</t>
  </si>
  <si>
    <t xml:space="preserve">
Le devis s'est réalisé à partir des garanties de mon ancien assureur. J'ai une franchise moins importante et des garanties que je n'avais pas avec mon précédent assureur.
Au ginzj, je vais payer 40e par mois au lieu de 61. </t>
  </si>
  <si>
    <t>michel-b-115922</t>
  </si>
  <si>
    <t>Cout raisonnable, réponses rapides et précises au téléphone, seul le nombre réduit de garage agréé m'a surpris, celui que j'utilise régulièrement à coté de chez moi (agent Peugeot) qui était agréé par mon assurance précédente (MACIF) ne l'est pas ce qui m'oblige à payer à l'avance les frais de réparations</t>
  </si>
  <si>
    <t>04/06/2021</t>
  </si>
  <si>
    <t>azzedine-j-115301</t>
  </si>
  <si>
    <t>trés bien, rapide et efficace.
J'espere recevoir ma carte verte dés que possible pour etre tranquille.
Merci d'agir au plus vite.
Je vous remercie, je vous en remercie</t>
  </si>
  <si>
    <t>29/05/2021</t>
  </si>
  <si>
    <t>elisabeth-m-117515</t>
  </si>
  <si>
    <t>Je suis satisfaite du contact avec la chargé de relation clientèle. Personne aimable et à l'écoute du client. 
Les prix sont corrects pour le rapport qualité/prix</t>
  </si>
  <si>
    <t>lomat62-67693</t>
  </si>
  <si>
    <t xml:space="preserve">Pour avoir fait plusieurs assureurs, je trouve que la maif est très réactive en cas de sinistre. J'ai essayé plusieurs autres assureurs et je suis toujours revenu à la Maif sauf pour un de mes deux véhicules car leur tarif n'est pas compétitif pour celui-ci alors que le véhicule commence à avoir de l'âge. Sinon en général les tarifs sont plutôt corrects suivant le véhicule. </t>
  </si>
  <si>
    <t>15/10/2018</t>
  </si>
  <si>
    <t>ed-79163</t>
  </si>
  <si>
    <t xml:space="preserve">J'ai souscrit un contrat MGP Lyria complément de salaire en mai 2018. Aujourd'hui je demande une prise en charge relative à ce contrat. Votre réponse est négative. Je ne respecte pas les mois de carences, alors que votre publicité sur le site MGP  Lyria"point fort " PAS DE CARENCE. A ma souscription de ce contrat, mon interlocuteur ( qui ne fait plus partie de la MGP )ne m'a pas parlé de cette période de soit disant carence. Depuis le 1 février 2019 je suis à 1/2 salaire. Malgré mes multiples rappels, la MGP me demande de patienter, sauf que les organismes financiers, ne patientent pas.  </t>
  </si>
  <si>
    <t>13/09/2019</t>
  </si>
  <si>
    <t>beck-c-112132</t>
  </si>
  <si>
    <t>Le prix est correct mais il va part que j’ai vendu un véhicule au mois de novembre 2020 j’ai envoyé les contrats et j’ai été prélevé jusque le mois d’avril 2021 je souhaiterais avoir un remboursement le plus rapidement possible merci</t>
  </si>
  <si>
    <t>remes-89935</t>
  </si>
  <si>
    <t>pas reçu ma carte d assuré, attente téléphonique sans commentaire impossible a joindre le bureau ni par email ou sms service clientèles ????</t>
  </si>
  <si>
    <t>corinne-d-106176</t>
  </si>
  <si>
    <t>Bel accueil au téléphone, prix avantageux, renseignements et documents clairs et précis. Facile de me connecter et de signer les documents. MERCI à tous</t>
  </si>
  <si>
    <t>cindy-p-130160</t>
  </si>
  <si>
    <t>Facile et pratique. Je recommande Direct Assurance pour l'habitation et la voiture.
Les prix sont très intéressants et le choix de l'assurance est variable.</t>
  </si>
  <si>
    <t>eric123-33228</t>
  </si>
  <si>
    <t>A revoir en totalité. il serait temps que la M.G.E.N. arrête de gaspiller l'argent des adhérents en campagne de publicité et s'occupent du bien être de ses adhérents qui lui feraient alors la meilleure publicité.</t>
  </si>
  <si>
    <t>florent-b-106268</t>
  </si>
  <si>
    <t>très satisfait de l'accueil, service rapide et courtois. Assurance très compétitive. très bonne qualité de service. je recommanderai les services de direct assurance</t>
  </si>
  <si>
    <t>darant-118083</t>
  </si>
  <si>
    <t xml:space="preserve">Interlocuteurs difficilement joignables et souvent avec une attitude paternaliste. Lenteur de la prise en charge des démarches, second couteau de la Sécu qui a toujours un train de retard dans la gestion des problèmes de sa clientèle. De plus pour certaines démarches leur plateforme numérique est inexiqtente côté médecin ( renouvellement ALD par ex) ce qui cause des délais monstrueux dans la prise en charge de maladies qui génèrent des coups de traitements parfois très lourds. Si je n'étais pas fonctionnaire et obligée de passer par eux je m'en passerais volontiers, c'est déjà le cas pour la mutuelle. Passez votre chemin ! </t>
  </si>
  <si>
    <t>katia--e-133364</t>
  </si>
  <si>
    <t xml:space="preserve">Satisfaction les informations sont claires, et la relation client positive, je parlerai autour de moi de votre assurance et le service client nous guide bien dans nos démarches </t>
  </si>
  <si>
    <t>fanny777-128658</t>
  </si>
  <si>
    <t>Lamia a fait preuve de patience et de douceur pour me re expliquer l 'accès au site que j avais oublié et surtout mon prob de mail (qui perdurait et qui n'était tj pas modifié) est réglé et j en ai été bien rassurée.
mes réponses aux questions ont été données parfaitement
merci Lamia 
a bientôt</t>
  </si>
  <si>
    <t>gopinathan-p-139744</t>
  </si>
  <si>
    <t>Conseillère agréable, gentille et très serviable. Elle a répondu a toutes mes questions et a su me conseiller les bonnes options.
Seul point négatif, le parrainage pas possible.</t>
  </si>
  <si>
    <t>16/11/2021</t>
  </si>
  <si>
    <t>brunner-l-121576</t>
  </si>
  <si>
    <t>Suite au différentes conversations que j’ai pu avoir avec différents agents fort sympathiques, les informations qui m’ont été données sont claires et satisfaisantes. Je suis ravie.</t>
  </si>
  <si>
    <t>jeremy-d-109720</t>
  </si>
  <si>
    <t>BUG informatique difficilement acceptable en 2021...
On m'envoie un SMS à un mauvais numéro sans aucune possibilité de le changer. Rend le process long et fastidieux par surcontrole et de mauvais test utilisateur à priori...dommage</t>
  </si>
  <si>
    <t>shuttle-101212</t>
  </si>
  <si>
    <t>Tarif très compétitif, démarches simples, attente téléphonique acceptable, interlocutrices dynamiques et comprehensibles. Site informatique clair et simple d'utilisation. Je recommande</t>
  </si>
  <si>
    <t>fabiano-c-104951</t>
  </si>
  <si>
    <t xml:space="preserve">Client depuis 2017 et la facture ne fait que augmenter depuis...
Pas d'avantage de fidélisation...J'ai eu Que 1 sinistre relatif a mon para bris depuis 2017. pas d'accident ou d'autre situation embêtant. 
</t>
  </si>
  <si>
    <t>olivier-71670</t>
  </si>
  <si>
    <t xml:space="preserve">La Macif est certainement la plus mauvaise société d'assurance sur le marché...
La gestion des sinistres dégat des eaux est sous-traitée par une plateforme téléphonique avec du personnel incompétent qui vous donne de fausses informations qui au final vous sont préjudiciable.
Impossible d'avoir un gestionnaire en ligne.
Dossier incomplet
Double discours.
Perte de temps et d'argent.
A fuir !!!!!!! </t>
  </si>
  <si>
    <t>26/02/2019</t>
  </si>
  <si>
    <t>loic-r-124184</t>
  </si>
  <si>
    <t>Le service client étant injoignable par téléphone  et ne fonctionne que par internet via mon espace personnel est vraiment navrant et ne pouvoir discuter avec une personne sur le territoire français serait trés utile.</t>
  </si>
  <si>
    <t>22/07/2021</t>
  </si>
  <si>
    <t>alvaro-p-116692</t>
  </si>
  <si>
    <t xml:space="preserve">Mon interlocuteur du service client été très professionnel et aimable. Les prix de cette assurance défient toute concurrence mais à voir sur le long terme si l'assurance répond à nos attentes. </t>
  </si>
  <si>
    <t>10/06/2021</t>
  </si>
  <si>
    <t>serge-51268</t>
  </si>
  <si>
    <t xml:space="preserve">Impossible à contacter , j'ai du téléphoner plus de dix fois avant d'avoir un soit disant conseiller . Quand enfin j'ai eu un interlocuteur , celui-ci a été plus que désagréable, inutile et incompétent. </t>
  </si>
  <si>
    <t>29/01/2017</t>
  </si>
  <si>
    <t>kochmann-m-130545</t>
  </si>
  <si>
    <t>Les prix sont intéressant et le site plutôt ludique. Je recommanderai L'Olivier pour les prochains contrat. D'ailleurs je pense basculer celui de ma femme chez vous</t>
  </si>
  <si>
    <t>abdel-68090</t>
  </si>
  <si>
    <t xml:space="preserve">Infiltrations dans mon sous-sol suite à fuite sur réseau d'eaux pluviales enterré. 1er dossier, il y a 3ans et 2ème l'an dernier. Même expert mandaté à 2 ans d'écart pour trouver LA faille pour refuser la prise en charge. Service client sollicité et comme solution, ils proposent que je fasse une contre expertise à ma charge qui va aboutir à une 3ème expertise (frais partagés)... Méthode de dissuasion leur permettant de ne pas indemniser </t>
  </si>
  <si>
    <t>e-perrier31-56047</t>
  </si>
  <si>
    <t>Suite au décès de ma mère, j'ai résilié son assurance habitation. J'ai dû payer des frais car j'ai eu un retard de paiement de 2 mois (normal). Par contre, cela fait plus de 6 mois qu'ils doivent me rembourser le trop perçu et là, c'est une galère sans nom. Ma conseillère me renvoie vers la société mère, qui ne répond pas. J'ai eu un échange de mails (une dizaine) avec dialogweb qui a toujours la même réponse : "je relance le service concerné", mais rien ne se passe, personne n'est capable de répondre. Je pense que tous les salariés travaillent au service contentieux et facturation, mais personne au service client. Une honte, il n'y a pas d'autres mots.</t>
  </si>
  <si>
    <t>17/07/2017</t>
  </si>
  <si>
    <t>benji59-61731</t>
  </si>
  <si>
    <t xml:space="preserve">bonjour mon avis sur cette assurance les prix sont bon mes le reste laisse a désire sa fait 3 ans que je suis chez eux jamais envoyer de feuille de soin j envoie une feuille de soin en 3 ans et aucune réponse 2 semaine plus tard et le service client ne c'est pas me répondre avec assuropoil tout va bien mes des que votre chien passe aux véterinaire est que la facture monté est que on na besoin d'eux la il a pu personne  ma note 2/10  </t>
  </si>
  <si>
    <t>25/02/2018</t>
  </si>
  <si>
    <t>ecureil93-138600</t>
  </si>
  <si>
    <t>Accueil parfait
Détail  prestations et services  10/10
Disponibilité et contacts faciles
Je passe de 182€  à  141€ !!!
A mon avis une des meilleures sinon la meilleure. J'espère qu'il n'y aura pas d'augmentation de tarif pour 2022.
Bravo!!!  Continuez...</t>
  </si>
  <si>
    <t>30/10/2021</t>
  </si>
  <si>
    <t xml:space="preserve">Bonjour je confirme c'est une mutuelle à fuir je regrette énormément j'ai souscrit début juin et depuis je ne dors plus il n'y a aucun remboursement de fait de la sécurité sociale ne rembourse mais la mutuelle ne rembourse pas quand on les appelle ils ne savent pas nous donner une réponse concrète concrète donc je vous conseille fortement de ne pas adhérer à cette mutuelle </t>
  </si>
  <si>
    <t>guylene-murielle--94481</t>
  </si>
  <si>
    <t>Les explications sont nettes et précises. L’évaluation du profil est rapide et efficace !!l Les termes du contrat sont simples et j’apprécie cette démarche en ligne.</t>
  </si>
  <si>
    <t>yohann-p-127479</t>
  </si>
  <si>
    <t xml:space="preserve">Très satisfait que se soit niveau tarif que niveau protection je pense à faire assurer mon deuxième véhicule d’ici peux d’ici sera une Clim 4 tous risque </t>
  </si>
  <si>
    <t>khon-s-112655</t>
  </si>
  <si>
    <t>J'ai hésité entre vous et Direct Assurance. Ce qui m'a fait penché ce sont vos tarifs et conseils par téléphone. Chez Direct, ils sont pas très agréables.
Les tarifs sont vraiment très attractifs mais dommage qu'il n'exciste pas l'option "zero franchise" pour bris de glace.</t>
  </si>
  <si>
    <t>ciani-a-135835</t>
  </si>
  <si>
    <t>Je suis satisfait du service et de la rapidité de prise en charge de ma demande. Je recommande. 
Les prix sont abordables, je verrai dans le temps si cela perdure. Pour un début je suis très contente</t>
  </si>
  <si>
    <t>04/10/2021</t>
  </si>
  <si>
    <t>fred0659-65619</t>
  </si>
  <si>
    <t xml:space="preserve">Je suis un quelconque client de chez Axa depuis de nombreuses années. Aucun accident ni incident depuis l’obtention de mon permis en 1996. L’assurance m’est imposée qu’au titre de la légalité.
L’année dernière, un accident de la circulation non responsable a généré 100 jours d’ITT et a fortement compliqué ma situation financière.
Mais psychologiquement, le plus difficile a été d’affronter le service d’indemnisation corporelle d’Axa où tout est mis en œuvre pour vous désespérer : rétentions d’informations, mauvaise foi, moqueries, etc...
Dans le cas d’un dossier corporel, je vous conseille l’assistance d’un avocat dès le début du dossier, ce qui vous évitera d’être confronté à tant de bêtise et de malhonnêteté.
Aucune avancée du dossier n’est transmise, c’est systématiquement moi qui ai forcé les renseignements. Des e-mails restés sans réponse. Quand j’ai osé faire des rappels sur les délais encadrés par la Loi Badinter, on m’a rit au nez. Nous sommes à 16 mois de l’accident et le paiement se fait toujours attendre.
La semaine dernière, j’ai rappelé à la personne se débattant avec mon dossier que j’étais étonné de n’avoir pas reçu l’indemnisation ni de réponse à mes e-mails demandant une confirmation du bon déroulement du paiement. Hélas pour moi, elle prenait acte à l’instant de mes e-mails envoyés 15 jrs plus tôt et m’annonçait qu’elle "pensait" que je contestais l’offre conclue il y a un mois et dont le délai de rétractation par recommandé était largement dépassé....
Bref, n’espérez aucun soutien même en tant que victime de la part de cette assurance car leur comportement crapuleux va vous déconcerter.
Et j’allais oublier, mon véhicule n’a jamais été remis en état.
Au vu de l’absence d’état d’âme, de considération et de compétences, le groupe Axa devrait ouvrir aussi un établissement bancaire.
</t>
  </si>
  <si>
    <t>19/07/2018</t>
  </si>
  <si>
    <t>melody-s-127859</t>
  </si>
  <si>
    <t>je viens tout juste de souscrire , on verra dans le temps...
tarif correct, 
simplicité de souscrire
bémol sur le délai de rétractation inexistant avec la souscription en ligne</t>
  </si>
  <si>
    <t>mag-62158</t>
  </si>
  <si>
    <t>Rien de particulier. Je suis très satisfaite du service rendu</t>
  </si>
  <si>
    <t>09/03/2018</t>
  </si>
  <si>
    <t>gilles-w-110776</t>
  </si>
  <si>
    <t>NUL. Il ne faut surtout pas avoir de sinistre.!! Entre des experts incompétents (mon concessionnaire Volvo était catastrophé!!) et des gestionnaires butés....Que du bonheur!!</t>
  </si>
  <si>
    <t>christine-53908</t>
  </si>
  <si>
    <t>Vigilance vigilance
Cette assurance n'est pas sérieuse. Ils vous appâtent avec les devis, vous prennent 218,40 à l'ouverture. Ils vous envoient l'attestation d'assurance et ensuite 3 semaines après ils vous disent vous refuser et vous facturent 60 euros de frais de dossier et 60 euros de frais de résiliation.  Ils vous bloquent votre accès à votre compte et ensuite vous ne pouvez plus rien faire et rentrer en contact avec eux.</t>
  </si>
  <si>
    <t>06/04/2017</t>
  </si>
  <si>
    <t>ouidir-b-121244</t>
  </si>
  <si>
    <t xml:space="preserve">Je suis satisfait du prix ainsi que des packs disponibles.
Je compte sûrement assurer aussi mon scooter chez vous, j’espère que vous avez un bon service après vente merci beaucoup votre site est rapide et fiable. </t>
  </si>
  <si>
    <t>25/06/2021</t>
  </si>
  <si>
    <t>teiri-g-115970</t>
  </si>
  <si>
    <t>rapport  qualité  prix rien à signaler
comme d'habitude on est toujours bien conseiller donc bien aider et très pratique l'application et très facile d'utilisation.</t>
  </si>
  <si>
    <t>stephanie-m-105082</t>
  </si>
  <si>
    <t>je suis satisfaite du service le tarif est correct et service rapide et je  ne sais plus quoi ajouter j en serais plus après avoir fait changer mon pare brise</t>
  </si>
  <si>
    <t>isa-54615</t>
  </si>
  <si>
    <t>Nul lettres recommandées émail    et toujours se rien compris de leur part c'est prélèvements que j'ai autorisé sur ce nouveau  CCP cela a été fait  en janvier puis en avril avec les documents  et rien si une réclamation de défaut de paiement mensualites</t>
  </si>
  <si>
    <t>13/07/2017</t>
  </si>
  <si>
    <t>rizlaine-s-132349</t>
  </si>
  <si>
    <t>Lea prix me conviennent c rapide et efficace! Je suis déjà chez direct assurance pr une première voiture je continue tellement je n’ai eu aucun pb avec eux pr le mmt!</t>
  </si>
  <si>
    <t>11/09/2021</t>
  </si>
  <si>
    <t>christian22-71013</t>
  </si>
  <si>
    <t>Bonne Assurance, de ma part je suis très content de la mutuelle Néoliane, des prix raisonnables par rapport aux autres mutuelles ! A recommander</t>
  </si>
  <si>
    <t>06/02/2019</t>
  </si>
  <si>
    <t>rikiki-50631</t>
  </si>
  <si>
    <t xml:space="preserve">client depuis + de 25 ans avec 2 assurances voiture  1 assurance habitation 1 assurance accidents et famille et n'ayant declaré que 2 trés legers accidents voiture depuis 10 ans (personne qui accroche votre vehicule en sortant du parking sans laisser d'adresse ) Jamais ils n'ont eu un geste commercial sur l'une des cotisations.dur , dur 
</t>
  </si>
  <si>
    <t>braahiim30-51715</t>
  </si>
  <si>
    <t xml:space="preserve">Un ans chez vous et déçu du service client qui ne tienne pas leur parole et me laisse avec un gros problème !!! Du coup je me retrouve sans assurance avec mon nouveau véhicule et ce qui est dit par le service client n'est pas logique et chaque personne au téléphone se contre dit ! Aucun résultat à la fin !!! </t>
  </si>
  <si>
    <t>bouchaa-85453</t>
  </si>
  <si>
    <t xml:space="preserve">L'olivier assurance gère très mal les sinistres à éviter
J'ai eu un accident non responsable et j'ai payé la franchise!!!!! pour réparer ma voiture </t>
  </si>
  <si>
    <t>03/01/2020</t>
  </si>
  <si>
    <t>nounours0467-67862</t>
  </si>
  <si>
    <t>Rien à dire pour le moment, très bien accueilli par téléphone avec des conseillères d'une gentillesse. 4 véhicules assurées chez eux et tout s'est parfaitement déroulé avec le prix annoncé.</t>
  </si>
  <si>
    <t>18/10/2018</t>
  </si>
  <si>
    <t>senart91-127051</t>
  </si>
  <si>
    <t>Client depuis 25 ans (voiture et habitation) je n eu que deux sinistres. Les deux refusés car soit disant pas dans le contrat. Il a fallu que je conteste pour obtenir une prise en charge du premier,  et il va falloir faire de même pour le deuxième.  Assurance cher et le service client et juste là pour vendre. Passez votre chemin, les low cost ne seront pas plus mauvais.</t>
  </si>
  <si>
    <t>08/08/2021</t>
  </si>
  <si>
    <t>cotignac-56644</t>
  </si>
  <si>
    <t xml:space="preserve">Cela fait quinze jours que je roule sans attestation  d' assurance , inadmissible de faire campagne pour la prévention routière,  alors que le stress est générateur de perturbation psychologique et physique et plus au volant . Peur panique de me retrouver verbalisée alors que ma seule infraction est d' avoir un assureur peu consciencieux </t>
  </si>
  <si>
    <t>13/01/2018</t>
  </si>
  <si>
    <t>seb-70389</t>
  </si>
  <si>
    <t>Niveau prix et relation client RAS ! Par contre attention au sinistre. Un poid lourd m'a percuter en moto. Tout au long de la procédure on m'a assuré que je ne pourrais être responsable a 100%. Pourtant c'est arrivé.... Assureur à éviter d'urgence !!</t>
  </si>
  <si>
    <t>20/01/2019</t>
  </si>
  <si>
    <t>denis-m-131719</t>
  </si>
  <si>
    <t>Le prix me convient, j'espère que je trouverais satisfaction par la suite de mon contrat.
Espérant vraiment en cas de soucis mon assurance interviendra</t>
  </si>
  <si>
    <t>jeannine-s-105020</t>
  </si>
  <si>
    <t xml:space="preserve">je suis satisfait du service rapide conditions avantageuses j'espere que cela de meme si j ai un accident je ne le souhaite pas  et si le serevice apres vente sera aussi efficace </t>
  </si>
  <si>
    <t>bruno-68818</t>
  </si>
  <si>
    <t>A jour de mes cotisations, cette mutuelle ne rembourse plus que les soins médecins. Les télé opérateurs se contentent de répondre : nous trzansmettons au service concerné. Prochaine étape : reglement du litige par ma protection juridique</t>
  </si>
  <si>
    <t>22/11/2018</t>
  </si>
  <si>
    <t>laurent-s-131286</t>
  </si>
  <si>
    <t>Parfait, simple d utilisation, rapidité de mise en place, seul problème impossible de joindre par ligne téléphonique.
Je suis rester quinze minute à attendre pour finalement être raccrocher au nez</t>
  </si>
  <si>
    <t>iandry-nancy-r-135294</t>
  </si>
  <si>
    <t>JE SUIS SATISFAITE  DU SERVICE ET LA RAPIDITE DU TRAITEMENT DU DOSSIER . AINSI QUE LE TARIF ATTRACTIF DE DIRECT ASSURANCE. EN ESPERANT  QUE VOTRE COMPAGNIE  SERA PRESENTE ET  JOIGNABLE  EN CAS DE  PROBLEMES .</t>
  </si>
  <si>
    <t>30/09/2021</t>
  </si>
  <si>
    <t>przystaniak-s-124118</t>
  </si>
  <si>
    <t xml:space="preserve">J attend de voir  me pour l instant je suis satisfait les prix sont raisonnables et les conseiller sont bienveillants et a l ecoute et cherches des solutions </t>
  </si>
  <si>
    <t>21/07/2021</t>
  </si>
  <si>
    <t>mak-101094</t>
  </si>
  <si>
    <t xml:space="preserve">
Bonjour,
Voilà 3 mois que j'attends un remboursement, et voilà bien 3 semaines qu'on me prend pour un imbécile ! Service pitoyable, ils se moquent totalement des adhérents ! Je ne suis toujours pas remboursé et personne daigne me répondre. VIVEMENT DECONSEILLÉ !</t>
  </si>
  <si>
    <t>08/12/2020</t>
  </si>
  <si>
    <t>gael-g-117062</t>
  </si>
  <si>
    <t xml:space="preserve">Je suis satisfait du service et du prix de l'assurance de la moto et la prise en charge pour le conducteur moi même dans ce cas merci beaucoup pour votre efficacité </t>
  </si>
  <si>
    <t>15/06/2021</t>
  </si>
  <si>
    <t>kiwi113-90135</t>
  </si>
  <si>
    <t>Je regrette avoir choisi cet assureur il y a quelques mois, j'ai dû m'orienter ailleurs dès le début où j'ai même eu des soucis pour assurer ma moto à cause des agents incompétents et rudes. Je me suis dit que j'ai eu le malheur de tomber sur un cas particulier. Et aujourd'hui, tous les motards de MdM sont effectivement non assurés, où l'assureur n'est pas joignable, et même les procédures automatiques sur le compte client ne fonctionnent pas. Dès que je peux changer d'assureur je le ferai, j'espère que je n'aurai pas de sinistres durant ce temps-là !</t>
  </si>
  <si>
    <t>02/06/2020</t>
  </si>
  <si>
    <t>chauffriat-s-129053</t>
  </si>
  <si>
    <t xml:space="preserve">Efficace et surtout compétitif. J'ai vu un réel écart, en particulier vis à vis de mon assureur historique. A voir à l'usage maintenant, mais pour l'heure suis satisfait </t>
  </si>
  <si>
    <t>22/08/2021</t>
  </si>
  <si>
    <t>skippy-115436</t>
  </si>
  <si>
    <t xml:space="preserve">Je suis en arrêt maladie depuis plusieurs mois je les est contacter  mais je parle a un mur . Ensuite un licenciement  idem  impossible d'avoir un interlocuteur   ( alors qu'il aurait du me verser des indemnités pendant mon arrêt , et pour ma perte d'emploi  ( j'ai jeté mon argent par la fenêtre  ) aucun  professionnalisme une, ont ce crois à l'abri de ces soucis  mais c'est la parcours du combattant  . Aucun contact au téléphone  ( perte de temps  ) je suis furax </t>
  </si>
  <si>
    <t>lolo42-70145</t>
  </si>
  <si>
    <t>aucun interlocuteur sérieux,courriers jamais recus,mesures dilatoires pour vous décourager;plusieurs conseils:envoyer tout en RAR,n'hésitez pas à vous regrouper par région avec 1 avocat et assignez les systématiquement pour les faire bouger,échangez vos informations à travers des attestations sur l'honneur pour les juges,etc</t>
  </si>
  <si>
    <t>22/01/2019</t>
  </si>
  <si>
    <t>pichaureaux-m-126037</t>
  </si>
  <si>
    <t>Pour le moment ça me convient.
En espérant que ça durera dans le temps.
J'aimerais avoir des réductions sur d'autres contrats éventuellement prochainement.</t>
  </si>
  <si>
    <t>02/08/2021</t>
  </si>
  <si>
    <t>magaly-f-113974</t>
  </si>
  <si>
    <t>les prix sont élevé pour les voitures diesel. Rien à voir avec l'offre d'entrée pour les voiture essence. Je suis assez déçu de la découverte. et encore plus de ne pouvoir bénéficiez de l'offre connectée n'étant pas jeune conducteur.</t>
  </si>
  <si>
    <t>gilles-p-106875</t>
  </si>
  <si>
    <t>très satisfait du service très bon rapport qualité prix répond rapidement le principe des 2 mois est bien car on a 1 mois sans à payer c'est pratique merci</t>
  </si>
  <si>
    <t>17/03/2021</t>
  </si>
  <si>
    <t>mokirane-a-105754</t>
  </si>
  <si>
    <t>pour un tiers simple celà fait un peu chére  comparé aux autres véhicules que j'ai assuré chez vous en tout risque il n'y a pas beaucoup de différence , de plus j'ai assuré chez vous mon habitation</t>
  </si>
  <si>
    <t>07/03/2021</t>
  </si>
  <si>
    <t>nath-70266</t>
  </si>
  <si>
    <t>Très facile de souscrire un contrat avec Direct Assurance, beaucoup plus difficile d'en profiter.
Leurs experts contestent les faits, ils vous refusent les garanties et vous collent un malus.
Quand au bout de 10 appels vous finissez par avoir qqun au téléphone (call center en Afrique du Nord), celui-ci ne peut rien faire pour vous, aussi gentil soit il.
Alors votre conseiller doit vous rappeler, mais il ne le fait pas. Finalement c'est leur juriste qui vous appelle pour vous dire que vous l'avez dans l'os.
Ca ce passe comme ça chez Direct Assurance.</t>
  </si>
  <si>
    <t>16/01/2019</t>
  </si>
  <si>
    <t>ska-61774</t>
  </si>
  <si>
    <t>crevaison sur autoroute hier, dimanche soir de nuit...appel direct assurance, qui nous dit d'appeler les gendarmes pour le remorquage et rappelez nous après.... ok, remorquage ok, mais exceptionnel car sur autoroute... super, merci vraiment..... en revanche une fois au garage retour en taxi à la maison ( 1h de route ), 441 eur de taxi....non pris en charge par direct assurance malgré l'assurance tout risque pack sérénité.. 
à oui mais la crevaison est une exclusion .... DONC RESILIATION DES QUE POSSIBLE A FUIR...</t>
  </si>
  <si>
    <t>26/02/2018</t>
  </si>
  <si>
    <t>chloe91b-66625</t>
  </si>
  <si>
    <t>Titulaire du permis depuis plus de 2 ans sans sinistre avec tout mon bonus, j'ai voulu assuré mon nouveau véhicule de 170ch, j'ai d'abord reçu validation par devis par téléphone, puis le jour où j'ai acheté le véhicule, toutes les agences m'ont fait refus au téléphone. J'ai été mise en contact avec un responsable à Montpellier qui m'a confirmé qu'ils pouvaient m'assurer tant que j'avais plus de 2 ans de permis et 0.9 de bonus.  Je suis actuellement assurée pour un CDD de 1 mois, malheureusement je dois chercher une autre assurance qui veut bien m'assurer pour la suite...
Déçue du service client et des conditions d'adhésion très limitées pour les jeunes permis sans accident responsable...</t>
  </si>
  <si>
    <t>05/09/2018</t>
  </si>
  <si>
    <t>linet-j-138890</t>
  </si>
  <si>
    <t xml:space="preserve">je suis satisfaite du prix et du contrat proposé
par contre obligation de téléphoner car message à l'ecran : erreur veuillez renouveler votre demande au moment de valider en ligne ???
</t>
  </si>
  <si>
    <t>samira-105125</t>
  </si>
  <si>
    <t xml:space="preserve">Les différents interlocuteurs sont disponibles , courtois et professionnels, 
La garantie perte de salaire et prime et excellente, (cependant un petit bémol quant au délai de règlement qui est de dix jours ce qui peut être trés long! En-cas de difficultés financières ), obligée de solliciter en urgences le service Social, etc..pour une aide afin de pallier l'attente du versement du complément par la mutuelle ce qui est anxiogène.)
</t>
  </si>
  <si>
    <t>mehdi-01-58826</t>
  </si>
  <si>
    <t xml:space="preserve">Ayant eu un accident de scooter , on ma rentré dedans la personne est temps 100% en tord , j'ai envoyé mon dossier complété correctement en recommandé, avec avis de réception reçus , et depuis aucune nouvelle de l'assurance .. </t>
  </si>
  <si>
    <t>14/11/2017</t>
  </si>
  <si>
    <t>phroy-91798</t>
  </si>
  <si>
    <t xml:space="preserve">Suite à ma commune reconnu en catastrophe naturelle j'ai solicité mon assurance la MAIF et donc vous avez besoin de rien et surtout pas d'être indemnisé en cas de problème alors la MAIF est faite pour vous.
Pour vous prendre votre argent ils sont la pour vous indemniser plus personne.
Ils me font payer l'assurance catastrophe naturelle pour rien.
Je ne recommande pas cette assurance sauf si vous avez trop d'argent et que vous ne savez pas quoi en faire.
je vais donc changer d'assurance ca ne sera peut être pas mieux ailleurs mais surement pas pire.
</t>
  </si>
  <si>
    <t>ulysse-101430</t>
  </si>
  <si>
    <t xml:space="preserve">peu recommandable; Aucune garantie de remboursement pour des prélèvements souvent onéreux. Aucune précision lors de la déclaration de sinistre et sur la qualité de la garantie. A proscrire pour les non enseignants.
</t>
  </si>
  <si>
    <t>ruiz-nat-108683</t>
  </si>
  <si>
    <t>Très satisfaite de l’accueil d’Angelique.
Souriante efficace un grand merci
Je recommande cette mutuelle 
Information clair et précise
...........MRuiz</t>
  </si>
  <si>
    <t>compte-e-131697</t>
  </si>
  <si>
    <t>Déjà assuré chez AMV depuis 2015, pour un nouvel achat de moto je suis revenu naturellement sur ce site;
très pratique, rapide et simple d'utilisation
RAS</t>
  </si>
  <si>
    <t>sjj-126373</t>
  </si>
  <si>
    <t>A fuir.
Assurance qui vous ajoute et vous preleve une complementaire prevoyance alors que vous n'avez consenti qu'a une garantie frais de santé.Refus de remboursement.Procedure en cours afin d'obtenir les enregistrements de conversion.Jinvite quiconque se trouve dans la meme situation a se signaler pour une action de groupe et denoncer ces pratiques de santiane.</t>
  </si>
  <si>
    <t>mireille-81835</t>
  </si>
  <si>
    <t>Une très bonne communication avec Gwendal. 
Une prise en charge, immédiate après avoir effectué les manipulations téléphonique ... avec humour, et gentillesse et amabilité il a répondu à toutes mes demandes..... et de nos jours, c'est plus que très agréable d'avoir ces qualités.
je suis très satisfaite.</t>
  </si>
  <si>
    <t>12/12/2019</t>
  </si>
  <si>
    <t>huras-m-114708</t>
  </si>
  <si>
    <t xml:space="preserve">Bien mais je trouve cela absurde que l'on puisse par avoir pour des véhicules différents dans le foyer, différentes adresses mails. De plus nous avons eu un accident un vendredi à 18h et aucun numéro trouvé sur internet ne me permettait d'appeler l'assistance pour au moins prévenir de l'accident même si je pouvais rentrer avec mon véhicule chez moi. </t>
  </si>
  <si>
    <t>24/05/2021</t>
  </si>
  <si>
    <t>thierry-b-116373</t>
  </si>
  <si>
    <t xml:space="preserve">je suis satisfait du prix du produit rapide pas compliqué pour remplir le questionnaire les conditions pour le prix sont bien en se quii me concerne je recommanderai direct assurance </t>
  </si>
  <si>
    <t>georges-g-103760</t>
  </si>
  <si>
    <t xml:space="preserve">Très satisfait des services, super réactivité et professionnalisme.
Tarifs et options proposés très bien placés par rapport aux prix du marché 
</t>
  </si>
  <si>
    <t>angie-d-114860</t>
  </si>
  <si>
    <t>Je suis satisfait de la procédure de souscription sauf pour la demande de la formule de paiement qui n'est pas explicite : d'office, c'est paiement annuel alors qu'il faudrait un choix multiple.</t>
  </si>
  <si>
    <t>jqmx40-111725</t>
  </si>
  <si>
    <t>A fuir!
Des frais de l'ordre de 5%, un mépris total pour ses clients, malgré une gestion calamiteuse de mon dossier...
Des marchands de tapis déguisé en assureur, et bien sur il ne sont responsable de rien.
3 années de contrat + de 12500€ d'investit, sur un de leur contrat avec une très bonne rentabilité, dixit le vendeur.
A la sortie un gain de 17,30€, et rien d'anormal de leur point de vue...
Bref, des vendeurs qui viennent à votre domicile, vous promettent monts et merveilles et à la fin vous font comprendre que c'est de votre faute car il y avait un risque.
Je réitère, à fuir!!</t>
  </si>
  <si>
    <t>26/04/2021</t>
  </si>
  <si>
    <t>stephanie-v-115506</t>
  </si>
  <si>
    <t>Très bonne application assez facile d’utilisation,Inconvénient je ne sais pas comment les contacté pour le changement d’adresse ou pour les informations .</t>
  </si>
  <si>
    <t>draeni-58258</t>
  </si>
  <si>
    <t>le secret d'une bonne assurance : créer un climat de confiance avec son assureur réactif. tous les mots sont important, si vous n'avez pas tous les mots, changez d'assureur !</t>
  </si>
  <si>
    <t>contact-53321</t>
  </si>
  <si>
    <t>16-03-2017 Le dossier que j´ai envoyer en tripe exemplaire n´arrive jamais   et du coup mon dossier n´est jamais "finalisé". Le problème, c´est qu´en cas de problèmes, ils se dechargerons de toutes responsabilités en indiquant que mon dossier manque de pièces !  Ce qui est FAUX !  Marre de me prendre la tete avec eux !</t>
  </si>
  <si>
    <t>16/03/2017</t>
  </si>
  <si>
    <t>ninous-85838</t>
  </si>
  <si>
    <t>Ne répondent pas au téléphone resilie sans donner le motif vous jette comme unmoouchoir sale jamais d impaye</t>
  </si>
  <si>
    <t>13/01/2020</t>
  </si>
  <si>
    <t>cassiopee-54743</t>
  </si>
  <si>
    <t xml:space="preserve">Récidive de dégât des eaux. Gestion correcte de l'incident , mais l'insuffisance de conseils et d'informations règlementaires est notable. </t>
  </si>
  <si>
    <t>17/05/2017</t>
  </si>
  <si>
    <t>bouzid-s-127946</t>
  </si>
  <si>
    <t xml:space="preserve">Un peux trop chère pour une assurance ou j’assure toujours m’es moto faux me faire des pris ou remise merci de me contacter ou de faire une offre bonne journée </t>
  </si>
  <si>
    <t>frederic-d-109208</t>
  </si>
  <si>
    <t xml:space="preserve">efficacité, tarif et compréhension des problèmes rencontrés. Personnel à l'écoute. Le site internet est pratique pour chercher ce que nous souhaitons. </t>
  </si>
  <si>
    <t>05/04/2021</t>
  </si>
  <si>
    <t>landry-h-107589</t>
  </si>
  <si>
    <t>Je suis satisfait des tarifs.
J'ai économisé prêt de 300 euros par rapport à mon assurance actuelle.
De plus DIRECT ASSURANCE va gérer ma résiliation de contrat chez mon ancien assureur.</t>
  </si>
  <si>
    <t>23/03/2021</t>
  </si>
  <si>
    <t>japa30-104048</t>
  </si>
  <si>
    <t>Je suis d'accord avec tous les commentaires qui sont sur toutes les opinions défavorables concernant cette mutuelle (voir tous les jours!!). Je suis affilié depuis le 1er janvier 2021 et je n'ai qu'une hâte c'est d'être à la fin de 2021 pour me débarrasser de cette société
Je répète aucune communication possible avec cette Cégema sauf pour nous refuser les remboursements et je ne comprends pas qu'il faille passer par Biarritz pour essayer de communiquer</t>
  </si>
  <si>
    <t>12/02/2021</t>
  </si>
  <si>
    <t>avis31000-107457</t>
  </si>
  <si>
    <t xml:space="preserve">Attention comme tout assureur, qui fait sa clientèle au téléphone par démarchage, il y a toujours une forme d'achat par pression, la sollicitation d'un service dont vous n'aviez pas vraiment besoin à l'origine( moi j' ai déjà une assurance décès et hospitalisation)
Néoliane m'avait donc parlé d'une assurance décès et suite à leurs nombreux appels, oubliant de résilier, je me suis retrouvé embarqué pour un contrat le plus minimal possible d'environ 8€, début 2021.
Je n'avais rien reçu par mail de concret (un oubli d'envoi leur part), rien niveau contrat et en février, il a fallu que je les relance  pour l'avoir, puis   suite à un 1er incident de paiement bancaire ( qui vient pas de mon fait, vu que j'ai bien indiqué les bonnes coordonnés bancaires!!*), je me retrouvais déjà redevable d'un montant d'environ 20€ donc dès le 1er mois de démarrage ( ça commence  bien!) 
puis chose DINGUE, selon la date de leur 2 ème courrier ( une mise en demeure),  soit précisément 3 JOURS APRÈS ,le montant sur leur courrier ( avec mise en demeure)  a quasiment doublé : plus de 40 € ( étrangement pour ce genre de choses aucun mail ni appel téléphonique avec messages, c'est direct la mise en demeure !)
Leur souscription par téléphone est décidément rentable, une fois  le contrat pré signé pendant la période des 14 jours et la date de résiliation passée,  on vous tient !
L'opération reste gagnante pour eux, voir juteuse, selon mon calcul prévisionnel s'il se réalisait, au rythme des 2 relances reçue : d'ici 1 an je vais me retrouver avec un montant disproportionné de 400 à 600€, sympa pour un chômeur qui  ne  perçoit  que 1020€/mois 
 DOMMAGE POUR EUX , JE VAIS  DEVOIRC HANGER MA MUTUELLE ACTUELLE  DANS  LES PROCHAINES SEMAINES :en effet,celle que j'ai depuis 3 ans, dont je suis content pour leurs services , est passée en 2 ans de 80€ à 100€! 
Ce sera une démarche active de ma part, pas subie par démarchage au téléphone ( je suis assez grand pour en trouver une)  
* en quoi je suis responsable de ce que le prélèvement n' ait pas fonctionné ? J'ai indiqué le bon RIB! Je subis d'office une amende (puis 1 semaine + tard majorée) pour un rejet bancaire, dont je ne peux prouver que je ne suis pas le responsable (forcement dû à un problème d'un service comptable de Néoliane ou à autre cause exceptionnelle indépendante, de Neoliane ,de moi et peut etre de ma banque, qui a pourtant bien effectué, assuré les prélèvements jusqu'ici)
</t>
  </si>
  <si>
    <t>22/03/2021</t>
  </si>
  <si>
    <t>mac-98455</t>
  </si>
  <si>
    <t xml:space="preserve">A la MGP depuis 1984 !!!  je n'ai jamais éprouver l'envie de changer de mutuelle, bien que des changements (surtout ) très attrayantes) m’ont  été proposé. mais jusqu’à  maintenant  avec la MGP je n'ai eu point souci.   </t>
  </si>
  <si>
    <t>07/10/2020</t>
  </si>
  <si>
    <t>anthony-l-105919</t>
  </si>
  <si>
    <t>Nous avons appris la résiliation de notre contrat via un message de notre parrain direct assurance. Très déçu de cette action de votre part. Nous avons recommandé votre assurance à une connaissance et allons tout faire pour corrigé cette erreur.</t>
  </si>
  <si>
    <t>pil-62416</t>
  </si>
  <si>
    <t xml:space="preserve">Suite à un sinistre le 2 mars et une déclaration à l'agence de Brive le 3 mars.
Vous deviez me contacter suivant les dires du conseiller de l'agence a Brive, à ce jour aucun contact.
Quand je téléphone sur la plateforme le 12 mars je ne peux pas avoir le service sinistre.
J'ai bien un conseiller mais il n'arrive pas à me passer le service, 2 HEURES AU TELEPHONE.
j'ai envoyé un mail pas de réponse.
Il y a vraiment un disfonctionnement dans le traitement de vos dossiers.
Chez d'autre assureur il y a bien un gestionnaire de sinistre a l'agence il y en a marre des plateformes téléphoniques.
</t>
  </si>
  <si>
    <t>16/03/2018</t>
  </si>
  <si>
    <t>yann-96039</t>
  </si>
  <si>
    <t xml:space="preserve">Bonjour Suite à un accident survenu le 23 juillet  l'expert automobile  (axa)me dit que des malfaçons  ne sont pas prise en charge car mon véhicule à etait réparée par l'ancien propriétaire  assuré  Macif   celui ci me dit qu'il a effectué les réparations chez un garage partenaire de Macif  j'ai donc contacter  Macif par mail (5mail) est rien pas un mots   de leur part mon assurance  les à contacter  et pas un mots mots non plus  l'ancien propriétaire   (retraiteé  qui est malade par ailleurs  )à fait tout sont possibles  et c'est rendu à plusieurs  reprises  à la Macif  pour que lon trouve une solution rapidement  trouver vous normal que la Macif  ne réponde pas  ?sont il garant  des leur partenaire ? (Garagiste)a ce jour mon véhicule ne peut pas être réparée sans reprise des malfaçons  qui ne sont pas prise en compte par l'expert  (axa)   merci de m'aider si quelqu'un  a une solution   je suis preneur   vraiment  tous des pros </t>
  </si>
  <si>
    <t>25/08/2020</t>
  </si>
  <si>
    <t>serge-136303</t>
  </si>
  <si>
    <t xml:space="preserve">Alassane est vraiment une personne qui vous écoute et qui sait répondre à toute question il explique les choses comme un vrai professionnel il est au top encore un grand merci à lui </t>
  </si>
  <si>
    <t>emilie-b-132372</t>
  </si>
  <si>
    <t>Je suis très satisfaite du prix et des garanties proposées qui sont eux fois moins chères que chez mon assureur actuel. Facilitée pour s'assurer en ligne.</t>
  </si>
  <si>
    <t>lolotte-105171</t>
  </si>
  <si>
    <t xml:space="preserve">A FUIR  !
Dossier d'affiliation pour mon fils envoyé début novembre. Nous sommes en mars, et toujours rien de fait. 
Vendredi, je téléphone. On me répond qu'on va me recontacter. Ce matin (mardi), sans nouvelles, je rappelle à nouveau. Même réponse, on doit me recontacter. Le service affiliations est tout bonnement injoignable. L'accueil téléphonique transmet des mails au service...et on en reste là. Bien pratique !
Je coche avec plaisir la petite case "Je souhaite que mes coordonnées soient transmises à l'assureur afin qu'il puisse me répondre"...j'aurai peut-être enfin des nouvelles. </t>
  </si>
  <si>
    <t>lucas-s-112694</t>
  </si>
  <si>
    <t>j'essaye d'avoir contact avec quelqu'un depuis plusieurs jours et personne ne repond! Il n'y pas de numero à appeler donc impossible meme de trouver un adresse pour envoyer la lettre de resiliation du contrat</t>
  </si>
  <si>
    <t>darse-96635</t>
  </si>
  <si>
    <t xml:space="preserve">Ne prends pas en cosidération coefficient de réduction-majoration personnel selon des critères obscures...
Je retombe chez la Matmut qui a un service à l'écoute et pas juste un tiroir caisse.
NUL NUL NUL ! A éviter à tout pris.
</t>
  </si>
  <si>
    <t>michael-c-105907</t>
  </si>
  <si>
    <t>je suis très satisfait du prix de mon assurance continue ma situation pas tres riche vue le covid 19 c est assez compliquer pour moi actuellement merci</t>
  </si>
  <si>
    <t>voltige20-61029</t>
  </si>
  <si>
    <t>Bonjour à tous
J'ai été victime d'un cambriolage le jour de Noël 2017, je viens juste d avoir par mail ( Il a fallu que je le demande ... sinon pas de nouvelles) le détail des remboursements.... 
J'ai un contrat "remboursement à neuf", j'ai fourni toutes les factures ... et je vois que pour PACIFICA l'or décote de plus en plus... valeur de mon alliance 700 euros .. remboursée .. 250 euros, idem pour les autres bijoux ...
aillant tout au CRCA, je dis bien tout banque, placements, assurances habitation, auto... je suis sociétaire (part sociale), je crois qu'une migration vers un autre assureur va se faire...</t>
  </si>
  <si>
    <t>jerome-d-131298</t>
  </si>
  <si>
    <t xml:space="preserve">Bonjour Devis réalisé en ligne . Le retour est rapide et le site est très intuitif  . Très satisfait de la proposition prix / prestation . Je recommande . </t>
  </si>
  <si>
    <t>sarah-b-109504</t>
  </si>
  <si>
    <t>Vous n'êtes parmi les moins chers mais je vous considérait lorsque j'ai souscrit chez vous comme une référence quitté/prix. J'ai fait appel à vous dernièrement car je déménage et je souhaitais vous garder comme prestataires pour mon assurance habitation mais j'ai trouvé un service clientèle déplorable, sans aucune considération humaine. Une horde de téléopérateurs n'y connaissant rien en assurance et encore moins en relation client. Déplorable ! Je suis très déçue !</t>
  </si>
  <si>
    <t>07/04/2021</t>
  </si>
  <si>
    <t>jiefd64-104530</t>
  </si>
  <si>
    <t>Minables ? Incompétents ? Je m’en foutiste ?
Je n’ai jamais connu une assurance aussi nulle avec des délais de traitement intolérables.
Je les ai informés il y’a 3 mois du décès de ma mère, je reçois aujourd’hui une lettre recommandée de mise en demeure de paiement de cotisations avec menaces de suspension et de résiliation de contrat ! Non seulement ma mère est décédée depuis 3 mois et ils sont informés mais en plus les cotisations ne sont plus dues puisque ma mère percevait une rente. Pire que ça, ce sont eux qui nous doivent de l’argent car ils n’ont pas arrêté les prélèvements après le premier versement de la rente.
Sur une autre demande de capital décès, je viens tout juste de recevoir une réponse pour les pièces à fournir après trois mois de couriers, mails, téléphone (injoignables), courriers recommandés. Ils n’en ont rien foutre. A fuir.</t>
  </si>
  <si>
    <t>20/02/2021</t>
  </si>
  <si>
    <t>yann-95937</t>
  </si>
  <si>
    <t xml:space="preserve">assurance qui ce fou totalement de ses clients. depuis début mai et le vol de l'un de mes véhicule la GMF me ballade et ne me rembourse pas mon dû. assurance à furie  </t>
  </si>
  <si>
    <t>05/08/2020</t>
  </si>
  <si>
    <t>dave-102654</t>
  </si>
  <si>
    <t>C’est tout pour eux. Tu peux avoir payé pendant des années et des années. Il suffit que tu ait quelques problèmes, il te résilient le contrat soit disant qu’ils doivent être rentables. C’est pas une bonne mutuelle sur la durée!</t>
  </si>
  <si>
    <t>dubois-m-110674</t>
  </si>
  <si>
    <t>tb rapide et simple je recommanderai à mes amis et connaissances, les prix sont corrects et on peut même s'assurer le jour de l'ouverture du contrat, je suis très satisfaite, merci</t>
  </si>
  <si>
    <t>nicolas-b-132365</t>
  </si>
  <si>
    <t xml:space="preserve">Très gentille , assurance très simple facile à utiliser facile pour faire assurer la voiture  pas très chère non plus , on est assurée rapidement et efficace </t>
  </si>
  <si>
    <t>cedric-p-130575</t>
  </si>
  <si>
    <t>pour   l'instant   je   suis  satisfait ,   il y a un service clientèle que l'on comprend et qui répond.
La déclaration d'assurance  par internet est pratique et facile d'emploi.</t>
  </si>
  <si>
    <t>clientpasctent-79637</t>
  </si>
  <si>
    <t xml:space="preserve">Etudiant j'ai été assuré par Axa durant 6 mois. Il a été très très long de résilier le contrat que j'avais souscris sur internet (des heures au téléphone).
Je ne suis toujours pas remboursé pour le moment de l'excédent que j'ai payé (3 mois) puisqu'ils ont envoyé le chèque de remboursement à l'adresse de l'appartement que je quittais .
Les procédures sont systématiquement très longues et fastidieuses (en moyenne 3 ou 4 serveurs téléphonique avant d'avoir le bon). 
Je déconseille fortement AXA Assurance. </t>
  </si>
  <si>
    <t>greg76-81817</t>
  </si>
  <si>
    <t>Je suis assuré depuis plusieurs années chez AXA en septembre le 25 pour être précis j'ai été cambriolé a mon ancien domicile pendant mon emménagement dans le nouveau j'ai fait tout les papiers avec police intervention de l'expert depuis plus de nouvelle quand j'appelle pour savoir ou en est mon dossier ou quand je serais indemnisé ont me répond que tout est encore chez l'expert quand j'appelle l'expert me dit que tout est chez axa qu'il ont toute les données et qu'il aurait du me contacter je rappel donc le conseiller axa qui maintenant me répond toujours la même chose ont vous rappelera aucun réponse de leur part cela fait un mois qu'il doivent m'appeler toujours aucune réponse je reste dans le flou ont me dit juste ont va regarder votre dossier le suivi en cas de sinistres de cambriolage n'est pas sérieux du tout</t>
  </si>
  <si>
    <t>11/12/2019</t>
  </si>
  <si>
    <t>comme-rfassmut-68205</t>
  </si>
  <si>
    <t xml:space="preserve">Pour faire suite à une réclamation auprès du service Contentieux et réclamation de Néoliane Santé et prévoyance, post plus bas, le litige est levé puisque la société a tenu compte de ma réclamation. Comme quoi, un service Clientèle réactif peut changer l'opinion d'un consommateur.
Merci
Pour faire suite à mon post plus bas, le litige est levé puisque la société a tenu compte de ma réclamation. Comme quoi, un service Clientele réactif peut changer l'opinion d'un consommateur.
Pour faire suite à mon post plus bas, le litige est levé puisque la société a tenu compte de ma réclamation. Comme quoi, un service Clientele réactif peut changer l'opinion d'un consommateur.
</t>
  </si>
  <si>
    <t>31/10/2018</t>
  </si>
  <si>
    <t>lionel-92584</t>
  </si>
  <si>
    <t xml:space="preserve">Entièrement satisfait par la rapidite et le service qu’ils assurent. Prix très compétitif je recommande vivement.                                     </t>
  </si>
  <si>
    <t>gaby-130887</t>
  </si>
  <si>
    <t xml:space="preserve">rapide et fiable en cas de sinistre 
assurance zéro km en cas de panne avec véhicule de remplacement 
un coup de téléphone et la dépanneuse arrive 
Le garage nous prête un véhicule sans frais et de qye le véhicule est réparé il nous le dépose à la maison </t>
  </si>
  <si>
    <t>davier-a-127622</t>
  </si>
  <si>
    <t>Je n'ai pas de commentaires particuliers sur la tarification à ce jour, je relancerai les différentes assurances avant l'échéance afin d'aller vers le plus offrant.</t>
  </si>
  <si>
    <t>nina-80126</t>
  </si>
  <si>
    <t xml:space="preserve">A FUIIIIIIIIIRE !!!!!!!! 
Une assurance qui prend bien ses clients pour des moutons quand vous payer et que vous avez pas de sinistre ou gros sinistre il y a aucun problème par contre ATTENTION à pas vous faire voler car la oulaaaaa donner les sous a leur client sa fait mal !! On ma voler pour plus de 14000e on me propose quoi 2 000e une HONTE il on attendu 5 mois pour me faire cette offre pitoyable... sa fait 10 ans je paye assurance auto deces habitation pour au final quand vous avez besoin de eux AUCUN SOUTIEN et vous MET DANS UNE M*** réfléchisser bien avant de vous inscrire chez eux CHANGER DASSURANCEest encore temps !!!! </t>
  </si>
  <si>
    <t>zizou-56188</t>
  </si>
  <si>
    <t xml:space="preserve">ils sont nuls en cas de sinistre vous êtes renvoyés sur un no de téléphone la personne qui à occasionné ce sinistre n'a pas voulu faire de constat je n'ai eu aucune aide de la gmf ni aucun conseils </t>
  </si>
  <si>
    <t>09/09/2017</t>
  </si>
  <si>
    <t>rylana--n-129522</t>
  </si>
  <si>
    <t xml:space="preserve">Je viens de faire inscription! Pratique et simple, le prix me convient pour mon véhicule et pour les services proposés. À voir après. J’ai choisi le paiement mensuel </t>
  </si>
  <si>
    <t>26/08/2021</t>
  </si>
  <si>
    <t>poumaroux-f-139269</t>
  </si>
  <si>
    <t>Très satisfaisant. Prix très intéressant. Je vais recommander à mes proches. Site bien fait. Devis très explicite, facile à comprendre. Rapidité de réponse.</t>
  </si>
  <si>
    <t>09/11/2021</t>
  </si>
  <si>
    <t>myriamkrim25-51515</t>
  </si>
  <si>
    <t>Bonjour, je vous contacte car je suis en arret longue maladie.,J'ai un contrat de prévoyance auprès de swisslife via mon entreprise. la rh a transis les documents, les attestations de la cpam depuis septembre. aucun paiement à e jour. quel est le délai de traitement. j'ai envoyé un email à swisslife via le site pas de réponse. la rh a envoyé un email pas de réponse non plus. je vous remercie pour votre aide. cordialement</t>
  </si>
  <si>
    <t>g-j-55496</t>
  </si>
  <si>
    <t xml:space="preserve">Dans le cadre de mon assurance habitation nous avons droit à une prise en charge des frais d'avocats sur présentation de la facture. A ce jour je n'ai pas été remboursé car il faut que je présente en plus de la facture le jugement définitif. Et cela dure depuis 3 mois. Quand on connaît les délais de notre justice pour établir les jugements...  </t>
  </si>
  <si>
    <t>20/06/2017</t>
  </si>
  <si>
    <t>catherine-s-131044</t>
  </si>
  <si>
    <t>Je suis satisfaite de la facilité pour s'assurer en ligne. C'est plus facile qu'il y a 30 ans. Tarifs et services intéressants. Je recommande AMV à mon entourage.</t>
  </si>
  <si>
    <t>jonathan-c-115345</t>
  </si>
  <si>
    <t>Satisfait suite à mon dernier accident non responsable je continue chez direct assurance. Prix très attractif je n'ai même pas fait d'autres devis chez les concurrents .
Dans l'ensemble je suis satisfait du service, peut être qu'il serait bien d'avoir la possibilité de commander un constat car on ne m'en propose pas d'autres une fois le mien utilisé pour un accident.</t>
  </si>
  <si>
    <t>fouine-65316</t>
  </si>
  <si>
    <t xml:space="preserve">Harmonie mutuelle le havre a refusé de me faire une photocopie d'un papier que je leur remettais et que j'avais besoin avec le tampon de la date du jour, on m'a dit qu'il fallait aller sur le site de la securite sociale  pour telecharger la feuille et l'imprimer, mais je n'aurais pas le tampon pour preuve que je leur ai bien remis le papier,et c'est ce qui m'interesse, car la derniere fois que j'ai remis un papier j'ai été résilié et je n'ai eu aucune raison valable ,et c'est vraiment grave ,ils se foutent de nous,je pense sérieusement a résilier avec eux,car ce n'est pas le 1er problème, </t>
  </si>
  <si>
    <t>06/07/2018</t>
  </si>
  <si>
    <t>jose-manuel-c-134069</t>
  </si>
  <si>
    <t>Je suis satisfait du service et de la rapidité,
Facilité de la souscription, service à recommandé.
Déjà en partenariat avec un ancien véhicule.
Cordialement mr Conejo</t>
  </si>
  <si>
    <t>23/09/2021</t>
  </si>
  <si>
    <t>une-etoile-est-de-trop-103096</t>
  </si>
  <si>
    <t xml:space="preserve">Résiliation du contrat voiture après un sinistre. Sympa après avoir été client 20 ans.
Je peux recommander la société L’olivier.
Du coup j'ai basculé mes autres 3 assurances d’Eurofil à L’olivier également </t>
  </si>
  <si>
    <t>22/01/2021</t>
  </si>
  <si>
    <t>stephanie-e-112654</t>
  </si>
  <si>
    <t>J'aime surtout leur rapidité pour vous répondre et pour gérer les accidents. Ils répondent très vite aux appels téléphoniques et aux mails.Les prix sont intéressants</t>
  </si>
  <si>
    <t>mh-104196</t>
  </si>
  <si>
    <t>Assurance fiable . Un peu chère pour les petits salaires et les petites retraites.
Devrait coordonner les remboursements d’Amali avec MGP pour un meilleur suivi des remboursements tant au plan bancaire que récapitulatif...
Manque un tableau clair et complet de toutes les possibilités et donc remboursement par spécialités ( ostéopathie etc...)</t>
  </si>
  <si>
    <t>15/02/2021</t>
  </si>
  <si>
    <t>donas-j-138949</t>
  </si>
  <si>
    <t>merci à Damien qui était super sympa au téléphone il m'a donné tout les infos disponible et était réactif à ma demande. et prix attractif vu la conccurence.</t>
  </si>
  <si>
    <t>04/11/2021</t>
  </si>
  <si>
    <t>dehbia-c-130259</t>
  </si>
  <si>
    <t xml:space="preserve">Parfait bon rapport qualité prix pour un jeune conducteur vraiment le top. Après avoir comparé avec plusieurs autres assurance c’est vraiment la moins cher </t>
  </si>
  <si>
    <t>gchovin-89388</t>
  </si>
  <si>
    <t xml:space="preserve">J'ai reçu ma carte verte fin avril 2020 est quelle surprise 10 % d'augmentation  à nouveau sur ma cotisation sur 2 année de suites,
j'ai 50% de bonus et aucun sinistre 
je vais changer d'assurance  </t>
  </si>
  <si>
    <t>05/05/2020</t>
  </si>
  <si>
    <t>talleux-f-113062</t>
  </si>
  <si>
    <t xml:space="preserve">super nouveau contrat je vais voir si je gagne d l'argent pour les même garanties  en attente du nouveau contrat , je vais essayer l'olivier assurance </t>
  </si>
  <si>
    <t>nene84130-18043</t>
  </si>
  <si>
    <t>bonne assurance, j'ai eu des dégats des eaux pas trop important et ils étaient au rendez vous c'est bien.
Par contre en expertise c'est pas le top vous avez toujours, on peut pas faire grand chose, les sommes engagées ne sont pas assé importante.
ça coute aussi chere de tribunaux que de faire la reparation par une autre entreprise.
Blabla et en attendant vous l'avez bien ou vous savez.
 Et vous payez alors qu'il est clair qu'il y a mal façon...
Et l'entreprise s'en sort comme ça OP.</t>
  </si>
  <si>
    <t>26/10/2020</t>
  </si>
  <si>
    <t>alain-nejdi-93454</t>
  </si>
  <si>
    <t xml:space="preserve">Ayant adhéré plusieurs années à l assurance GMF inutilement tout ce passait très bien suite à un sinistre avec  le mur de ma clôture en2018 jusqu à présent l affaire traîne sans résultat  j ai subi des dégâts des eaux que j ai signalés à l assurance illico un rejet GMF est une assurance très compétente dans les encaissements mais aucun service fourni  désabusée  et escroquée  j ai resilie mon adhésion je ne vois pas  l intérêt des assurances surtout la GMF comment elle  ose  faire des pubs à la télé. </t>
  </si>
  <si>
    <t>08/07/2020</t>
  </si>
  <si>
    <t>sukanda-e-114744</t>
  </si>
  <si>
    <t>Satisfait du service proposé dont les prix sont compétitifs.
En revanche, cela me parait étrange que l'on me demande par téléphone mes coorodnnées bancaires y compris les 3 chiffres du cryptogramme.</t>
  </si>
  <si>
    <t>25/05/2021</t>
  </si>
  <si>
    <t>vincent94-65436</t>
  </si>
  <si>
    <t>Dans le cadre d'un sinistre (véhicule inondé suite intempéries déclaré irréparable), nous avons sollicité les services de la MATMUT. Cela fait 20 ans que nous sommes assurés sans le moindre sinistre responsable. Depuis le 11 juin, notre dossier est traité avec une telle désinvolture par les différents interlocuteurs de la plateforme de Rouen qui se succèdent et qui ne sont pas du tout à l'écoute de nos arguments. L'indemnisation proposée par MATMUT n'est absolument pas étayée et nulle négociation est possible. L'expert conseil a pris 13 jours ouvrés pour finalement répondre qu'il fallait accepter l'indemnisation sans aucun justificatif. Cela n'est pas digne d'une Mutuelle qui doit promouvoir les valeurs humaines faire preuve de bienveillance et d'écoute auprès des assurés. On a à faire à des machines !! Fuyez !!!!</t>
  </si>
  <si>
    <t>12/07/2018</t>
  </si>
  <si>
    <t>didier-c-115710</t>
  </si>
  <si>
    <t>Les prix me conviennent ils sont compétitifs, le service est satisfaisant. La personne qui nous a guidé est très cordiale. Cependant le site est à améliorer, faudrait prévoir une touche de suppression lorsqu'on charge les mauvais documents</t>
  </si>
  <si>
    <t>claudia-57420</t>
  </si>
  <si>
    <t>AXA à fuir ! en particulier l'agence de Semur en Auxois. N'a pas su me argumenter auprès du siège AXA France.
Auparavant j'étais chez AXA Auxerre mais j'ai cru bien faire, lors de mon déménagement, en prenant une agence près de la maison.</t>
  </si>
  <si>
    <t>18/09/2017</t>
  </si>
  <si>
    <t>alice-87240</t>
  </si>
  <si>
    <t>Les remboursements sont rapide , la prise en charge également . Le service client est au top , Je ne suis en aucun cas déçus pour le moments et je suis adhérente depuis 2015 . Je n'avais pas de prise en charge de frais de dépassements honoraire , j'avais la garantie la moins élevé des suites de mon jeune age et de mon état de santé , puis j'ai été hospitalisé suite a un choc rugbystique , je vous passe les détails de l'état de mon genou et de mes OS . Bref , CEGEMA m'a changé ma garantie pour que les frais ne sois pas a ma charge et ceci juste avant mon opération , OK rien à redire . Ils m'ont envoyé la nouvelle carte dans la foulée . Ils sont clair , net et précis dans leurs explications . Apres avoir fait deux autres mutuelles , j'ai trouvé la bonne . A bon entendeur ! Merci CEGEMA</t>
  </si>
  <si>
    <t>17/02/2020</t>
  </si>
  <si>
    <t>sevag-m-126120</t>
  </si>
  <si>
    <t>Je suis satisfais mais le prix est un peu élevé, je suis client depuis plusieurs années. et j'assure deux voiture chez Direct Assurance.
Votre prix reste raisonable par rapport à vos services et garanties.</t>
  </si>
  <si>
    <t>christophe-d-109503</t>
  </si>
  <si>
    <t>Pratique rapide et bien placé question tarifs. 
Reste à espérer que le service soit aussi rapide et efficace en cas de sinistre.
Je ferai une autre demande de devis lorsque mes autres contrats auto et habitation auront plus d'un an.</t>
  </si>
  <si>
    <t>miri-a-110383</t>
  </si>
  <si>
    <t xml:space="preserve">procedure sinistre tres longue pas de suivi est j,attends depuis longtemps pas de nouvelle
mon contrat n,est pas signé depuis 8 mois et aucune information de l'assureur </t>
  </si>
  <si>
    <t>momo28-80071</t>
  </si>
  <si>
    <t>ayant eu besoin d un renseignement j ai été reçue au téléphone par Nadège qui m a aimablement informée et transmis les éléments qui me manquaient</t>
  </si>
  <si>
    <t>jacques-v-106656</t>
  </si>
  <si>
    <t>Après un contact téléphonique très professionnel, j'ai pu assurer mon véhicule très rapidement.
J'ai pu trouver une formule très complète et tarif intéressant.</t>
  </si>
  <si>
    <t>15/03/2021</t>
  </si>
  <si>
    <t>portier-b-110811</t>
  </si>
  <si>
    <t>Simple, pratique... On verra à l'usage
Le tarif est correct avec des prestations attractives. J'espère avoir fait le bon choix
L'Olivier assurance saura sans doute me le démontrer</t>
  </si>
  <si>
    <t>18/04/2021</t>
  </si>
  <si>
    <t>jo-132070</t>
  </si>
  <si>
    <t>suite à un vol sur mon auto, on me dit être couvert par l'assurance qui détache un expert et le garagiste procède aux réparations. L'assurance me rappel après tout cela pour m'informer que la pièce volé (le pot catalytique) n'est pas couvert par mon assurance. je leur ais déjà versé environ 2500 € de mensualité et pour 800 € de réparation, je vois que cet assureur ne désire pas remplir sa fonction. Je ne leur dit pas bravo !!!</t>
  </si>
  <si>
    <t>thomas-m-106821</t>
  </si>
  <si>
    <t xml:space="preserve">Je suis à moitié satisfait car mon compte n'a pas été retrouvé, j'ai dû ressaisir toutes mes coordonnées et j'aurais aimé avoir un geste commercial compte tenu que je suis déjà client chez vous depuis plusieurs années. </t>
  </si>
  <si>
    <t>jacky-l-121332</t>
  </si>
  <si>
    <t>Pendant un covoiturage le 25 juin 2021, j'ai reçu un projectile sur le mparebrise. Le soir même vers 17 h 00 j'ai voulu déclarer ce sinistre, il m'a été répondu que l'on me rappellera le 26/06/ A cette heure 22h10, le 26 :à§, JE N4AI RECU AUCUN APPEL POUR VALIDER CE SINISTRE.</t>
  </si>
  <si>
    <t>pat-105736</t>
  </si>
  <si>
    <t xml:space="preserve">Je touche une rente trimestrielle de cette assurance dont le versement est fonction du bon vouloir de la cnp alors que l’assurance a les justificatifs en sa possession depuis plusieurs mois
Tous les trimestres il faut appeler
Il y a eu déjà des régularisations sur la somme versée inférieure à la somme normalement dû et ceci après réclamation de notre part
Nous demandons à avoir le contrat pour ce type d’assurance pris avec mon employeur dont je ne fais plus parti du personnel.
Impossible de l’obtenir 
Le dernier virement a été diminué pour le motif d’une augmentation de l’invalidité versée par la caisse primaire maladie 
Ok mais sur quel fondement chiffré !
Je n’ai pas le contrat  réclamé sans succès 
J’ai envoyé un mail à la conseillère depuis un mois pour avoir les explications chiffrées sur la diminution 
Aucune réponse !
Très très mécontent de la cnp qui se moque totalement de ses clients et aucune remise en cause de leur gestion 
Un je m’en foutisme total!
</t>
  </si>
  <si>
    <t>jpm-68429</t>
  </si>
  <si>
    <t>Un "bug" bien placé dans leur "application" et hooop ... pas moyen de récupérer l'attestation d'assurance !</t>
  </si>
  <si>
    <t>07/11/2018</t>
  </si>
  <si>
    <t>tete-j-129310</t>
  </si>
  <si>
    <t>Simple et rapide, pour le moment rien à redire. J’ai eu besoin d’une assurance en urgence et j’ai eu l’occasion d’avoir la chance de vous trouver rapidement.</t>
  </si>
  <si>
    <t>pr-76225</t>
  </si>
  <si>
    <t>Actuellement en incapacité totale temporaire garantie ITT
Et En préparation pour un procès car metlife a stoppe arbitrairement cette garantie
Je me bat contre une polyarthrite rhumatoïde chronique évolutive reconnue ALD30 affection longue durée
Les traitements sont lourds et la pathologie évolue par poussées
Metlife a toutefois trouvé le moyen de mettre fin à cette garantie prématurément et arbitrairement en consolidant une pathologie chronique évolutive qui évolue par poussées non consolidable de fait et qui nécessite des traitements de plus en plus lourds.
Rien ne les dérange, de la non prise en compte de certificats médicaux remis en mains propre au compte rendu erroné .
Je suis prêt à partager mon expérience et mes contacts d avocats si vous êtes dans une situation similaire, n hésitez pas à avoir recours à la justice et aux experts judiciaires impartiaux</t>
  </si>
  <si>
    <t>24/05/2019</t>
  </si>
  <si>
    <t>phan-c-125359</t>
  </si>
  <si>
    <t>Très facile à souscrire un contrat. Prix compétitif et service rapide. Pas de problème quelconque jusqu’à présent avec cet assureur. Je le recommande .</t>
  </si>
  <si>
    <t>29/07/2021</t>
  </si>
  <si>
    <t>fefe83-27941</t>
  </si>
  <si>
    <t xml:space="preserve">Professionnels fuyez !
Je suis client MAAF Pro depuis plus de 10 ans avec 3 contrats autos, habitation, local professionnel, responsabilité civile et décennale, mutuelle, ... bref toute la panoplie du client fidèle.
Contrat auto depuis 2011 avec bonus à vie depuis 2013 et bonus lauréat de 8% ... 
Cela doit vouloir dire "mauvais conducteur" car le directeur d'agence m'a fait part de leur décision de résilier mon contrat car sur les 3 dernières années j'ai subi une tentative de vol et 2 accrochages sans aucune gravité. 
J'ai du subir car un de mes salariés avaient soit disant éraflé la voiture d'un client ...
C'est vrai que 3 déclarations en 3 ans c'est beaucoup, et comme j'ai eu en plus un dégât des eaux à la maison ... alors là je suis un client à risque !
Pourtant je pensais que justement c'était le principe d'une assurance, on paye chaque année et parfois il ne se passe rien pendant des années et puis un jour on à besoin de la prestation pour laquelle on a souscrit et payé un contrat qui en plus est obligatoire.
Et bien non ça ne marche pas comme ça, il faut payer rubis sur l'ongle et prier pour ne pas en avoir besoin. 
Il y en a marre de ce faire prendre pour un c..
Fuyez ce genre d'assureur qui n'assume pas les risques qui le font vivre et qui préfère ce payer des grosses campagne de pub :
       ... C'est la MAAF que je déconseille ...
 </t>
  </si>
  <si>
    <t>29/05/2019</t>
  </si>
  <si>
    <t>hamadache-m-108251</t>
  </si>
  <si>
    <t xml:space="preserve">rapide ,simple, efficace, assurance pas cher  pour jeune permis , je recommande ,accueil téléphonique agréable avec explications au top je recommande l'olivier assurance </t>
  </si>
  <si>
    <t>27/03/2021</t>
  </si>
  <si>
    <t>rox-g-86997</t>
  </si>
  <si>
    <t>Je déconseille fortement pour une assurance auto. Prix exorbitants pour une assurance au tiers, environ 57 euros par mois. Sachez que le dispositif YouDrive est une blague, à moins que vous conduisiez à 20 km/h tout le temps, vous n'aurez pas de réduction. Service client incompétents, conseillère désagréable qui m'a dit qu'il était "impossible de modifier mon contrat" (car en refaisant un devis j'aurai pu avoir un contrat a 30e/mois), et que seule un autre assureur pouvait le faire d'après la loi Hamon. Du coup, je l'ai écouté, je suis partie chez un autre assureur, bien moins cher et plus compétent et agréable.</t>
  </si>
  <si>
    <t>11/02/2020</t>
  </si>
  <si>
    <t>michel-m-132809</t>
  </si>
  <si>
    <t xml:space="preserve">Satisfait du service , le site est bien fait et convivial. Bonne réactivité des conseillers au téléphone . A voir en cas de sinistre mais pour l'instant satisfait </t>
  </si>
  <si>
    <t>14/09/2021</t>
  </si>
  <si>
    <t>hand62-67908</t>
  </si>
  <si>
    <t>Actuellement adulte handicapé entre 50 et 80%,je ne peux être indemnisés car je pourrais avoir un emploi sur les quelques possibilitées de me mettre debout, alors que je ne peux pratiquement pas rester debout ou assis</t>
  </si>
  <si>
    <t>20/10/2018</t>
  </si>
  <si>
    <t>kaftal-110191</t>
  </si>
  <si>
    <t xml:space="preserve">Je déconseille cet assureur car une bonne assurance ne peut être jugée que quand on a un sinistre. C'est ce qui m'est arrivé avec cet assureur. J'étais assuré tout risque chez eux depuis trois ans et j'ai eu un sinistre le 10 février 2021 et depuis j'ai été baladé de service en service et toujours pas d'indemnisation. Ils ont commencé par m'envoyer un expert en formation qui n'a pas pu accéder au compteur kilométrique car la clé n'était pas reconnue par la voiture. Il a décidé de faire une estimation à la hausse bien sûr. Et depuis mon sinistre je n'ai pas encore reçu de réponse de leur part. Et cela fait plus de deux mois déjà. Et le plus grave dans l'histoire c'est qu'ils continuent de me prélever malgré la résiliation depuis le 24 février. Je ne recommande pas du tout cet assureur. </t>
  </si>
  <si>
    <t>julien-p-125348</t>
  </si>
  <si>
    <t>satisfait des prestations et du rappel téléphonique du jour
vraiment très efficaces a AMV je recommande votre compagnie d’assurance félicitations pour votre professionalisme</t>
  </si>
  <si>
    <t>chloevzr-58953</t>
  </si>
  <si>
    <t xml:space="preserve">Pour prendre les cotisations, ça ils sont doués, avec un niveau de garantie soit disant ++++ mais quand il faut faire des remboursements, c'est excuses sur excuses pour ne pas nous rembourser ce à quoi on n'a droit sur nos contrats et qui est écrit noir sur blanc, pour a priori "des règles internes" dont on nous a pas communiqué le contenu lorsque nous avons signé. Je suis déçue ! </t>
  </si>
  <si>
    <t>20/11/2017</t>
  </si>
  <si>
    <t>jennifer-c-128960</t>
  </si>
  <si>
    <t xml:space="preserve">Parfait pour débuter avec un petit budget et si le système drive permet de faire des économies encore mieux ! 
Site simple et rapide mille merci 
À tes vite </t>
  </si>
  <si>
    <t>suffet-r-111694</t>
  </si>
  <si>
    <t>Les frais de dossiers ne sont pas évoquées dans le devis qui prend 70 euros supplémentaire soit 10% annuel c'est beaucoup.Ce n'est clairement pas une bonne surprise et je me sent piégé car c'est évoqué après que j'ai donner mes informations bancaires et réglé la première échéance.</t>
  </si>
  <si>
    <t>jeff51330-71592</t>
  </si>
  <si>
    <t>Assurance performante... tant qu'on a pas de sinistre. L'assistance est performante mais le traitement d'un dossier sinistre est une catastrophe. Les interlocuteurs sont rarement compétents et les délais de traitement sont tout simplement inacceptables. Je ne recommanderai plus cette assurance, voire je la déconseillerai. Je le quitterai dès que possible.</t>
  </si>
  <si>
    <t>fatima-h-139104</t>
  </si>
  <si>
    <t>je suis satisfaite du service et de ses options.
Le SAV est très rapide et de meilleur qualité
Le service client est joignable assez souvent en cas de problème.</t>
  </si>
  <si>
    <t>06/11/2021</t>
  </si>
  <si>
    <t>celine-56570</t>
  </si>
  <si>
    <t>Bonjour,
Je viens de lire tous vos avis et je suis dans le même cas que vous.
Pour un prêt immobilier, la BNP nous oblige à prendre une assurance ... malheureusement nous tombons sur la CARDIF!
Suite à une intervention chirurgicale et une incapacité de travail depuis janvier 2017, et après les 90 jours de carence, j'ai envoyé mon dossier. A l'heure actuelle, un coup mon dossier n'est pas traité, un coup il est perdu dans les services, un jour il a réapparu et devait être traité en urgence et ce matin, personne ne sait où est mon dossier dans leurs services ...Ras le bol de tout ça!! Il faut agir. 
Je contacte QUE CHOISIR, j'envoi un message à Julien Courbet à son émission sur RTL et je vous invite à vous joindre à moi afin de faire la même chose, car unis les choses auront une chance de bouger.</t>
  </si>
  <si>
    <t>09/08/2017</t>
  </si>
  <si>
    <t>clement-y-109314</t>
  </si>
  <si>
    <t xml:space="preserve">Les prix, le service, les avantages. les économies sont de mise! Je suis bien content d'avoir signé avec vous.                                        </t>
  </si>
  <si>
    <t>anne-109581</t>
  </si>
  <si>
    <t xml:space="preserve">Je suis très en colère et indignée. J'ai 2 véhicules, je suis Célibataire avec 1 enfant qui vient d'avoir le permis et il refuse de ajouter ma fille en conducteur secondaire car j'ai 2 véhicules. Alors qu'une amie qui est en couple avec 1 enfant et 3 véhicules ça n'a pas posé de pb. </t>
  </si>
  <si>
    <t>mussard-n-122052</t>
  </si>
  <si>
    <t>Je suis satisfait et content de faire parti de vos clients. Un ami m'a parlé de vous et me voici nouveau membre de votre compagnie. Je vous remercie d'avance.</t>
  </si>
  <si>
    <t>malleville1-75478</t>
  </si>
  <si>
    <t>Ils me traitent comme du bétail</t>
  </si>
  <si>
    <t>houda-l-132393</t>
  </si>
  <si>
    <t>très satisfait  et prix me convient et le service aussi  on a toujours de réponses claires à toutes nos question merci à votre équipe directe assurance</t>
  </si>
  <si>
    <t>smaine-z-131894</t>
  </si>
  <si>
    <t>Je suis très satisfait de se service surtout des prix attractifs ainsi que la rapidité de votre site la simplicité tout au long des démarches et très pratique</t>
  </si>
  <si>
    <t>johann-s-134472</t>
  </si>
  <si>
    <t>Adhésion simple et pratique bon niveau de prix et garantie. 
Pas de démarche a effectuer pour la résiliation très appréciable.
Démarche en ligne intuitive et simple à effectuer</t>
  </si>
  <si>
    <t>angeline-r-121377</t>
  </si>
  <si>
    <t>Nous sommes assurés pour nos 2 véhicules ainsi que l'habitation et nous sommes très satisfait des services ainsi que des délais de réponse en cas de demande quelconque</t>
  </si>
  <si>
    <t>28/06/2021</t>
  </si>
  <si>
    <t>nitou-69495</t>
  </si>
  <si>
    <t>jusq'a present pas de problemes pour les  remboursements ordinaires (visites mensuelle, medicaments,radio hospitalisation avec chambre particuliere )et je viens de me renseigner pour des lunettes de vue (pas mal) a voir lorsque cela sera fait. dans un premier temps nous sommes satisfait</t>
  </si>
  <si>
    <t>franck69-67226</t>
  </si>
  <si>
    <t>Voilà mon problème avec cet assureur
Déjà client chez eux vous êtes moins bien traités qu un futur client
Assuré depuis plus de dix ans chez eux je possède à l heure actuelle un contrat d'assurance pour mon véhicule Peugeot 407
Bonus 65 aucun sinistre déclaré en 10 ans et pour mon contrat je paie 420 € à l année en formule median confort
Et surprise ce week-end en faisant un devis sur un comparateur d assurance pour ce véhicule, avec les mêmes garanties, les mêmes informations me concernant et à mon nom je découvre que la GMF propose de m assurer pour 360€ auxquels ils retranchent 60€ de bienvenue supplémentaire
Interloqué j appelle leur service clientèle pour leur demander pourquoi la fidélité n est pas récompensée chez eux
La seule réponse qu on est pû m'apporter c est qu ils ne pouvaient rien faire qu il fallait que je me rende en agence pour voir si ils souhaitaient me faire un geste commercial
Alors sachez société GMF que je ne souhaite pas un geste commercial mais tout simplement d avoir le même tarif que les futurs clients et non être votre vache à lait
Pendant 10 ans je n ai pas souhaité faire marcher la concurrence mais je pense là qu'il en est grand temps
Pour ceux qui auront eu la patience de lire ce long message un seul conseil changez d'assurance tous les ans vous aurez peut être à chaque fois la chance d avoir d agréables petites attention de 120€
Franck</t>
  </si>
  <si>
    <t>najid-t-126525</t>
  </si>
  <si>
    <t>je suis très satisfait du service proposer par votre site je le trouve bien fait et très explicite les tarifs me convienne .   je vais vous  recommander a mon entourage .</t>
  </si>
  <si>
    <t>jean-paul-d-113894</t>
  </si>
  <si>
    <t>Je suis trés satisfait des services (relations, sinistres...)
Par contre les tarifs sont de moins en moins compétitifs et pour le véhicule hyundai tucson: très supérieurs à la concurrence ( et je ne tiens pas compte d'internet).</t>
  </si>
  <si>
    <t>23/07/2021</t>
  </si>
  <si>
    <t>antoine59330-64165</t>
  </si>
  <si>
    <t>nul , accident non responsable depuis plus de 2 mois avec une personne non assurée, direct assurance ne me tien pas au courant de l'avancé du dossier , j'apel il n'ont pas recu les photos d'expertise, il n'ont toujours rien reparer depuis 2 mois . je roule maintenant avec un vehicule accidenté , le passage de roue part en morceau , mon pneu est devenu lisse , bref je bloque maintenant mes prelevements</t>
  </si>
  <si>
    <t>gehin-d-129155</t>
  </si>
  <si>
    <t>Je suis satisfait de la rapidité avec laquelle j'ai assuré mon nouveau véhicule.
Les instructions étaient claires et simples à effectuer. Tous à été réalisé en ligne.</t>
  </si>
  <si>
    <t>chirleu-94392</t>
  </si>
  <si>
    <t>Je trouve le site rapide et simple par contre le prix des franchises restent très levés par rapport aux restes des compagnies d’assurance .. a voir ..</t>
  </si>
  <si>
    <t>marchal-m-114119</t>
  </si>
  <si>
    <t xml:space="preserve">Déçue de ne pas avoir eu la remise pour le second véhicule assuré
Accueil sympathique, explicite et professionnelle de mon interlocutrice téléphonique </t>
  </si>
  <si>
    <t>tarek-65550</t>
  </si>
  <si>
    <t>J'ai eu un sinistre dans le cadre d'un contrat multirisque Pro, ouverture et prise en charge en octobre 2016, entre temps le gestionnaire de sinistre a changé. Je ne compte pas le nombre de relance par mail et par téléphone, à ce jour un chèque est soit disant parti il y a plus d'un mois, le gestionnaire est en congés et ses collaborateurs ne prennent même pas la peine de se pencher sur votre dossier. Conclusion toujours rien et bien sure c'est à vous de relancer sans cesse, c'est INSUPPORTABLE.</t>
  </si>
  <si>
    <t>multirisque-professionnelle</t>
  </si>
  <si>
    <t>10/09/2018</t>
  </si>
  <si>
    <t>achille-69036</t>
  </si>
  <si>
    <t>attente, on verra, ptix correct, service à voir, laborieux.......</t>
  </si>
  <si>
    <t>30/11/2018</t>
  </si>
  <si>
    <t>stephanie--a-130099</t>
  </si>
  <si>
    <t xml:space="preserve">Une assurance qui propose un grand panel de possibilité pour tout budget des options qui permettent de renforcer la base en assurance, option bris de glace. Celle ci propose un bon rapport qualité prix. </t>
  </si>
  <si>
    <t>olivierj78-59004</t>
  </si>
  <si>
    <t>Déçu des tarifs sur la durée</t>
  </si>
  <si>
    <t>21/11/2017</t>
  </si>
  <si>
    <t>olivier-114514</t>
  </si>
  <si>
    <t>GMF était pour moi une assurance sérieuse mais que l'on paye au pris plutôt  fort par rapport à la concurrence. J'acceptais le deal.
Ce jour suite à une déclaration de bris de glace et souhaitant passer par ma concession Peugeot de proximité car mon véhicule est spécifique, je suis pris en charge par une conseillère qui me dirige vers les garages types Carglass et autres, qui me certifie que mon garage Peugeot n'est pas agrée et que je risque de ne pas être totalement pris en charge pour le remboursement...Suite à la prise de rv avec mon garagiste ce dernier me déclare qu'il est bien évidement agrée.... 
Bilan : Perte de temps et désagréable impression que l'on me ment pour faire une pseudo économie ainsi qu'une perte de confiance envers l'organisme d'assurance. Je pense dorénavant  à la concurrence pas pour une meilleure qualité de services mais des tarifs plus bas. Affaire à suivre.
.</t>
  </si>
  <si>
    <t>21/05/2021</t>
  </si>
  <si>
    <t>di-gaspero-e-134967</t>
  </si>
  <si>
    <t>J'ai vraiment apprécié le contact avec votre collaboratrice qui m'a guidé dans l'approche du contrat de manière très professionnelle, calme et disponible.
Merci</t>
  </si>
  <si>
    <t>nathan-l-122611</t>
  </si>
  <si>
    <t xml:space="preserve">Prix bas et souscription rapide. Je suis content que ça est prix aussi peut de temps. Ca m'a pris 10min pour souscrire à l'assurance. Je recommande... </t>
  </si>
  <si>
    <t>07/07/2021</t>
  </si>
  <si>
    <t>alexis-v-118065</t>
  </si>
  <si>
    <t xml:space="preserve">Simplicité de souscription et prix attractifs. En espérant que cela ne cache pas quelque chose derrière... En tout cas pour le moment c'est ok. Il n'y a plus qu'a espérer ne pas avoir besoin de faire appel à eux </t>
  </si>
  <si>
    <t>hubert-p-123606</t>
  </si>
  <si>
    <t>Très satisfait du service !
Parfait !
Rien à ajouter , depuis des années que je suis à la GMF, qualité prix, délai de réponse etc.. , parfait !
C'est pour cela que j'ai inciter ma compagne Martine LAIZET , ma fille PARACHOUT--LAIZET à adhérer GMF</t>
  </si>
  <si>
    <t>jehona-a-129726</t>
  </si>
  <si>
    <t>je suis satisfait de votre service et de votre rapidité de réaction lors des échanges etc. J'ai déjà été client chez vous c'est poyr ca que je reviens aujourd'hui.</t>
  </si>
  <si>
    <t>chab33-71023</t>
  </si>
  <si>
    <t>J ai pratiquement utilisé tous les services Axa y compris la banque et j ai rencontré des problèmes dans le suivi de tous les produits. Mutuelle, banque ou je suis encore en litige, prévoyance avec les accidents de la vie, assurance décès, l allocation perte d autonomie, retraite supplementaire que j attends depuis bientôt 3 ans ou comment faire de l argent en faisant traîner les dossiers.</t>
  </si>
  <si>
    <t>nanoilec-58128</t>
  </si>
  <si>
    <t>une salariée m'a confirmé la date de résiliation à la date anniversaire. en moins d'un mois cette date est passée au 31 décembre. mutuelle chère malgré une couverture plutôt basique. service client discutable.</t>
  </si>
  <si>
    <t>17/10/2017</t>
  </si>
  <si>
    <t>mona-90517</t>
  </si>
  <si>
    <t>Je suis très Déçue par la Matmut. Je viens De retrouver mon rétroviseur Conducteurcomplètement plié, Coût de la réparation 300 € qui est le coût de ma franchise en tous risques</t>
  </si>
  <si>
    <t>12/06/2020</t>
  </si>
  <si>
    <t>ins-76006</t>
  </si>
  <si>
    <t>A la suite d'un litige sur un sinistre NON RESPONSABLE lié à un vol de moto, retrouvée par la suite et dont la Mutuelle des Motards a donné l'accord au garage pour réparer les dégâts, puis s'est rétractée après la réparation et à refuser le payer le moindre centime au motif que le Neman n'était pas abimé. Sous-entendu, mon fils a organisé son vol. Pour quel motif ? Dans quel intérêt ? La moto était neuve preuves à l'appui et justificatifs fournis.
Bref.
Un résumé parfait de la situation de déliquescence de cette Mutuelle. Une pratique à peine voilée d'obstruction délibérée du dossier sinistre. En d'autres termes, "Surtout ne rien débourser" !
La clé de leur réussite, probablement décourager les sociétaires qui n'ont plus l'énergie de se battre face à tant d'indifférence, d'incompétence et d'arrogance. Malgré une conseillère sympathique et pragmatique mais dont la fonction n'est que celle de vendre des contrats puisqu'elle n'a aucun pouvoir décisionnel, nous n'avons d'autre solution que de faire une réclamation auprès du service médiation. Que de perte de temps, et d'énergie incommensurable.
FUYEZ !</t>
  </si>
  <si>
    <t>-pas-de-pseudo-94511</t>
  </si>
  <si>
    <t xml:space="preserve">je suis satisfait tout et indique facile et simple tout et indiquer a part les franchises dans l attente de mon devis je vous remercie   . cordialement
</t>
  </si>
  <si>
    <t>18/07/2020</t>
  </si>
  <si>
    <t>abdelkarim-m-112214</t>
  </si>
  <si>
    <t xml:space="preserve">Je suis satisfait du service le site était bien fait , on trouvait facilement les informations et j’ai pu faire rapidement ma démarche et surtout présence d’un service client téléphonique </t>
  </si>
  <si>
    <t>30/04/2021</t>
  </si>
  <si>
    <t>nora-l-106119</t>
  </si>
  <si>
    <t>Je suis satisfaite par le service  .la conseillère m'a expliqué les démarches à effectuer dans mon dossier  c'est pratique par internet au lieu d'envoyer par courrier</t>
  </si>
  <si>
    <t>muller-m-112254</t>
  </si>
  <si>
    <t>je suis contente que vous m'assurer en étant jeune permis 
merci au niveau du prix je trouve ca bien mais un peu cher et surtout de payer deux mois d'avance c beaucoup trop</t>
  </si>
  <si>
    <t>karine17-117993</t>
  </si>
  <si>
    <t>Je ne recommande pas, suite a un accident non responsable l'annee derniere (dans lequel j'ai ete blessee), je viens d'apprendre que si je n'augmentais pas ma franchise de 200€ de plus(je suis a 400€). Ils se verraient dans l'obligation de resilier mon contrat a la date d'anniversaire. 
Ca fait plusieurs annees que j'y suis et j'ai eu un bris de glace et un seul accident en juin 2020 dont je n'etais pas responsable.
Attention aux futurs clients et aux anciens....</t>
  </si>
  <si>
    <t>23/06/2021</t>
  </si>
  <si>
    <t>menard-a-137880</t>
  </si>
  <si>
    <t>c'est une solution d'assurance rapide, assez concurrentiel, formules a disposition bonnes, 
tarif abordable mais frais de dossier trop important. bien de traiter tout en ligne</t>
  </si>
  <si>
    <t>20/10/2021</t>
  </si>
  <si>
    <t>guinot-j-123533</t>
  </si>
  <si>
    <t xml:space="preserve">Satisfait du service, prix convenable,  facilité d’inscription sur le site.  Site internet fluide et clair.                                             </t>
  </si>
  <si>
    <t>chrissdest-67578</t>
  </si>
  <si>
    <t>Je suis très déçue de la mgen. Je viens d'apprendre aujourd4hui que mon curetage dentaire n'était pas remboursé. 120 euros de ma poche et rien de remboursé? Je pense à changer rapidement de mutuelle!</t>
  </si>
  <si>
    <t>11/10/2018</t>
  </si>
  <si>
    <t>fred-104456</t>
  </si>
  <si>
    <t xml:space="preserve">la MGP EST LA MUTUELLE DU POLICIER  DOIT LE RESTER
EN AUCUN CAS UNE QUELCONQUE PRIVATISATION NI DE SOUS TRAITANCE A DES ENTREPRISES DE SANTE NE DOIT ETRE MISES EN PLACE
LES CONTACTS EN REGION DOIVENT ETRE ETENDUS ET MAINTENUS VOIR AMPLIFIER
</t>
  </si>
  <si>
    <t>18/02/2021</t>
  </si>
  <si>
    <t>sebthithi-75553</t>
  </si>
  <si>
    <t>Très mécontente. Accident voiture depuis le 26 Mars avec un crédit Diac. La diac le renvoie vers la MATMUT et j'apprends le 30 Avril que la diac avait besoin d'un document de la MATMUT. Ce document n'est évidemment pas reçu ce jour à la diac. En attendant je continue à payer mon crédit et mon assurance voiture que je n'ai plus et de plus je n'ai même pas droit à un véhicule de prêt. Chaque fois que j'ai un conseiller des discours différents sont tenus. Fin de semaine dernière le conseiller que j'ai eu m'a dis ce sera réglé fin de semaine dernière. A part payé et prendre du fric voilà la MATMUT. Je suis client de puis plus de 30 ans. Lorsque j'ai fait appel à l'assistance Juridique ( problèmes sur un chantepier et bien mon contrat ne ne permettait pas d'en bénéficier....)</t>
  </si>
  <si>
    <t>marcelo-d-105718</t>
  </si>
  <si>
    <t>dommage que direct assurance ne propose pas une assurance au kilomètre pour les petit moyen rouleurs , sinon rien a redire de la qualité de service.</t>
  </si>
  <si>
    <t>06/03/2021</t>
  </si>
  <si>
    <t>elsa-77232</t>
  </si>
  <si>
    <t>Pacifica est une assurance à bannir, ne respecte pas La Loi Hamon en cas de résiliation par un autre assureur et il ne faut pas moins de 3 recommandés pour qu'ils fassent le nécessaire et entre temps vous recevez un recommandé de leur part de mise en demeure de payer sinon résiliation.. voilà comment sont traités les bons clients qui n'ont jamais eu d'accident Ou d'incident de paiement.. ils ont l'assurance d'être payé puisque vous passez par votre banque pour les cotisations mais l'assurance juridique d'un autre assureur est recommandé si vous avez des difficultés à vous faire entendre et surtout faire appliquer la Loi.
Plus jamais on ne me parle de cette assurance, le départ de celle ci a été au départ motivé par une différence énorme de prix sur une voiture..
Un conseil : faites un devis ailleurs et vous verrez que leurs prix sont exorbitants ..</t>
  </si>
  <si>
    <t>30/06/2019</t>
  </si>
  <si>
    <t>elyjah-77517</t>
  </si>
  <si>
    <t>Assuré depuis octobre 2018 je n'ai jamais reçu la carte verte définitive, pourtant les prélèvements ce font correctement, je ne comprends pas et ne sais pas quoi faire.</t>
  </si>
  <si>
    <t>khadi-b-134925</t>
  </si>
  <si>
    <t>je suis satisfaite du service qui est rapide et sans lourde formalité. je recommanderai cette assurance à des proches, reste à voir le service proposé</t>
  </si>
  <si>
    <t>28/09/2021</t>
  </si>
  <si>
    <t>kalash-61658</t>
  </si>
  <si>
    <t>Client depuis janvier je suis chez eux ...
Mutuelle pris personnellement que l on ma pas imposer ...</t>
  </si>
  <si>
    <t>22/02/2018</t>
  </si>
  <si>
    <t>cloe-70887</t>
  </si>
  <si>
    <t>Ils sont de mèche avec assur2000.... Vers qui ils nous renvoient en cas de résiliation au bout de 5 jours... Et gardent au passage les frais de dossier! C'est inadmissible!</t>
  </si>
  <si>
    <t>02/02/2019</t>
  </si>
  <si>
    <t>lebrun-c-138777</t>
  </si>
  <si>
    <t>Le contrat n'ayant pas encore démarré il est prématuré, voire impossible de se prononcer. A voir au fur et à mesure de la vie dudit contrat, surtout s'il devait être effectivement mobilisé!</t>
  </si>
  <si>
    <t>noha-62575</t>
  </si>
  <si>
    <t>Globalement les Conseillers peu aimable et expéditifs par téléphone, mon problème n'est toujours pas résolu depuis maintenant 3 mois ...rien ne se passe, aucuns suivit.</t>
  </si>
  <si>
    <t>22/03/2018</t>
  </si>
  <si>
    <t>wahid-s-127989</t>
  </si>
  <si>
    <t xml:space="preserve">Je suit satisfait du prix après j’espère que le service sera aussi super et que je serais bien assuré et que tout se passe pour le mieux mer bonne journée </t>
  </si>
  <si>
    <t>moalli-c-123235</t>
  </si>
  <si>
    <t>Je suis satisfaisait du service et du prix, rapide et efficace pour souscrire une assurance chez vous, je recommanderais l'olivier assurance à mon entourage.</t>
  </si>
  <si>
    <t>12/07/2021</t>
  </si>
  <si>
    <t>marie974-64317</t>
  </si>
  <si>
    <t>aucune communication. Au téléphone on obtient jamais de réponse et par mail toujours une réponse différentes selon les personnes du service client.
Service réclamation qui ne réponds jamais aux courriers non plus...
Télétransmission jamais mise en place et remboursements qui traînent bref à fuir vite</t>
  </si>
  <si>
    <t>28/06/2018</t>
  </si>
  <si>
    <t>frederic-l-122393</t>
  </si>
  <si>
    <t>Concernant ma demande d'aujourd'hui, aucune réponse pour savoir où se trouve le menu pour changer le mot de passe? Le site n'est pas très convivial et doit être amélioré.</t>
  </si>
  <si>
    <t>brugerolles-a-115928</t>
  </si>
  <si>
    <t xml:space="preserve">Assurance qui a bien voulu me prendre malgré mon jeune âge et mon non expérience avec d'autres assurance. Prix un peu élevé à cause de la puissance de la voiture ainsi qu'a mon bonus de 1. </t>
  </si>
  <si>
    <t>eric-m-109972</t>
  </si>
  <si>
    <t xml:space="preserve">Lors de mon sinistre il a été parfois difficile d'avoir quelqu'un au téléphone.
Récemment lors d'une demande de devis , le prix proposé n'était pas compétitif. </t>
  </si>
  <si>
    <t>miminem-87772</t>
  </si>
  <si>
    <t>Une assurance avec des prix de départ attractif et apres les prix parte en flèche tout les ans je prend des augmentations violentes même avec mon bonus qui augmente je déconseille fortement cette assurance je suis sur le point de partir pour moins chère j'attends de leur nouvelle apres plusieurs apel je n'ai toujours pas u de responsable au téléphone il ce moque de leur client fidèle même avec aucun sinistre une honte</t>
  </si>
  <si>
    <t>28/02/2020</t>
  </si>
  <si>
    <t>elise-j-130578</t>
  </si>
  <si>
    <t>j'ai rencontré de TRES GROS SOUCIS de gestion d'un dossier suite incident domestique alors la satisfaction client est au minimum! je n'ai jamais reçu l'appel d'un commercial! niveau qualité proche du zero actuellement</t>
  </si>
  <si>
    <t>guillaume-p-105990</t>
  </si>
  <si>
    <t xml:space="preserve">Accueil téléphonique Charmant et compétent pour des prix très attractifs.                                                                                    </t>
  </si>
  <si>
    <t>mat-102078</t>
  </si>
  <si>
    <t>Assurée depuis des années tout va bien tant que vous n'avez aucun soucis mais même pour un dégats des eaux vous êtes très mal renseignés.Un expert passe et minimise les travaux pour faire des économies et vous n'avez que vos yeux pour pleurer car tout est calculé pour ne pas faire de contre expertise qui vous revient plus chère.
Quand vous êtes pauvre vous êtes mal défendu c'est cela la maif des assureurs militants pour leur argent.</t>
  </si>
  <si>
    <t>lili-87436</t>
  </si>
  <si>
    <t>J ai payé une cotisation dans les temps et ils m'ont résilié mon assurance en prétextant un texte de loi tout en encaissant mon chèque.
Du coup je me retrouve à devoir payé une 2ème assurance.</t>
  </si>
  <si>
    <t>20/02/2020</t>
  </si>
  <si>
    <t>arnaud-p-109362</t>
  </si>
  <si>
    <t xml:space="preserve">Cela devient trop cher, beaucoup trop cher !! D'année en année, cela atteint des sommets, et c'est bien dommage !
Je songe véritablement de plus en plus à partir voir ailleurs.
</t>
  </si>
  <si>
    <t>tiphaine--91646</t>
  </si>
  <si>
    <t xml:space="preserve">Les prix sont corrects,
Je suis aussi satisfaite du service client qui m’a beaucoup aidé dans mon assurance et qui m’a aussi fait économiser par rapport à internet </t>
  </si>
  <si>
    <t>mazarine-b-113746</t>
  </si>
  <si>
    <t xml:space="preserve">Les prix me conviennent, c'est très raisonnable 
J'espère qu'en cas d'accident, j'aurais une réponse aussi vite que mon devis 
Mais surtout J'espère pas faire d'accident. </t>
  </si>
  <si>
    <t>14/05/2021</t>
  </si>
  <si>
    <t>valerie-s-116334</t>
  </si>
  <si>
    <t>bonne relation téléphonique : répondent rapidement et clairement, ;  patients.
Tarifs abordables, après je n'ai jamais eu de soucis donc je ne peux rien dire sur le service "traitement de sinistres"</t>
  </si>
  <si>
    <t>frizzouzzou-56261</t>
  </si>
  <si>
    <t xml:space="preserve">Très très bonne assurance... enfin si vous n'avez pas besoin d'eux.
Je me suis fait volé mon véhicule avec les clés à l'intérieur par un homme en été ébriété. Là voiture a été retrouver quelque centaine de mètres plus loin accidenté avec le voleur a l'intérieur. Donc dépôt de plainte et tout ce qui s'en suit. Résultat 6000€ de réparation sur la voiture (côté à plus de 10000€) à ma charge parce que les clefs se trouvait à l'intérieur. 10 ans d'assurance à la macif et c'était le premier sinistre que je déclarais. Pas de droit à l'erreur à la macif! Merci je m'en souviendrais... </t>
  </si>
  <si>
    <t>25/07/2017</t>
  </si>
  <si>
    <t>magniant-a-114433</t>
  </si>
  <si>
    <t xml:space="preserve">Les prix me conviennent sachant que j'ai perdu tout mon bonus car je n'avais pas été assurée en tant que conducteur principal depuis plus de 5 ans. Donc en ayant eu aucun accident ou autre je repart de zéro... </t>
  </si>
  <si>
    <t>mohamed-arezki-c-127261</t>
  </si>
  <si>
    <t xml:space="preserve">Je suis très satisfaite des services et du professionnalisme du courtier  juste parfait très à l'écoute, avec beaucoup de courtoisie avec  beaucoup d'explications </t>
  </si>
  <si>
    <t>charlotte-b-130134</t>
  </si>
  <si>
    <t xml:space="preserve">Les Prix sont  corrects ( il y a mieux ailleurs)  mai la Souscription est rapide donc pratique . A noter : pas d’offre de parrainage dommage 
A voir sur la gestion, en cas de sinistre … </t>
  </si>
  <si>
    <t>corinne-n-123353</t>
  </si>
  <si>
    <t xml:space="preserve">LES PRIX RESTENT COMPETITIFS, TRES TRES ATTRACTIFS, LA REACTIVITE EST PRESENTE, LA PLAGE HORAIRE EST LARGE. LES SERVICES SONT IMBATTABLES. JE RESTE FIDELE A L ENSEIGNE </t>
  </si>
  <si>
    <t>yvonne--99536</t>
  </si>
  <si>
    <t>Je suis adhérente depuis 50 ans et je suis de plus en plus déçue
Envoi de lettres types lorsqu il manque une pièce qui ne correspondent pas à ce qu il manque réellement 
Une fois j ai reçu une lettre veuillez nous envoyer la facture et en pj de la lettre on m envoie cette facture 
Si rien ne change à fuire</t>
  </si>
  <si>
    <t>garcia-b-125674</t>
  </si>
  <si>
    <t>Tres simple. J'ai été surpris de trouver une assurance si simple et facile. Je suis ravi de compter parmi ces clients. J'espère que je serai soutenu au moment voulu part l'Olivier !</t>
  </si>
  <si>
    <t>sebastien-a-108710</t>
  </si>
  <si>
    <t>bof pas satisfais des tarifs aux final de la procédure de contrat . quitter pour cela pour une autre assurance . ou le Tarif de départ est le mème a l'arrivé !</t>
  </si>
  <si>
    <t>philippe-m-138887</t>
  </si>
  <si>
    <t>Je suis satisfait  Du tarif et des services proposés à ce jour. J'espère avoir la satisfaction dans le temps. Service rapide et efficace. Tarifs  Attractif</t>
  </si>
  <si>
    <t>eric-h-113194</t>
  </si>
  <si>
    <t>Bonjour,
Impossible de vous transmettre le document correspondant a votre demande .
Plusieurs tentative, sur mon compte client, par courriel? 
Comment transmettre?</t>
  </si>
  <si>
    <t>09/05/2021</t>
  </si>
  <si>
    <t>ines92000-50655</t>
  </si>
  <si>
    <t xml:space="preserve">Des frais supplémentaires non justifiés ( frais d'échéances alors que je paie en une fois!!!!) + mauvaise gestion du service client </t>
  </si>
  <si>
    <t>26/12/2016</t>
  </si>
  <si>
    <t>nathalie-p-131192</t>
  </si>
  <si>
    <t xml:space="preserve">JE SUIS SATISFAITE DU SERVICE
formalités en ligne qui m'ont facilité la démarche , doublée d'un entretien téléphonique avec une conseillère
je recommande GMF à mon entourage </t>
  </si>
  <si>
    <t>camille198-117502</t>
  </si>
  <si>
    <t>Assureur de mon voisin du dessus, dégâts des eaux qui dure depuis 11 jours et toujours pas de recherche de fuite je vais passer un autre weekend avec le plafond qui fuit... Pandant ce temps là (à Vera Cruz), mon assureur a fait passé l'expert et l'artisan, validé leur dossier, et ils ne peuvent pas allé plus loin car la fuite est toujours en cours... 
Je ne connaissais pas Pacifica et ne suis pas prête d'être cliente ni de les recommander à qui que ce soit.</t>
  </si>
  <si>
    <t>mariem-79758</t>
  </si>
  <si>
    <t>Assureur sérieux et efficace. Assureur leader dans l'assurance construction. Je recommande.</t>
  </si>
  <si>
    <t>Sma</t>
  </si>
  <si>
    <t>garantie-decennale</t>
  </si>
  <si>
    <t>05/10/2019</t>
  </si>
  <si>
    <t>eldanor--104683</t>
  </si>
  <si>
    <t xml:space="preserve">Assurance un peu cher même beaucoup mais par contre grande facilité avoir des conseils je recommande cette mutuelle par leur écoute, leurs conseils et la qualité des renseignements </t>
  </si>
  <si>
    <t>24/02/2021</t>
  </si>
  <si>
    <t>hakim-95836</t>
  </si>
  <si>
    <t xml:space="preserve">Sont pas sérieux ils m'ont résilier le contrat sans mon informé.j'ai roulé sans assurance pendant an jusqu'au jour où j'étais contrôlé par la police......
</t>
  </si>
  <si>
    <t>02/08/2020</t>
  </si>
  <si>
    <t>reynaud-m-115999</t>
  </si>
  <si>
    <t>Je suis très satisfait du prix que j'ai obtenu en économisant 450 euros à l'année et en ayant une meilleur protection. Je conseille vivement cette assurance à tout le monde qui recherche une assurance peu coûteuse et qui protège bien</t>
  </si>
  <si>
    <t>fredomoto30-58196</t>
  </si>
  <si>
    <t>Lamentable !!!</t>
  </si>
  <si>
    <t>19/10/2017</t>
  </si>
  <si>
    <t>jean-pierre-r-105774</t>
  </si>
  <si>
    <t>Vous me réclamer avec plusieurs mails mon relevé d'informations alors qu'il est en attente de validation par vos services depuis un dizaines de jours. J'ai essayer de vous appelé pour vous signaler le  fait : tous nos conseiller sont occupés veillez rappeler ultérieurement m'a dit la standardiste. après avoir bien patienter et appuyer sur le 1 2 1 3 etc. alors qu'avant de souscrire là les conseillers rappeler;</t>
  </si>
  <si>
    <t>andyinsure-108669</t>
  </si>
  <si>
    <t>Parce que j'ai choisi de faire réparer ma Volvo par un garage Volvo, j'ai dû payer la réparation moi-même, 7500 euros, puis réclamer un remboursement. J'ai été impliqué dans un accident sans faute en décembre et j'attends toujours le remboursement de ma franchise, on est maintenant en avril</t>
  </si>
  <si>
    <t>pascal-p-105962</t>
  </si>
  <si>
    <t>très satisfait, en attente d'une réduction pour bonne conduite...lol
je me rapprocherais de vous après mon déménagement pour une assurance habitation.
cordialement</t>
  </si>
  <si>
    <t>florence-59528</t>
  </si>
  <si>
    <t>Honteux,la Mgen n’est pas à la hauteur de l’image qu’elle veut se donner dans sa publicité. Depuis 15 mois j’attends le versement de de la perte d’autonomie et d’allocations journalières. J’ai passé plus d’une dizaine d’appels où il faut continuellement ré expliquer la situation, Je leur ai adressé tous les documents par courrier, aucune réponse, en A/R pas mieux. Je me suis même déplacé à l’agence d’Evry ou encore une fois j’ai déposé tous les documents pour ces deux prestations ou l’agent d’acceuil m’a confirmé que tout était en ordre et complet et bien malgré cela on continue à me réclamer un document stipulant que j’ai bien perçu 90 jours de salaire à taux plein, alors que ce n’est pas le cas et que mon employeur leur a rempli un document qui fait état de ce fait. 
Il peuvent faire de la publicité, avec le prix des cotisations et les remboursements qui ne sont pas fait, c’est tout bénéfice pour eux. Je trouve leur comportement mesquin. Une chose est sûre je vais leur faire la publicité qu’ils méritent, les réseaux sociaux sont là pour ça.</t>
  </si>
  <si>
    <t>raoul-82096</t>
  </si>
  <si>
    <t xml:space="preserve">Bonjour 
Très mauvaise assurance je conseille de ne pas vous assurez chez eux quand il y a un problème ils se défilent mon fils à eu un accident au mois de février 2019 et en allant vhez mon courtier pour déclarer l'accident on nous dit qu'il est plus assuré depuis deux jours on nous dit qu'ils ont envoyé un courrier recommandé qu'on n'a jamais reçu mais pour eux çà ne compte pas alors je vous pose une question di l'accident ne serai pas survenu on aurai pas été au courant et maintenant on viens aujourd'hui de savoir qu'il est responsable on fait comment par contre je ne comprend pas son frère à eu un problème de paiement par contre lui on l'a appelé je ne comprend pas leur mamiere de travailler même si vous passez par un courrier ne prenez j'avais Axa car peut être pas cher et j'en doute car j'ai véhicule qui été assuré chez eux et pour les même conditions j'ai trouvé moins cher chez un confrère je vous assure que je vais faire une très mauvaise publicité à Axa et je vais même passer par le service consommateur 
       Christine Lourenco </t>
  </si>
  <si>
    <t>19/12/2019</t>
  </si>
  <si>
    <t>emmanuelle-s-105565</t>
  </si>
  <si>
    <t xml:space="preserve">service correct pour le besoin
tarif attractif uniquement pour les nouveaux clients mais de tarif attractif pour les renouvellement ou la fidèlité
Très compliqué de vous joindre pour avoir le relevé d'information
</t>
  </si>
  <si>
    <t>juliette-130826</t>
  </si>
  <si>
    <t>Meilleure assurance habitation. 
La Matmut est toujours aux côtés de ses adhérents.
Je vous recommande fortement cet assureur.
Vous ne serez pas déçus.</t>
  </si>
  <si>
    <t>alex-124455</t>
  </si>
  <si>
    <t>J'ai toujours était bien suivis par direct assurance sur tous mes véhicules service sérieux réponse rapide et clair je recommande il ya des hausse de tarif mai c'est minime</t>
  </si>
  <si>
    <t>yannick-72299</t>
  </si>
  <si>
    <t xml:space="preserve">Attention aux prix cachés. Le positionnement prix est à première vue très intéressant mais attention à bien remplir l'ensemble des informations demandées très précisément car ils facturent toute modifications 15 euros même si cette information n'a aucun impact sur le prix de l'assurance ... pour être très précis j'ai repris un véhicule fin février et j'ai eu le malheur de mettre mars quand j'ai constitué mon dossier, la personne que j'ai eu au téléphone a fait la modification en 2 secondes qu'elle m'a donc facturé 15 euros ... par ailleurs, j'ai du appeler moi même car je n'avais pas d'informations précises sur l'état d'avancement de mon dossier ... </t>
  </si>
  <si>
    <t>19/03/2019</t>
  </si>
  <si>
    <t>isabelle-t-124753</t>
  </si>
  <si>
    <t>Très satisfaite je recommande.
Je suis assurée pour voiture, santé, maison.
Et je viens de faire une demande de crédit.
Une assurance réactif, disponible et sérieuse.</t>
  </si>
  <si>
    <t>sid-ahmed-h-129894</t>
  </si>
  <si>
    <t xml:space="preserve">Prix intéressant à voir après en cas de dommage comment je serai indemnisé 
Prix intéressant 
Satisfait  
Satisfait 
Merci 
Excellent journée 
Bien cordialement </t>
  </si>
  <si>
    <t>chloe-t-132087</t>
  </si>
  <si>
    <t xml:space="preserve">Le devis est rapide et le prix intéressant, j’attends de voir les services proposés maintenant!  Site facile à utiliser j’espère que le service client sera au top
</t>
  </si>
  <si>
    <t>didier--r-125707</t>
  </si>
  <si>
    <t>Très content du devis effectué en ligne très simple et facile à utiliser. Je recommande très fortement ce site pour une souscription d une assurance voiture ou moto</t>
  </si>
  <si>
    <t>cacyje-132520</t>
  </si>
  <si>
    <t>satisfait de cette couverture assurance habitation et de protection juridique, les tarifs sont corrects, et l'application et le site sont très simple d'accès</t>
  </si>
  <si>
    <t>farid--n-131665</t>
  </si>
  <si>
    <t xml:space="preserve">Service satisfaisant, accessible.
Les informations sont claires et précises 
Les prix sont abordables et adaptés en fonction de l'utilisation du véhicule. </t>
  </si>
  <si>
    <t>laurent-a-138208</t>
  </si>
  <si>
    <t>Simple et rapide la souscription est possible même le dimanche
Tarif très attractif, site facile a utiliser 
la transmission des documents est relativement simple</t>
  </si>
  <si>
    <t>oceane-69368</t>
  </si>
  <si>
    <t>Je ne suis pas du tout satisfaite de l'assurance AXA. En effet, j'ai souscrit à un contrat chez eux par internet, par la suite, un conseiller a pris en charge mon dossier. Ce dernier m'a donc expliqué que mon véhicule serait entièrement couvert et pris en charge par le forfait de l'assurance.
Hors en aout, j'ai eu un accident et je me suis retrouver perplexe lorsque j'ai appelé l'assistance afin de faire marcher mon assurance.
Il m'as été expliqué que je ne bénéficiais d'aucune option couvrant le sinistre du à un accident et donc à celui que je venais de subir.
A partir de ce moment, les problèmes ont commencés à s'enchainer.
Tout d'abord, les clauses stipulées par le conseiller qui m'a créé mon forfait ne correspondent pas avec le contrat.
On m'affirma lors de mon accident:
1. Que je ne bénéficiais pas d'une "voiture de prêt" mais de "courtoisie" alors qu'il est stipulé noir sur blanc sur mon contrat que je serai dédommagé d'une voiture de prêt si un accident venait à se manifester afin de pouvoir garder ma mobilité en attendant les réparations de mon véhicules.
2. Que je n'étais pas couvert sur les réparations du véhicule donc que les réparations étaient à mon compte.
3. Qu'on ne pouvait pas prendre en charge ma voiture étant stationner dans le dépôt se trouvant dans le secteur du lieu de l'accident étant donné que je n'avais pas encore signer le contrat.
Le pire dans tout ça, est que je me suis fait débiter sur ma carte bancaire d'un montant représentant les trois premiers mois de l'assurance afin de pouvoir soit disant bénéficier de mon assurance. De plus, le conseiller m'a affirmé que je n'avais le droit à aucun droit de rétractation, ce qui est faux puisque je peux bénéficier d'un droit de 14jours pour me rétracter. J'ai donc demander à ce qu'on me change immédiatement mon contrat de tiers étendu à tous risques étendues afin de bénéficier de mes demandes de départ, c'est-à-dire, la prise en charge totale de mon véhicule. Tout au long de mes échanges avec mes conseillers pour résoudre ce problème, ils n'ont cessé de me mentir, un coup j'ai le droit de me rétracter, un coup non, ensuite, je demande un responsable, on me signale qu'il est en congé alors que le jour même on m'avait dit qu'il était présent ou me disait que j'avais déjà parlé à tous les responsables.
J'ai donc mal été renseigné par le conseiller m'ayant ouvert mon assurance ce qui vaut maintenant des frais supplémentaires alors que je ne suis qu'une étudiante en apprentissage. J'ai voulu établir un contrat à l'amiable avec mon conseiller et ce dernier a refusé alors qu'il n'a fait que me mener en bateau. Aujourd'hui, 4 mois après... je subis encore le non professionnalisme de ce service, après multiples demandes pour changer mon contrat étant donné que la voiture ne roule plus depuis aout, ils disent n'avoir aucun historique alors que des documents m'ont été transmis par email prouvant ainsi un manque de suivi de leur part ou une suppression des dernières données me concernant, de plus impossible d'être mis en relation avec la même personne car celle ci est introuvable, ce qui ne facilite pas la tâche.
Je ne recommande pas l'assurance AXA et surtout le service téléphonique mis à disposition.
Soyez vigilant.</t>
  </si>
  <si>
    <t>12/12/2018</t>
  </si>
  <si>
    <t>chris0375--111433</t>
  </si>
  <si>
    <t xml:space="preserve">Très satisfait d amv assurance,,des tarifs très bas et une réponse immédiate qui fait que je recommande cette assurance à tout le monde ,de tout les devis que j ai pu effectué amv et l assurance qui me convient le mieux </t>
  </si>
  <si>
    <t>23/04/2021</t>
  </si>
  <si>
    <t>kevinm-76683</t>
  </si>
  <si>
    <t xml:space="preserve">UNE HONTE TOTALE FUYEZ FUYEZ FUYEZ. Accident auto non responsable depuis février. Déja il a fallu que je fasse tout moi même pour avoir un expert, ensuite il a fallu que je fasse tout moi même pour que la liaison entre l'expert et l'assurance se fasse, ensuite il a fallu que je fasse tout moi même pour leur demander de se bouger et gérer mon dossier, ce qu'ils ont pas fait malgré de multiples relances! Dépuis le mois de mars ( le 27 pour être précis ), ils m'ont récupéré mon véhicule MAIS mon contrat est toujours pas cédé, ils m'ont envoyé au dernier moment ( soit 2 mois après avoir récupéré mon véhiculle ) le contrat de cession que j'ai retourné d'office, et qu'ils ont toujours pas géré du coup toujours pas de cession du véhicule ! . Le pire dans tout ça, c'est que pendant tout ce temps la ils prélèvent, ils prelèvent, ils prélèvent, pourquoi au juste ? ils ne font même pas leur travail ! mais comment on peut accepter ça en France sérieusement ? après en avoir eu marre, j'ai décidé de couper tout prélèvement et ce à quoi ils répondent ENFIN par.. Des menaces de coupage de pont d'assureur, mais quelle est la logique au juste ? j'accepte d'être prélevé mais pourquoi ? TOUT CE QUE JE DEMANDE C'EST D'ETRE REMBOURSER LEGALEMENT POUR UN ACCIDENT NON RESPONSABLE, CE QU'ILS SONT INCAPABLE DE FAIRE PAR MAUVAISE FOIS. FUYEZ FUYEZ FUYEZ très honnêtement et ce pour votre bien </t>
  </si>
  <si>
    <t>abrial-f-105463</t>
  </si>
  <si>
    <t>Je suis satisfaite du service en revanche les prix subissent une inflation sans précédent alors qu'avec le confinement j'ai beaucoup moins roulé qu'en temps normal</t>
  </si>
  <si>
    <t>soleil69-98247</t>
  </si>
  <si>
    <t xml:space="preserve">j'ai été en arrêt de travail pendant la pandémie, mars et avril, et à ce jour le 01/10/2020, mes collègues et moi n'avons toujours pas perçu la compensation de salaire.
Quand allons nous enfin avoir notre dû ?
on me répond au tél, clause confidentialité employeur,
en attendant, nous patientons mais pourquoi de temps encore !
Toujours la même chose on est prélevé, on paye, mais quand c'est le sens retour silence radio !!
</t>
  </si>
  <si>
    <t>eliette-49746</t>
  </si>
  <si>
    <t xml:space="preserve">Mon époux est décédé le 31 octobre 2016. J'ai envoye tous les papiers à swisslife. Plusieurs mails envoyés et jamais de réponse. Plusieurs coups de telephone et jamais le même interlocuteur. Tout le monde se renvoie la balle. Aucune information. </t>
  </si>
  <si>
    <t>roberto-138836</t>
  </si>
  <si>
    <t xml:space="preserve">La mutuelle refuse de me rembourser. 
J'ai par erreur envoyé les factures originales et maintenant il me disent qu'il ne les ont pas ou que même si il les avaient il faudrait les renvoyer pour mettre à jour le dossier. 
Après cela j'ai voulu résilier et ils ont bloqué la résiliation. 
Aberrant. </t>
  </si>
  <si>
    <t>anthony-r-124338</t>
  </si>
  <si>
    <t xml:space="preserve">Merci pour tout, vous êtes top ! 
Je recommande, je vais dire à mes amis pour leur conseiller de venir chez vous, 
J’espère de mon cœur que je reste fidèle chez vous. 
Je prends bien soin de mon véhicule. 
Bonne continuation ! </t>
  </si>
  <si>
    <t>ha-85607</t>
  </si>
  <si>
    <t>Très déçu de la Matmut malgré l'ancienneté chez eux, il a fallu juste un accident responsable de mon mari pour qu'il résilie son contrat et par la même occasion on a pas pu assuré un autre véhicule. Vous avez beau leur verser de l'argent depuis des années,  il suffit dun soucis Il ne vous connaisse plus, quelle ingratitude !!!</t>
  </si>
  <si>
    <t>07/01/2020</t>
  </si>
  <si>
    <t>samuel-d-115620</t>
  </si>
  <si>
    <t xml:space="preserve">service simple et agréable. 
laisse le choix à l'utilisateur sans lui forcer la main. 
Merci April , j'ai assuré mon scooter avec une certaine facilité.  </t>
  </si>
  <si>
    <t>josselyn-k-128759</t>
  </si>
  <si>
    <t xml:space="preserve">je suis satisfait du service, le prix est très bon. je verrai a l'usage si cela mon convient. pour l'instant je suis satisfait du service. 
si c'est bien, je le recommanderai a mon entourage. </t>
  </si>
  <si>
    <t>wermer-97491</t>
  </si>
  <si>
    <t>Affilié à la MGP depuis 1967 j'ai toujours trouvé un délégué à l'écoute durant ma période d'activité puis des correspondants lors de mes divers lieux de résidence.Je suis globalement satisfait.Néanmoins je déplore le faible capital décès des plus de 70 ans.
L'attente lors d'appels téléphoniques est souvent longue...mais c'est ainsi partout hélas.</t>
  </si>
  <si>
    <t>16/09/2020</t>
  </si>
  <si>
    <t>jo-64034</t>
  </si>
  <si>
    <t>Attention il font un prix pour vous faire venir et puis de grosse augmentation d'année en année.
Cette année 9% d'augmentation alors que nous avons eu aucun sinistre et 50% depuis 11 ans</t>
  </si>
  <si>
    <t>14/05/2019</t>
  </si>
  <si>
    <t>nonna-67604</t>
  </si>
  <si>
    <t>A FUIR</t>
  </si>
  <si>
    <t>12/10/2018</t>
  </si>
  <si>
    <t>coralie-96567</t>
  </si>
  <si>
    <t xml:space="preserve">Assurance absolument catastrophique. Service plus que déplorable. Terminer les contrats chez eux. Pour faire payer là il y a du monde!!! Fuyez tant qu’il en est encore temps!!! </t>
  </si>
  <si>
    <t>22/08/2020</t>
  </si>
  <si>
    <t>hely-51874</t>
  </si>
  <si>
    <t xml:space="preserve">Client pendant plus de 10 ans avec un seul sinistre. J'ai rompu mon contrat suite à la vente de mon véhicule et fourni les pièces justificatives (CERFA de cession) par courrier avec accusé réception mais cela n'a pas empêché la GMF de "perdre" ledit justificatif. 1 mois depuis la vente de mon véhicule et mon dossier est donc au point mort.
Sur la durée la qualité du personnel de la GMF me semble être à la baisse. Leur placement tarifaire, en revanche, pas tellement. </t>
  </si>
  <si>
    <t>31/01/2017</t>
  </si>
  <si>
    <t>nassero-95860</t>
  </si>
  <si>
    <t>Pour percevoir l'argent ils sont très réactifs.je me suis fait volé mon véhiculé et je suis toujours pas remboursé malgré l'envoi tous les documents. le numéro du service sinistres est désactivé comme par hasard.Je me deux heures pour aller au boulot.déçu et furieux.Trop d'avis négatifs sur eux.</t>
  </si>
  <si>
    <t>emmanuel-b-124465</t>
  </si>
  <si>
    <t xml:space="preserve">Très satisfait. Rapide efficace . Et les prix sont raisonnables par rapport à ce que j’ai pu voir ailleurs sur internet ou ce que j’avais chez axa !!!!!!!!!!!    </t>
  </si>
  <si>
    <t>09871747-55852</t>
  </si>
  <si>
    <t>Je suis toute nouvelle assurée et je ne peux vraiment me rononcer. Toutefois le peuqu j'ai pu voir c'est la rapidité à me rembourser des frais médicaux.
Par contre j'ai téléphoné pour changer de garantie, on m'a bien répçondu par éléphone puis plus rien.</t>
  </si>
  <si>
    <t>06/07/2017</t>
  </si>
  <si>
    <t>toulot-a-127064</t>
  </si>
  <si>
    <t xml:space="preserve">Trop de difficulté a finaliser ce contrat plusieurs mois que cela dure.
Et des erreurs de compréhension au téléphone.
Reçu la mauvaise carte verte au mauvais nom !!! </t>
  </si>
  <si>
    <t>boursaud-j-108823</t>
  </si>
  <si>
    <t xml:space="preserve">je suis tres contente d avoir fait appel a vous pour la nouvelle assurance de ma fille explication tres claire et personnel tres tres agreable je suis </t>
  </si>
  <si>
    <t>phoenix-97440</t>
  </si>
  <si>
    <t>Après avoir remis tous les documents nécessaires à l'ouverture du contrat, le délai de traitement des courriers est beaucoup trop long de la part de Yamaha Assurance (AMV) surtout lorsque un sinistre est en cours (véhicule avec un coffre plein qui percute l'avant de ma moto en réalisant une marche arrière...)
Celui-ci ne sera traité par le gestionnaire dédié aux sinistres qu'à condition que le dossier soit ouvert (ouverture du contrat + envoi de la carte grise) mais si vous mettez des lustres pour scanner deux chèques aussi... (il faut 10 jours pour ça visiblement...)
Pour l'instant, je suis déçu de l'assurance AMV sans compter que c'est vraiment dommage qu'il n'y ai pas une ou deux agences physiques dans chaque région de France avec prise de rendez-vous et documents à founir pour faciliter les procédures (sinistre, contrat).</t>
  </si>
  <si>
    <t>15/09/2020</t>
  </si>
  <si>
    <t>mustafa-remzi-d-121934</t>
  </si>
  <si>
    <t>Service rapide et pratique. Surpris que je puisse m'assurer de chez moi a 2h du matin ! Ne changez rien sur ce point , tout est parfait... Les prix sont convenables pour les services proposées</t>
  </si>
  <si>
    <t>alain31-57519</t>
  </si>
  <si>
    <t>Service clients incompétent. Envoi de mails mensongers. Grave cet entreprise. C'est ma troisième année chez eux, mais plus jamais.</t>
  </si>
  <si>
    <t>02/08/2017</t>
  </si>
  <si>
    <t>dde63-89688</t>
  </si>
  <si>
    <t>La grille de satisfaction n'a d'intérêt que si Generali  respecte son contrat.  Depuis novembre 2019 mes feuilles de santé ne sont plus traitées. À mes messages répétés et  mes réclamations (2) un silence assourdissant au point d'être insultant. Adhérent depuis de nombreuses années j'attends l'intervention du médiateur pour résilier mon contrat (statut collectif).</t>
  </si>
  <si>
    <t>20/05/2020</t>
  </si>
  <si>
    <t>patricia-t-138478</t>
  </si>
  <si>
    <t xml:space="preserve">Je suis satisfaite les prix me conviennent et et il y a plusieurs choix adhésions rapide et bien expliqué je recommande votre mutuelle on a déjà 2 contrat à april cordialement </t>
  </si>
  <si>
    <t>28/10/2021</t>
  </si>
  <si>
    <t>toto-49551</t>
  </si>
  <si>
    <t>Attention à cet assureur ils affichent des prix très bon, mais au moment de signer, on s’aperçoit qu'ils rajoutent des frais, ce qui fait fortement gonfler la note (près de 20% dans mon cas), au final le tarif n'est pas plus intéressant que les autres compagnies. Je n'ai pas encore pu tester le service client.</t>
  </si>
  <si>
    <t>25/11/2016</t>
  </si>
  <si>
    <t>achille-102783</t>
  </si>
  <si>
    <t xml:space="preserve">Voici un an que notre habitation a brûlée.. Nous sommes plus traumatisés par la GMF que par le sinistre lui-même! Tout est mis.en œuvre pour indemniser le moins possible. Obliger de prendre un avocat pour  faire avancer notre dossier.  Tout bonnement scandaleux!! </t>
  </si>
  <si>
    <t>oooh-59065</t>
  </si>
  <si>
    <t xml:space="preserve">Depuis 1 an, j'ai transmis 5 fois les certificats de scolarité, nouvelle attestation secu avec leur numéro, de mes jumelles. Ils ne reçoivent jamais rien, ni par courrier, ni par mail et au téléphone ne trouve rien non plus.
Impossible depuis 1 an d'obtenir des remboursements pour mes filles, car ils ne mettent pas à jour la télétransmission... Parcontre, ils n'oublient pas les prélèvements pour se payer mensuellement. Je ne les recommande pas du tout. </t>
  </si>
  <si>
    <t>rudy--112301</t>
  </si>
  <si>
    <t xml:space="preserve">Je suis satisfait du tarif
Un très bon contact avec le conseiller pour le devis
Un bon service en ligne pour finaliser la proposition d'assurance 
Cordialement 
</t>
  </si>
  <si>
    <t>marousez-d-115772</t>
  </si>
  <si>
    <t xml:space="preserve">1/ Impossibilité de signer le devis en ligne à partir du mail de devis reçu ==&gt; Obligé de passer par téléphone pour souscrire finalement (malgré plusieurs essais et plusieurs appels à la hotline)
2/ J'aurais voulu pouvoir changer l'assurance de mon X1 le dernier mois pour le passer en assurance parking uniquement mais Lolivier ne fait pas cela..
</t>
  </si>
  <si>
    <t>tarek-e-133324</t>
  </si>
  <si>
    <t xml:space="preserve">Je suis satisfait du service pour le moment le tarif reste raisonnable j’espère que je serai satisfaite de votre assurance pour pouvoir rester chez vous </t>
  </si>
  <si>
    <t>yamina-e-127427</t>
  </si>
  <si>
    <t xml:space="preserve">Simple pratique 
Prix raisonnable 
Bon qualité prix 
Rapide et efficace
Je recommande vivement 
Un ami m'a recommander je regrette pas 
Rapide et efficace 
Simple 
Rapide 
</t>
  </si>
  <si>
    <t>opalynn-56844</t>
  </si>
  <si>
    <t xml:space="preserve">la personne est décédé en décembre 2005. une assurance me recherchait. j'ai écris au AGIRA. depuis avril 2016 le dossier est en cours de traitement. depuis fin juin  2017 le dossier est calculé, contrôlé et etc... soit disant un problème informatique qui bloque le paiement!!! dommage que ca bloque pas les prélèvements pour d'autres!!! MDR!!
dossier compliqué décès en 2005!!! depuis une nouvelle vie ; vivement que ca soit réglé et qu'on en parle plus; au 1 septembre je m'adresse a un avocat car j'ai refait ma vie et mon nouveau conjoint ne veux plus en entendre parlé.
</t>
  </si>
  <si>
    <t>24/08/2017</t>
  </si>
  <si>
    <t>sophie-51948</t>
  </si>
  <si>
    <t>INTERIALE ANNONCE une REPONSE AUX RECLAMATIONS EN 2 JOURS OUVRES 
SANS REPONSE DE LA MUTUELLE DEPUIS LE 24 OCTOBRE DERNIER</t>
  </si>
  <si>
    <t>eva-67459</t>
  </si>
  <si>
    <t xml:space="preserve">Bonjour
Je suis assure tout risque 
Je me suis fait voler ma voiture avec violence (Plainte a été déposé bien sur )
Le conducteur a eu un accident sous l’emprise De stupéfiant et alcool et sans permis.
Le dépanneur suite à l’appel de la gendarmerie a prit en charge le véhicule (Épave) 
Après maintes documents transmis à l’assurrance Suite à leur demande pour justifié le vol il y avait toujours une demande de leur part pour ne pas indemniser.
Le dépanneur nous a demandé de règle les frais de remorquage et d’effectue La cession de l’epave Pour éviter les frais de gardiennage,avant le passage officiel de l’expert 5 jours avant nous étions en période de Noël le 22 /12 (qui a quant même vu la voiture chez le dépanneur le 27 /12 )suite à cela l’assurrance Refuse toute indemnisation .sinistre numéro 2017234615 du 17 décembre 2017 .
Bon courage  à vous 
Surtout ne pas avoir de problèmes car aucunes chances de prise en charge si un grain de sable ne rentre pas dans leur conditions .
</t>
  </si>
  <si>
    <t>08/10/2018</t>
  </si>
  <si>
    <t>rupteur6-97692</t>
  </si>
  <si>
    <t xml:space="preserve">Supers services, aussi bien téléphonique que les remboursements ! Ils sont rapides et très gentils. Niveau prix, mon ancienne entreprise prenait en compte une partie des frais donc cela me paraissait raisonnable. 
Je n'ai pas eu de sinistre mais j'ai eu quelques consultation médicale et je dois dire que le remboursement a été très rapide !
Petit bémol mais vraiment petit ... c'est que pour envoyer les justificatifs par internet, il faut chercher un pti peu car ce n'est pas très explicite ... </t>
  </si>
  <si>
    <t>22/09/2020</t>
  </si>
  <si>
    <t>prenom-n-107437</t>
  </si>
  <si>
    <t xml:space="preserve">pas de  sinistre déclaré, et une belle augmentation de cotisation + de 20€ ??? pourquoi.
pris par le temps, je vais quand même tester la concurrence.   </t>
  </si>
  <si>
    <t>soohod-38204</t>
  </si>
  <si>
    <t xml:space="preserve">Assuré une première année, j’ai dû résilier la deuxième année car le montant est passé de 1230 à plus de 1530 malgré un bonus de 5% .... incompréhensible ! Et inacceptable !
Ne répond JAMAIS aux mails. </t>
  </si>
  <si>
    <t>18/01/2018</t>
  </si>
  <si>
    <t>nanou-88938</t>
  </si>
  <si>
    <t>Aucune aide ,mon IRM reculé suite au confinement, mon mal de genoux ,les courses magasins  à pied ,mon véhicule réparé au garage Renault ,la facture pas payée,tout empire aucune Aide ,aucune compassion aucun arrangement pourtant ils savent que je vis au minima sociaux avec mes 3 enfants, que j'ai raté des opportunités d'emplois,mon mal genoux ne fait qu'empirer.Et pourtant je cotise tous les mois chez la macif depuis une vingtaine d'années.Je crois que c'est parce que je suis d'origine algérienne que l'on me malmène.</t>
  </si>
  <si>
    <t>16/04/2020</t>
  </si>
  <si>
    <t>toto-99140</t>
  </si>
  <si>
    <t>Un petit peu plus cher mais aucun soucis en cas de pépin! C'est une vraie mutuelle . . . Ex J'ai eu un soucis avec la copro pour humidité venant de ma courette, c'est systématiquement pris en charge. Ma mére avait une assurance chez A...A: non pris en charge, j'ai eu des soucis!</t>
  </si>
  <si>
    <t>23/10/2020</t>
  </si>
  <si>
    <t>sandy40-66237</t>
  </si>
  <si>
    <t xml:space="preserve">Je suis en arrêt depuis le 17 avril et toujours pas de complément de salaire. Ils me répondent à chaque fois qu'il n'ont pas mon dossier.Le pire ils répondent aux mails 1 mois après quelle honte!!! </t>
  </si>
  <si>
    <t>17/08/2018</t>
  </si>
  <si>
    <t>patrick-l-106673</t>
  </si>
  <si>
    <t>je ne comprend pas .mon permis est lisible en tant que conducteur secondaire pour l'assurance du contrat n.312693015 mais pas en tant que conducteur principale du contrat n.312689515</t>
  </si>
  <si>
    <t>jmf91-116510</t>
  </si>
  <si>
    <t>Mon ancien assureur automobile Allianz France me réclame un jour d'assurance non payé. Pour la somme de ??? Devinez !
Pour la somme de 6,98€, soit 2547€ d'assurance annuelle ! Non je n'assure pas une Lamborghini en or.
Que faire ? Moralement, je me dois d'aider financièrement ?? le premier groupe européen Allianz à se refaire une santé, les pauvres. Je pense même créer une Allianzthon, qu'en pensez-vous ? ??
Bien sûr, l'association de consommateurs Que choisir est informée du problème. Et les réseaux sociaux commencent à en entendre parler. Bravo pour le service communication de Allianz , ils ont tout gagné... sauf effacement complet et définitif de cette "dette" ridicule.</t>
  </si>
  <si>
    <t>pepette-96077</t>
  </si>
  <si>
    <t xml:space="preserve">J'ai fais un devis cher eux . Plus de 1450 euros par an contre 559 € avec mon assurance actuelle. 
La pub n'est pas à la hauteur de sa promesse, Bien au contraire je n'ai jamais eu un devis aussi élevé.
</t>
  </si>
  <si>
    <t>08/08/2020</t>
  </si>
  <si>
    <t>sandrine24-79891</t>
  </si>
  <si>
    <t>On se demande si cette mutuelle n'est pas une coquille vide : on a bien des appels à cotisations, avec courriels comminatoires si le paiement n'arrive pas assez vite, mais ils ont refusé de me rembourser TOUS mes soins depuis un an !!!!</t>
  </si>
  <si>
    <t>louz-69457</t>
  </si>
  <si>
    <t xml:space="preserve">Suite à un conflit avec la macif, j'ai saisi le médiateur de l'assurance en novembre 2018 et à l'heure où j''écris ces lignes, je n'ai eu aucun retour de sa part alors qu'il a 90 jours pour répondre aux doléances.
Après recherches et conseils avisés, je m'aperçois que la médiation de l'assurance a été créé en 1964 avec le concours notamment de la ......macif!!??.. .
On comprend mieux maintenant son mutisme qui trahit sa collusion ou plutôt sa complicité avec la macif.
Fuyez la macif qui est excellente pour encaisser vos cotisations mais volontairement nullissime pour la gestion et surtout le dédommagement des sinistrés.
</t>
  </si>
  <si>
    <t>15/09/2019</t>
  </si>
  <si>
    <t>apolina-60243</t>
  </si>
  <si>
    <t xml:space="preserve">Bonjour, 
Pour moi, c'est une déception total de cet assureur ! Ayant ma mutuelle depuis des années chez eux, je décide de prendre le reste de mes assurance chez axa .... il y a presque un an de cela. C'est à partir de ce moment que commence le cauchemar. Déjà, les résiliations auprès de mon ancien assureur ont été faites 3 mois après pour l'auto et 8 mois après pour l'habitation. Encore, si c'était le seul problème, ça serait miraculeux. 
Côté assurances auto, un "bug" est intervenu dans leur logiciel. Après le paiement des 3 mois d'office, mon rib n'a pas été pris en compte et les prélèvements ne se font pas. Je contact mon conseillé et le lui fait parvenir par mail. Un mois plus tard, toujours pas de prélèvements. Cette fois ci, on m'appel, je renvoie mon mail et on me propose un mois de gratuite pour la gêne occasionné. Mais ... toujours pas de prélèvement ! Je fait venir mon conseillé et le lui remet en main propre , entre temps, axa m'a appelé, me traitant de menteuse pour le mois offert et bien évidement me rappelant que je n'ai pas payé , mais aucun prélèvement encore et toujours ... on me harcèle, je commence à perdre patience alors on me dit que mon dossier va être étudier plus "haut"! À la place d'un terrain d'entente pour un travail que axa a mal fait, je reçois des lettres d'huissier !!! C'est une honte ! À ce jour et cela fait presque un an, l'histoire cours toujours ... on se fout ouvertement de moi ! 
Pour l'habitation, la résiliation faite 8 mois plus tard, a été daté du mois en cours. Mon ancien assureur m'a donc rembousé un mois uniquement. Logique. Je demande donc une attestation d'assurance afin de pouvoir être remboursé mais la encore, j'attend toujours. 
Pour ce qui est des garantie d'accident de la vie, elle devait être résilier auprès de mon ancien assureur en janvier mais devinez quoi ? Ca n'a pas été fait ! Quelle surprise ! 
 Bref ! Je ne recommande pas Axa ! J'ai toujours payé mes factures et la ils me traitent de voleuse et de menteuse pour des erreurs que eux ont fait ! C'est d'une incompétence incroyable ! </t>
  </si>
  <si>
    <t>07/01/2018</t>
  </si>
  <si>
    <t>orchidee-54575</t>
  </si>
  <si>
    <t xml:space="preserve">En invalidité 2eme catégorie depuis 2013.J ai été convoqué par un medecin expert le 12 avril 2017.
J ai demandé à plusieurs reprises ou est mon dossier. J ai à chaque fois des personnes différentes avec des infos différentes. A ce jour je suis toujours dans l attente du suivi de mon dossier.
Je vis seule et en plus malade. Si seulement la cardif pouvait se mettre un peu à la place des malades qui attendent une réponse et surtout une régularisation de la situation. Le risque de perdre ma maison parce qu' aujourd'hui je me sent abandonner engendre des problèmes  sur ma santé </t>
  </si>
  <si>
    <t>roelandts-j-130511</t>
  </si>
  <si>
    <t>tres satisfait des tarifs le site internet très simple cordialement merci  pour tout votre renseignements je recevrai  ma carte verte par courrier ou non</t>
  </si>
  <si>
    <t>nordz95-62209</t>
  </si>
  <si>
    <t>MACIF un assureur qui ne garantie rien j'ai eu un acte de vandalisme sur mon vehicule on m'a refusé l'indemnisation alors que j'ai eté assuré tous risque donc pour moi MACI est un assureur FACTICE</t>
  </si>
  <si>
    <t>12/03/2018</t>
  </si>
  <si>
    <t>david-p-109212</t>
  </si>
  <si>
    <t>Peut de prise en charge par l'expert, par l"assurance, difficulté de contact du service contrat auto. Ne peut pas appeler de numéro de téléphone au 0970808001, car il me répond d'appeler ce même numéro.</t>
  </si>
  <si>
    <t>julie-129069</t>
  </si>
  <si>
    <t>Comme pour beaucoup de service de la société générale il faut maintenant se débrouiller seule la majeur partie du temps !
Quel intérêt alors de souscrire chez vous ?
Je me retrouve depuis samedi avec un problème de serrure suite à une tentative de vol par effraction.
A ce jour on ne m'a toujours trouvé aucune solution, c'est à dire que nous en sommes en période de vacances donc aucun serrurier n'est disponible, on vous dit poliment de vous démerder tout seul. Donc en plus du préjudice moral de la tentative de vol, je dois faire avec les congés des serruriers ! Mince je n'ai pas subit un cambriolage au bon moment ! Merci Sogessur !
Pour quelle raison est-ce-que je paie une assurance ???</t>
  </si>
  <si>
    <t>fabrice-d-103723</t>
  </si>
  <si>
    <t>Simple et pratique, le tarif est intéressant 
Réactivité des équipes.
L'intérêt du 100% digital 
La complétude des informations se fait simplement et rapidement</t>
  </si>
  <si>
    <t>patrick-b-137696</t>
  </si>
  <si>
    <t xml:space="preserve">Bien satisfait bon tarif merci sa été très vite a faire mon devis le contrat dit fait encore merci pour le tarif merci beaucoup M boucher j attend man carte </t>
  </si>
  <si>
    <t>philippe-s-125545</t>
  </si>
  <si>
    <t>très satisfait du service en ligne. Convivial et simple. Le prix est très correct. Je recommande. Plus qu'à faire de belles balades sur mon nouvel engin !!</t>
  </si>
  <si>
    <t>delp22-78798</t>
  </si>
  <si>
    <t xml:space="preserve">Une honte! Fuyez! Courrez! Tout va bien jusqu'au jour où vous voulez quitter la mutuelle pour une mutuelle obligatoire! Envoi d'un courrier recommandé AR signé de l'employeur et la mutuelle décide tout simplement de refuser la résiliation! Après ça devient l'horreur! Courrier sur courrier etc! Des malades!!!!!!!!!!! Surtout que j'avais eu une dame au téléphone qui m'avait précisé que tout était OK..... </t>
  </si>
  <si>
    <t>farid-b-105618</t>
  </si>
  <si>
    <t>Rien a dire, suis satisfait du service.. Quoiqu'une diminution
 de la cotisation devrait être envisagé. automatiquement
après une certaine   période de fidélité</t>
  </si>
  <si>
    <t>audrey-69245</t>
  </si>
  <si>
    <t>L assurance aurait du prendre mon prêt en charge, au bout de 3 mois, d arrêt maladie. Ils n envoient le dossier, que le quatrième mois, avec des questions, vraiment limites à faire remplir par le médecin traitant. Le traitement des gens ne les regarde pas! Le temps de  renvoyer ce dossier, qu il soit traiter, cela fera 5 mois! Quand on gagne 700 euros d ijss et qu on se fait prélever 135 euros de prêt, alors qu il aurait du être pris en charge depuis 2 mois, c est limite. Mais cela permet à la banque de se gaver sur les frais, au passage. D ici, qu ils se bougent  je serais sans doute interdit bancaire, car mon prêt, qui était sensé être modulable ne l est plus! J aurais sans doute repris le boulot, avant que cette assurance n agisse. Bien évidemment, impossible de les joindre directement. Il faut passer par son banquier.</t>
  </si>
  <si>
    <t>09/12/2018</t>
  </si>
  <si>
    <t>bobeico-i-134246</t>
  </si>
  <si>
    <t xml:space="preserve">Je suis satisfait du service, 
Simple et pratique 
Les prix me conviennent, 
J'ai bien reçu votre proposition, informations du service. 
Je vous remercie </t>
  </si>
  <si>
    <t>bradefer-c-128175</t>
  </si>
  <si>
    <t>Le service client est à l’écoute de l’assuré, très réactif. le prix de l’assurance est vraiment intéressant. 
Facile à comprendre et à gérer à distance.</t>
  </si>
  <si>
    <t>coulibaly-m-110030</t>
  </si>
  <si>
    <t>Satisfait pour l'instant de votre contrat qui j'espère, en fonction de la bonne conduite au volant réduira les cotisations qui, au final sera titalement satisfaisant.</t>
  </si>
  <si>
    <t>gilles-l-125894</t>
  </si>
  <si>
    <t>Simple, pratique, je suis à mon premier contrat chez vous et tant que je n'aurai pas de problème, difficile de donner mon avis sur le respect des règles souscrites</t>
  </si>
  <si>
    <t>denis-p-106087</t>
  </si>
  <si>
    <t>Très bien.
Dommage qu'il y a de la franchise pour le bris de glace. Les prix sont bien, le conseillé au téléphone est très professionnel.  A recommander.</t>
  </si>
  <si>
    <t>anne-m-108010</t>
  </si>
  <si>
    <t>Je suis satisfaite de mon assurance chez Direct Assurance.
Les prix sont intéressants. 
J'apprécie la réactivité et la sympathie des agents de cette assurance.</t>
  </si>
  <si>
    <t>gael--100547</t>
  </si>
  <si>
    <t xml:space="preserve">Bonjour, cela fait 2 mois que j'ai pris un contrat de couverture santé chez Mercer à titre personnel après une dizaine d'années avec un contrat entreprise. Je les ai contacté une dizaine de fois par téléphone et mail. Ils sont incapables de mettre en place mes remboursements parce que l'ancien contrat fait a priori doublon. J'ai expliqué mon cas à de nombreuses reprises, on me promet que le nécessaire va être fait. Et il n'en est rien. Ne prenez surtout pas cette mutuelle qui ne sait pas ce que veut dire  " le service Client ". Je vais les résilier à la première échéance. </t>
  </si>
  <si>
    <t>24/11/2020</t>
  </si>
  <si>
    <t>lilu1254-49427</t>
  </si>
  <si>
    <t>Je suis assuré chez Néoliane pour la santé suite au conseil de mon courtier qui s'occupe que de ma mutuelle car le reste est prit en charge par ma banque. je n'ai pas eu beaucoup d'intéractions avec Néoliane car les remboursements se font normalement maintenant lorsque j'ai eu besoin, le centre de gestion m'a prise en charge directement.</t>
  </si>
  <si>
    <t>22/11/2016</t>
  </si>
  <si>
    <t>adam-a-125096</t>
  </si>
  <si>
    <t xml:space="preserve">Très efficace quand on est pressé excellent mais un peu cher mais bon vu le temps c’est pas mal                                                        </t>
  </si>
  <si>
    <t>27/07/2021</t>
  </si>
  <si>
    <t>stephen-71486</t>
  </si>
  <si>
    <t xml:space="preserve">Comment une assurance qui reçoit un recommandé pour résiliation, peut remettre en cause la résiliation ? En colère de voir qu'avec un recommandé ce n'est pas pris en compte, et du coup je me prends un an de cotisation. A bannir </t>
  </si>
  <si>
    <t>20/02/2019</t>
  </si>
  <si>
    <t>sarah-d-132923</t>
  </si>
  <si>
    <t>Merci pour la facilité de souscription. ..je veux juste savoir comment annuler mon assurance chez votre confrère. Es que je le fais moi ou vous vous en charger ??</t>
  </si>
  <si>
    <t>tub-100881</t>
  </si>
  <si>
    <t>Je suis assuré auto depuis plus de 2 ans à la GMF. Je les appelle pour assurer une auto qui fait 120cv DIN. L.assurance me refuse prétextant que l’auto est considérée comme sportive. Mon bonus étant de 0.90, il fallait avoir 0.80 pour être eligible. Je n’ai jamais eu d’accidents.je considère être insulté car avec honte je l.annonce au vendeur qui me réclame une attestation. Si je m’étais appelé Kilian MBAPPÉ avec 6 mois de permis, tapis rouge : Seulement voilà, j’ai 32 ans de permis de conduire. J’ose à peine m’acheter un château. Donc, je vais mettre fin à mon contrat auto actuel ainsi que ma résidence. GMF, plus jamais... . 1 étoile parce qu’on ne peut pas mettre 0.</t>
  </si>
  <si>
    <t>malex15-78325</t>
  </si>
  <si>
    <t xml:space="preserve">Très bon rapport qualité prix. Conseillers joignables facilement et à l'écoute, agréables et ont répondu à toutes mes attentes. Je recommande cette assurance sans hésiter. </t>
  </si>
  <si>
    <t>09/08/2019</t>
  </si>
  <si>
    <t>lepoullen-a-135914</t>
  </si>
  <si>
    <t>Je suis satisfait du service, les prix me convienne, simple et pratique.
Le temps d'attente est assez rapide et les réponses rechercher sont clair net et précise.</t>
  </si>
  <si>
    <t>kalus-s-139290</t>
  </si>
  <si>
    <t xml:space="preserve">très bien la relation au téléphone  la personne est compétente elle ma bien renseigné cela a était rapide je suis satisfait du prix et des explications </t>
  </si>
  <si>
    <t>gamal-n-115142</t>
  </si>
  <si>
    <t>Prix élevés mais j'ai déja un contrat avec vous. Donc je ne veux pas un autre assureur. J ai l 'assurance habitation a faire très bientôt. Dans une semaine ou deux. Faites un effort au niveau prix SVP</t>
  </si>
  <si>
    <t>jpp-52311</t>
  </si>
  <si>
    <t>Invente des nouveaux contrats alors que l'on a uniquement accepté de recevoir un devis pour etudier la proposition. 
Nous force la main pour la garantie dommage (R002 un truc comme ça.)</t>
  </si>
  <si>
    <t>10/02/2017</t>
  </si>
  <si>
    <t>prune-61881</t>
  </si>
  <si>
    <t>très satisfaite très conprèhension 
 merci beaucoup   plusieurs contrat des amis</t>
  </si>
  <si>
    <t>stephan-g-131372</t>
  </si>
  <si>
    <t xml:space="preserve">Je trouve les tarifs excessif comparer à mon assurance pour le burgman  125 ,il y a un écart de prix de 50€ et j ai choisi la plus petite formule que vous me proposez </t>
  </si>
  <si>
    <t>pat-108238</t>
  </si>
  <si>
    <t>assure depuis plusieurs années a la Macif , début 2020 j ai eu un feu de cheminée, je ne vais pas rentre dans les détails, mais une galère pour être dédommagés par cette assurance ,entre l expert qui ne fait pas son travail et la Macif qui cherche par tous les moyens a vous dédommagés au strict minimum, j imagine pas si ma maison aurait bruler entièrement, j 'ai fuis cette assurance très vite ,</t>
  </si>
  <si>
    <t>besse-n-114181</t>
  </si>
  <si>
    <t>simple et pratique ,très bon conseiller ,il faudrait juste l'assistance  dans le packs tiers. Mais je recommande vraiment .j'ai pu assurer mon véhicule très simplement.</t>
  </si>
  <si>
    <t>phil-110177</t>
  </si>
  <si>
    <t xml:space="preserve">Bonjour j ai paye mon assurance pendant 10 ans .
Or le 22 mai 2020 j ai appris que toutes mes affaires ont été volées .Je n étais pas en France 
Suite à mes documents donnés (factures ...) et une plainte au procureur  ils me demandent des documents pour ne pas me rembourser.
Je suis trés déçu car je ne croyais pas que GMF était comme cela.
Phil.
</t>
  </si>
  <si>
    <t>antoun-j-135285</t>
  </si>
  <si>
    <t xml:space="preserve">Inscription rapide et simple, pas de demandes compliqués.prix acceptable  et logiques.bien sue on espère qu'on aura pas besoin de vous dans le future ??
</t>
  </si>
  <si>
    <t>ter13-69346</t>
  </si>
  <si>
    <t xml:space="preserve">CONTRAT MULTI EPARGNE VIE ALLIANZ : à fuir absolument 
Promesse de rendement complètement erronée voire mensongère, perte immédiate de capital dès la souscription, placement soit disant sécurisé et équilibré mais qui se contente de suivre l'évolution du CAC40 en réimpactant fortement les baisses et faiblement les hausses, aucune réactivité on se contente de regarder le capital fondre bref on se fout complètement du client donc si vous voulez perdre de l'argent Allianz est une très bonne solution pour s'appauvrir !
</t>
  </si>
  <si>
    <t>gege-99156</t>
  </si>
  <si>
    <t xml:space="preserve">Je viens de quitter eurofil aviva car se ne sont que des banquiers pour l'olivier assurance Jusqu'à maintenant c'est le jour et la nuit entre eux deux L'olivier est trés satisfaisant au niveau prix avec un personnel compétant et professionnel Je recommande A voir cependant avec un éventuel sinistre </t>
  </si>
  <si>
    <t>09/12/2020</t>
  </si>
  <si>
    <t>olivier83-57657</t>
  </si>
  <si>
    <t xml:space="preserve">tout faire pour ne pas prendre en charge les indemnisations quand nous sommes en invalidité pas crédible voix électronique jamais utiliser assurance obsolète alors que nous sommes au 21 siècles 2017 </t>
  </si>
  <si>
    <t>guillerme-n-109216</t>
  </si>
  <si>
    <t>Je suis satisfait de mes deux assurances chez vous.
Je recommande l'olivier assurance pour toutes assurances confondues
Très content d'être client chez vous.</t>
  </si>
  <si>
    <t>avonde-c-115379</t>
  </si>
  <si>
    <t>Je suis satisfait des services proposés par l'assurance et les prix proposés sont vraiment très intéressant. Je recommande vivement cet assurances....</t>
  </si>
  <si>
    <t>emma-p-106579</t>
  </si>
  <si>
    <t xml:space="preserve">pour le moment les prix et la nouvelle technologie Youdrive sont innovents et economiques, voila une vraie maniere d'encourager à mieux conduire et plus prudemment </t>
  </si>
  <si>
    <t>kiki-75144</t>
  </si>
  <si>
    <t>Après de multiples échanges téléphoniques je constate que les conseillés Olivier assurance sont réellement à notre écoute, prennent les devants suite à un sinistre et donnent de bons conseils. De l'accueil téléphonique jusqu'à la fin de l'échange avec le conseiller l'amabilité est omniprésente, courtoise et détendue.</t>
  </si>
  <si>
    <t>17/04/2019</t>
  </si>
  <si>
    <t>grisot-v-130286</t>
  </si>
  <si>
    <t>Les prix sont top. Rapide. Simple et efficace que demander de mieux? Ah si peut-être quand on souscrit un deuxième contrat auto peut-être offrir les frais d'adhésion. Et les téléconseillers super sympas</t>
  </si>
  <si>
    <t>arnauddum-87478</t>
  </si>
  <si>
    <t>Nous avons retrouvé notre véhicule avec le pare choc cassé sur un parking. La personne est partie sans se faire connaître bien évidemment. L expert pense que nous avons percuté un corps fixe. 
Cette assurance n a donc pas accepté de nous indemniser dans la mesure où notre déclaration est contraire à celle de l expert. 
Je suis choqué de payer tous risques un véhicule alors que nous n avons fait que nous garer sur un parking. Aucune prise en charge et 1500 euros de notre poche. 
C est honteux. Votre assurance solidaire n'est que de la publicité mensongère et le mieux c'est que les interlocutrices sous entendent que nous sommes des menteurs.
Assurance à fuir 
Résiliation imminente</t>
  </si>
  <si>
    <t>21/02/2020</t>
  </si>
  <si>
    <t>emmad-123265</t>
  </si>
  <si>
    <t>Ils ont droit à une étoile d'une part parce qu'on ne peut pas en accorder aucune et d'autre part car j'ai assuré ma voiture chez eux car c'était les seuls à avoir répondu un samedi. Mais c'est le seul point positif que je leur accorde. Ils sont et pour les avoir eu plusieurs fois au téléphone tous exécrables. L'assurance n'est pas beaucoup moins cher qu'ailleurs par contre les services rendus eux sont beaucoup moins nombreux. Je suis tombé deux fois en panne et ils n'ont pas levé le petit doigt et ceux alors même que j'ai souscrit à diverses options pour parer justement à toutes sortes d'éventuels déconvenues. Et avant cela, lors de la souscription ils m'ont plusieurs fois menacé de clôre mon contrat car le scanne de mon permis de conduire ne leur convenait pas. En effet le document est arrivé verticalement et il n'est apparemment pas à leur porter de pivoter un document à l'aide de leurs ordinateurs.</t>
  </si>
  <si>
    <t>husky-53257</t>
  </si>
  <si>
    <t>je suis client auto,habitation et protection juridique.un autre véhicule est assuré chez allsecur.</t>
  </si>
  <si>
    <t>14/03/2017</t>
  </si>
  <si>
    <t>corentin-p-123711</t>
  </si>
  <si>
    <t>Le prix me convient cependant, j'aurai souhaité pouvoir faire des prélèvements mensuels.
Mise à part ce désagrément, le site nous propose divers options.</t>
  </si>
  <si>
    <t>cybele-79540</t>
  </si>
  <si>
    <t>A fuir immédiatement !!!! ne vous arrêtez même pas les consulter pour une devis. Victime d'un cambriolage avec effraction (PV et constatation de la gendarmerie), Groupama établi des vétustés sur tout et n'importe quoi total des courses ils nous résilies pour sinistre excessis</t>
  </si>
  <si>
    <t>Groupama</t>
  </si>
  <si>
    <t>sara-l-121335</t>
  </si>
  <si>
    <t>je suis satisfaite du service .
rapide et efficace
tarif attractif
conseillère professionnelle
je recommande vivement.
Je les recontacterai probablement pour mon habitation</t>
  </si>
  <si>
    <t>27/06/2021</t>
  </si>
  <si>
    <t>kiki-64970</t>
  </si>
  <si>
    <t xml:space="preserve">Très déçu ont ma vendu un produit incompatible avec mes besoins condamné pour une longue année je prends sur moi. Conseils fait très attention au modalités carte blanche pour l'optique une vraie catastrophe opticien imposé +produits de très bas de gamme imposé  je crois que même si j'avais fait une demande de cmu j'aurais été mieux prise en charge </t>
  </si>
  <si>
    <t>21/06/2018</t>
  </si>
  <si>
    <t>nadia-d-132990</t>
  </si>
  <si>
    <t>Je suis pleinement satisfaite du service. Le conseillé a été très réactif et très clair. Aucune surprise de frais supplémentaires de courtage, tout est inclus.</t>
  </si>
  <si>
    <t>clemclem-66164</t>
  </si>
  <si>
    <t>Je suis resté 3 ans chez eux. tant que tout va bien et qu'on a pas besoin d'eux c'est génial. Ils prélèvent chaque mois la prime. Mais dès qu'il faut payer quelque chose c'est la croix et la bannière. Et vas y que je tartine de franchises sur chaque acte ou presque et que je rembourse le plus tard possible !!</t>
  </si>
  <si>
    <t>13/08/2018</t>
  </si>
  <si>
    <t>rr-99342</t>
  </si>
  <si>
    <t xml:space="preserve">Assurance avec  un service plus que bas de gammes j'ai du rester plus de 7h au téléphone avec plusieurs agents me raccrochant au nez a plusieurs reprises services médiocre et incompétent et quand on veut parler a un responsable  c'est tout simplement impossible pire expérience de ma vie je vous conseille de ne pas souscrire chez eux voilà une journée de boulot gâcher en 2020 c'est inadmissible un service pareil je suis plus que mécontent mais quand il s'agit d'encaisser l'argent c est très rapide en tous je recommande de fuire cette assurance quitte à payer un peu plus chère sa vous évitera des mauvaises surprises </t>
  </si>
  <si>
    <t>oli31-91689</t>
  </si>
  <si>
    <t>Ma mère est décédée fin avril, en me laissant une assurance vie AFER à mon nom. A ce jour (29 juin), je n'ai aucun retour de leur part, malgré un coup de téléphone, 5 emails et une lettre recommandée. J'ai confié le problème à ma notaire, qui aura j'espère plus de succès que moi. Un tel comportement est déplorable, surtout dans les circonstances actuelles. Je m'apprête à porter plainte et à faire une notice pour la DGCCRF.</t>
  </si>
  <si>
    <t>staff-75745</t>
  </si>
  <si>
    <t>Même avec pièce manquante il Retirer argent sans envoyé le
 contrat et sans prévenir</t>
  </si>
  <si>
    <t>AssurOnline</t>
  </si>
  <si>
    <t>rai-99440</t>
  </si>
  <si>
    <t>Avis 100% objectif :
- Je souscris après un appel téléphonique et tout va bien.
- Je n'ai vu aucun remboursement sur mon compte bancaire mais tout à l'air d'être bien pris en compte lorsque je présente ma carte aux différents établissements.
- Je demande la procédure pour l'ajout de ma fille, on me répond "Faites une demande en ligne, il y aura un devis avant tout quoi qu'il arrive". Et là c'est le drame !...
- J'ai demandé "Veuillez ajouter ma fille en prenant en charge les factures joints qui la concerne". J'ai reçu un échéancier, ma cotisation à doublée sans avoir eu connaissance du prix (sans devis)
- Je demande l'annulation, on me répond "C'est impossible". J'invoque alors mon droit de rétractation avant les 15 jours réglementaires, on me répond "Ne vous inquiétez pas c'est prit en compte, vous avez même 30 jours pour la rétractation chez nous".
- J'appelle toutes les semaines pendant 2/3 mois pour savoir où ça en est et à chaque fois on me répond "c'est impossible, vous n'avez pas demandé de devis". Je ré-explique tout en invoquant mon droit de rétractation et on repart pour un tour "c'est prit en compte".
- Au quatrième mois on me dit "Nous comprenons votre frustration mais il n'y aucune trace de votre demande de rétractation, vous devez la refaire en ligne". Je leur réponds "A partir de maintenant vous verrez ça avec mon avocat, vous parlerez peut être la même langue. Là je suis à bout !". Un "vrai" professionnel me contact avec une "vraie" solution de remboursement des 4 mois.
- J'ai demandé la résiliation peu de temps après, on me dit de faire une lettre recommandée. J'ai demandé un modèle de lettre, ils en ont pas. J'ai vérifié sur les forums internet, il y a eu des refus pour cause de mauvaise information (la date d'échéance n'était pas bien renseignée). J'en conclus qu'ils ne prennent pas la peine de recontacter le client en cas problème.
- Après avoir reçu l'AR, je leur demande si tout est bien prit en compte. Réponse "Nous aurons l'information en même temps que vous lorsque vous recevez l'email de confirmation"
- Je m'apprête à envoyer ma troisième lettre recommandé pour être sûre qu'elle sera prise en compte en y ajoutant une copie du contrat ainsi que la carte tiers payant. Je dois aussi vérifier pour la prévoyance, apparement ils séparent les contrats. J'espère que tout se passera bien car je serais dans l'obligation de faire intervenir un avocat.
- J'arrive à la date limite des 2 mois de préavis obligatoires et je viens juste de me rendre compte qu'il y'a deux contrats distincts "SANTE/XXXX" et "IJH(P)/XXXX", les numéros adhérents sont aussi différents. J'ai reçu la lettre d'échéancier et de rappel le 27/10/2020, elle est datée au 15/10/2020. Je devrais avoir le droit à 20 jours après réception de cette lettre. Nous sommes le 31/10/2020. Je confirme que je vais envoyer une 3ème lettre recommandée. Je vais envoyé autant de lettres qu'il faudra.
J'espère que mon témoignage servira au courtier Santiane ainsi qu'au future client.
Je vous ai épargné les prises de becs.
Je présente mon cas en tant que client.
J'aurais préféré avoir toutes les informations nécessaires à ma demande de résiliation.
J'ai dû aller les rechercher activement sur internet après plusieurs appels téléphoniques :
https://forum.lesarnaques.com/assurances-particuliers-professionnels/resiliation-impossible-t213818.html
https://www.santiane.fr/aide-faq/resiliation
https://www.opinion-assurances.fr/temoignage-assurance.html?cid=305</t>
  </si>
  <si>
    <t>31/10/2020</t>
  </si>
  <si>
    <t>jerome-b-126779</t>
  </si>
  <si>
    <t>Je suis satisfait de direct assurance rapide et tarif très intéressant je vous conseillerai auprès de mes amis en vous souhaitant une très bonne journée cdlt</t>
  </si>
  <si>
    <t>06/08/2021</t>
  </si>
  <si>
    <t>helene-c-135281</t>
  </si>
  <si>
    <t xml:space="preserve">Simple et clair avec des tarifs attractifs. 
Le devis a été envoyé directement par mail. 
Je n'hésiterai pas à recommander cette assurance.
Cordialement. 
</t>
  </si>
  <si>
    <t>lili-61765</t>
  </si>
  <si>
    <t xml:space="preserve">Trouver une autre assurance que Direct assurance 
Ce n'est que du lost cost 
a ne jamais avoir d'accident avec eux 
pas de véhicule de prêt quand la voiture n'est pas roulante même en étant assuré en touriste </t>
  </si>
  <si>
    <t>stephane-m-123635</t>
  </si>
  <si>
    <t xml:space="preserve">Je pense que la fidélité auprès de la GMF n'est pas assez récompensée...de fait, je me fixe comme objectif légitime pour 2002 de faire marcher la concurrence....féroce dans ce domaine, comme dans d'autres d'ailleurs il est vrai. </t>
  </si>
  <si>
    <t>catherine-b-131921</t>
  </si>
  <si>
    <t xml:space="preserve">Très rapide parfait pour moi et mon compagnon en ai également très content donc il m'a parrainer merci beaucoup j'en parlerai aussi à mes amis et mes enfants </t>
  </si>
  <si>
    <t>tristan-p-116258</t>
  </si>
  <si>
    <t>Service rapide, et très bon conseil de la pars des conseillers, contrats rapide à faire et j’ai était assurer en jeune conducteur alors que d’autre assurance ne voulait pas pour un z</t>
  </si>
  <si>
    <t>patrick-b-106073</t>
  </si>
  <si>
    <t xml:space="preserve">Simple, pratique et efficace
Plutôt rapide en cas de sinistre
Une réduction suite au Covid aurait peut être pu être faite au client
Bonne journée Cordialement
</t>
  </si>
  <si>
    <t>proxali-75710</t>
  </si>
  <si>
    <t>Scandaleux, je suis arrêt depuis début avril, je les appelle pour connaître l'avancement de mon dossier, apparemment c'est confidentiel. Alors que cela me concerne, c'est mon nom mon numéro de sécu, mais rien y fait. Nous sommes le 7 aucune nouvelle, aucun argent versé, j'ai peur pour les mois à venir.</t>
  </si>
  <si>
    <t>07/05/2019</t>
  </si>
  <si>
    <t>mya-91209</t>
  </si>
  <si>
    <t xml:space="preserve">Satisfait du devis en ligne. Je n’ai pas encore eu de conseiller en ligne mais attends d’être ré contactée afin de savoir si le tarif en ligne propose sera le même </t>
  </si>
  <si>
    <t>zorky-85318</t>
  </si>
  <si>
    <t>Je suis à la MACIF depuis tellement longtemps que je ne me souviens plus du nombre d'années (+20 ans ?), et malgré cela, ma femme et moi allons chercher une assurance en 2020 pour nos véhicules et maison car le bon de +35 % pour être passé du 77 au 93 nous a choqué (distance de 3,7 km entre notre ancien appartement et notre nouvelle maison). Dommage car ma confiance envers la MACIF était grande.</t>
  </si>
  <si>
    <t>28/12/2019</t>
  </si>
  <si>
    <t>lyon-v-135446</t>
  </si>
  <si>
    <t>Les prix me conviennent, ils sont très attractifs face à la concurrence, et l'utilisation du site internet est pratique et simple, les documents sont pour le moment simples a remplir</t>
  </si>
  <si>
    <t>syl0745-136257</t>
  </si>
  <si>
    <t xml:space="preserve">j 'ai ete ravis de cette echange avec ALLASSANE qui m'as aidé a pouvoir accéder a mon espace client merci aussi au monsieur qui ma fais souscrire au contrat ;deux personnes tres sympathique et trés professionnels merci a vous </t>
  </si>
  <si>
    <t>clara-v-127192</t>
  </si>
  <si>
    <t xml:space="preserve">Bonjour, je suis satisfaite de vos services et de votre réactivité.
Le prix me convient également 
Je recommande direct assurance
Cordialement 
Clara vin Kunssberg 
</t>
  </si>
  <si>
    <t>tousch-j-123820</t>
  </si>
  <si>
    <t>Rapide, clair, sans surprises et compétitif ! 3ème véhicule assuré chez l'Olivier et toujours satisfait. De plus, ils sont disponibles rapidement par téléphone en cas de besoin. Conseiller professionnel et à l'écoute, certaines assurances "historiques" devraient s'en inspirer...</t>
  </si>
  <si>
    <t>lionel-137637</t>
  </si>
  <si>
    <t>J'ai été victime d'un sinistre en mars 2021. Quelqu'un m'a doublé par la droite et m'a percuté. Je l'ai poursuivi afin de noter sa plaque, mais en vain. Une personne s'est présentée à moi et m'a dit qu'il avait tout vu qu'il avait son numéro de plaque et qu'il pouvait témoigner. J'ai donc porté plainte au commissariat et contacter mon assureur... J'ai donné les coordonnées de mon témoin et transmis la plainte. En attendant que les choses se règlent j'ai fait remplacer ma vitre latérale qui avait été cassée lors du choc après les avoir prévenu. Au bout de quelques mois et de quelques messages auxquels on m'a répondu complètement à côté, je suis allé voir mon agence locale pour élucider le problème. Là, on apprend avec stupeur que j'avais 4 sinistres de comptabiliser et que le témoignage de la personne ainsi que ses coordonnées avaient disparues... Peu de temps après, je reçois une lettre en recommandé qui résiliait mon contrat. Je retourne donc à mon agence, et pendant plus d'une heure, nous avons du tout réexpliquer... On tombe enfin sur une personne qui comprend, mais pas suffisamment, sans doute... Je me suis retrouvé avec 2 sinistres au lieu d'un. Ils n'avaient pas fait la relation entre le bris de glace et l'accident... Aujourd'hui encore, 6 mois après l'accident, j'attends toujours le remboursement de la franchise que j'ai versée et la lettre d'excuse et de "réhabilitation" à 0% de responsabilité. Je ne désespère pas.</t>
  </si>
  <si>
    <t>17/10/2021</t>
  </si>
  <si>
    <t>romain-l-105477</t>
  </si>
  <si>
    <t>Les mensualités qui augmentent chaque année  même sans sinistre.      Mise à part le parrainage , aucune fidélité ou remise . Application trop quelqonque</t>
  </si>
  <si>
    <t>nana-96216</t>
  </si>
  <si>
    <t xml:space="preserve">J'ai viens d'etre résilié au bout de 26 ans de cotisation assurance automobile, car 1 bris de glace en 2019 et un sinistre en stationnement en 2020, aucun geste commerciale au bout de  temps d'années,  c'est vraiment désobligeant eurofil, Aviva a fuir.
 je ferai le bonheur d'une autre assurance </t>
  </si>
  <si>
    <t>12/08/2020</t>
  </si>
  <si>
    <t>mia-87149</t>
  </si>
  <si>
    <t>Ceci est mon premier contrat d'assurance auto et je suis ravie d'avoir choisi l'Olivier Assurance, ils m'ont proposé un tarif très compétitif, et offrent un excellent service client. Ils ont pu m'accompagner dans les démarches et m'expliquer les procédures ainsi que les modalités du contrat. Cette dernière partie était essentielle à mes yeux n'étant pas du tout expérimentée, et ils m'ont patiemment tout expliqué, avec clarté et bienveillance. Je recommande totalement.</t>
  </si>
  <si>
    <t>assuree66-62809</t>
  </si>
  <si>
    <t>Bonjour, tout d'abord je pense que la qualité de service est différente selon les agences. Je suis depuis  35 ans client en RP sans aucun probléme. Suite au décés de mon beau-père en janvier 2016, j'ai repris les affaires de ma mère de 95 ans, l'agence concernée est située dans le 66. Depuis j'ai eu 2 fois a faire avec eux, la première fois pour faire changer de conducteur qui a été un véritable parcours du combattant, je passe ! Le second avatar qui est en cours, plutôt à l'arrêt, un dégât des eaux survenu le 18 décembre 2017 dans la maison que j'ai mise en vente puisque la vieille dame de 95 ans ne peut plus habiter seule, donc à priori rien de bien compliqué, puisque cette maisonnette fait 28 m2, vide, eau coupée, EDF coupé et là on passe du côté obscur de la force depuis 4 mois, courriers, courriels, téléphone, rien ... J'oubliais, comme les expertises semblent s'éterniser, j'ai eu l'aplomb de leur demander un planning parce que quand on doit faire 1800 km à chaque fois que l'expert nous siffle, il faut s'organiser. pour l'instant je suis attente de quelque chose. J'en rigole encore un peu parce que la situation est Kafkaïenne, mais je pense qu'à terme cela ne va pas bien se terminer ! Pour les candides la certification qui atteste que la Macif répond aux 24 engagements Qualité AFNOR, c'est surement un accessoire pour que les +petits puissent s'asseoir dessus !</t>
  </si>
  <si>
    <t>12/04/2018</t>
  </si>
  <si>
    <t>stella--100241</t>
  </si>
  <si>
    <t xml:space="preserve">A fuir ! Si vous avez par malheur des problèmes de santé , ils ne vous indemniserons pas . Au lieu de cela ils vous redemandent sans arrêt des documents déjà fournis ou impossibles à fournir pour vous décourager ...et cela n'arrange pas votre état  de santé. 
Je regrette amèrement d'avoir contracté cette assurance . J'aurai mieux fait de payer plus cher mais au moins j'aurai été indemnisé en cas de pépin. J'espère qu'il ne m'arrivera rien de plus grave mais je pense que je vais changer d'assurance pour pouvoir être couverte au cas où car je n'ai plus du tout confiance en eux. 
</t>
  </si>
  <si>
    <t>18/11/2020</t>
  </si>
  <si>
    <t>william-a-127619</t>
  </si>
  <si>
    <t>Courant 2021, prix bien plus intéressants que la concurrence qui a tendance à bien trop les augmenter. A surveiller par la suite. Pourvu que la démarche ne soit pas similaire ici dans le futur</t>
  </si>
  <si>
    <t>franck-m-137975</t>
  </si>
  <si>
    <t>Très bien je recommande vivement cette assurance tres complète je la recommande pour les personnes qui souhaites prendre pour la première fois merci .</t>
  </si>
  <si>
    <t>mymyinf-137683</t>
  </si>
  <si>
    <t>Je suis adhérente depuis janvier 2019, et je suis entièrement satisfaite de la disponibilité des conseillers, de la vitesse de traitement de mon dossier, et des tarifs. Je recommande vivement cette assurance aux options multiples, et au meilleurs rapport qualité prix en fonction de vos demandes.</t>
  </si>
  <si>
    <t>pseudo22-82101</t>
  </si>
  <si>
    <t xml:space="preserve">tres bonne assurance qui n'hesite pas a assurer les jeune permi sans aucun soucis conseiller au top je suis là-bas depuis 2 ans je n'est jamais eu de problèmes toujours a l'écoute de vos client merci l'olivier.                                                                                                </t>
  </si>
  <si>
    <t>20/12/2019</t>
  </si>
  <si>
    <t>mamichka-64105</t>
  </si>
  <si>
    <t xml:space="preserve">la matmut assure vraiment , tarif  concurrentiel ( bon conducteur depuis 20 ans donc  super bonus )  accueil agence et téléphonique empathique  ,  traitement dossiers  sinistre : réponse  adaptée et rapide , respect du contrat qui est très clair et mieux disant que bien d'autres compagnies . communication  par internet pratique et clair et retour rapide </t>
  </si>
  <si>
    <t>20/05/2018</t>
  </si>
  <si>
    <t>delphine-v-106572</t>
  </si>
  <si>
    <t>Bonjour, le montant de la nouvelle cotisation que j'ai reçu pour 2021 est très excessif. Il n'a cessé d'augmenter chaque année sans justification.
Je souhaite résilier</t>
  </si>
  <si>
    <t>dj-117490</t>
  </si>
  <si>
    <t xml:space="preserve">Suite à une mauvaise démarche d’un courtier j’ai voulu résilier et cela a été fait avec rapidité grâce à widad. Je pense que la mutuelle peut être bonne mais les courtiers envoient le contrat à la date lime de résiliation ce qui est dommage </t>
  </si>
  <si>
    <t>stephan-g-126501</t>
  </si>
  <si>
    <t>Je suis chez vous depuis des années aucuns soucis bon rapport qualité et prix et repondent au telephone rapidement et sont profesionnel acces internet rapide moins de 10mn</t>
  </si>
  <si>
    <t>m-lebreton-91499</t>
  </si>
  <si>
    <t>Je suis satisfaite des renseignements communiqué par Direct Assurance. Cela m'a permi de pouvoir demander un devis selon mes demandes étant donné que c'est la première assurance que je souscrits.</t>
  </si>
  <si>
    <t>19/06/2020</t>
  </si>
  <si>
    <t>figuig35-55493</t>
  </si>
  <si>
    <t xml:space="preserve">bonjour franchement ne vous assuré pas chez matmut aucun service ,sa fait 10 anbonjs que je suis chez eux aucun problème avec ma voitures habitation ,il mon jamais fait un geste commercial niveau accueil zero sur asnières une froideur j'ai jamais vu sa le monde tourne a l'envers nous sommes client il vous parle mal je suis sur asnières sur seine ,j'avais un probleme avec mon compte pour le prélevement je leur explique juste de refaire le prélevement il mon refuser il mon demander de payer la totalité des douze mois d'assurance ,j'ai rien compris 10 ans d'ancienneté  il mon traité comme de la merde je vous le déconseille de vous assurer chez eux si matmut veulent me contacter pas de soucis  </t>
  </si>
  <si>
    <t>vieyra-j-134680</t>
  </si>
  <si>
    <t>Très content des services de l'olivier.
J'ai assuré 2 voitures et parrainer un ami ce qui m'a permis d'avoir une réduction
Rapport qualité prix correcte</t>
  </si>
  <si>
    <t>subito-13711</t>
  </si>
  <si>
    <t xml:space="preserve">Suite aux dégâts de la sécheresse, les ACM, pour minorer le montant de l'indemnisation ont fait appel à une société qui semble ne pas être habilité à intervenir sur les fondations (aucun salarié déclaré). Ainsi, par manque d'argent, je ne trouve aucune entreprise qui accepte d'effectuer les travaux de la reprise en sous œuvre des fondations de ma maison. SUR CE, les ACM d'une part refusent de me communiquer des adresses d'entreprises standards qui acceptent d'effectuer les travaux pour le montant proposé et d'autre part affirment « Faute d'éléments nouveaux, ....,  la position des ACM demeure inchangée sur ces points.» 
?	Comment sortir de cette situation inextricable ?
</t>
  </si>
  <si>
    <t>lambolez-p-124373</t>
  </si>
  <si>
    <t>Je suis satisfait du service et les prix me conviennent.
Chaque demande fait l'objet d'un traitement rapide et la disponibilité des conseillers et leur efficacité est fort appréciable.</t>
  </si>
  <si>
    <t>pigeon-36911</t>
  </si>
  <si>
    <t xml:space="preserve"> INIMAGINABLE !!! C'est peu de le dire: votre contrat d'assurance n'a aucune valeur car cet assureur vous avance des clauses qui ne sont pas inscrites dans votre contrat. Vos communiquations téléphoniques (quand ils sont joignables ) sont orientées pour que la situation soit à leur avantage, pour éviter tout changement ou remboursement. Bref, est-on assuré quand on souscrit chez Direct Assurance ??? Lisez les différents avis et ne faites pas comme moi : après, il est trop tard ! J'ai 3 contrats auto et un contrat habitation chez eux, enfin autant dire que je ne suis pas assuré. Vous voulez quelques détails concrets ? 1) Habitation : sinistre d'infiltration d'eau non pris en charge. Par écrit, les informations sont différentes de ce qu'on vous dit au téléphone. 2) Auto : impossible de changer le conducteur secondaire s'il n'est pas conjoint(e), ascendant(e) ou enfant. Ce sont leurs "clauses internes" comme ils vous répondent, non inscrites dans votre contrat. Il me semble que cela est contraire à la loi. J'ai demandé qu'ils me mettent leurs "clauses maison" (comme ils disent eux-même) par écrit, mais j'attends toujours. 
enfin je résilie tous mes contrats pour en finir avec cet assureur marketing.</t>
  </si>
  <si>
    <t>31/07/2017</t>
  </si>
  <si>
    <t>zacharie-c-121825</t>
  </si>
  <si>
    <t>Très bons conseils à priori. Il est regrettable que les placements en euros ne sont garantis diminués de commissions plus importantes qu'à la concurrence</t>
  </si>
  <si>
    <t>Carac</t>
  </si>
  <si>
    <t>leker-54441</t>
  </si>
  <si>
    <t>La politique  de cet assureur est assez déplaisante. j'ai fait un devis en ligne et quand j'ai voulu m'assurer, le tarif a augmenté de 5eurs et une fois tous les documents envoyés, le tarif a encore augmenter de 5euros, c'est énervant mais si ça ne représente par grand chose</t>
  </si>
  <si>
    <t>03/05/2017</t>
  </si>
  <si>
    <t>hacene--105105</t>
  </si>
  <si>
    <t xml:space="preserve">Je vous déconseille cette assurance ,
Ils sont bien que quand il vous annonce le prix mais faut pas avoir du souci par ce que vous allez jamais être pris en charge et aucun remboursement ne sera fait </t>
  </si>
  <si>
    <t>sissou--114457</t>
  </si>
  <si>
    <t xml:space="preserve">une mutuelle qui ne fait plus son travail depuis qu'elle s'est diversifiée, le virus a bon dos, retard dans le paiement de mes AJ, promesses non tenues, suivant la personne que vous avez au téléphone. </t>
  </si>
  <si>
    <t>abel-67008</t>
  </si>
  <si>
    <t>D'une médiocrité sans nom! Des délais à rallonge, pas d'écoute, pas de dialogue, une attente déraisonnable pour avoir quelqu'un au téléphone, un traitement des dossiers  qui manque de sérieux. Bref à part être moins riche à la fin du mois cette assurance ne sert à rien.</t>
  </si>
  <si>
    <t>21/09/2018</t>
  </si>
  <si>
    <t>mariea-81939</t>
  </si>
  <si>
    <t xml:space="preserve">J'ai été en arrêt maladie (pro) pour intervention chirurgicale de juillet 2017 à novembre 2018, reprise en mi-temps thérapeutique suite à mon arrêt jusqu'au 1er février 2019. Et je n'ai reçu aucune indemnisation d'AG2R. Et lorsque j'appel on me renvoie vers mon employeur, et la secrétaire de mon employeur me réponds nous on a envoyé le dossier.
Je suis de nouveau en arrêt depuis le 27 septembre 2019 et actuellement en mi-temps thérapeutique depuis le 11 novembre 2019 en attente de l'intervention chirurgicale. Je suis a une perte de salaire de 250 euros par mois. et toujours pareil on se renvoie la balle entre l'entreprise et la complémentaire à ce jour aucune explication de cette perte de salaire. </t>
  </si>
  <si>
    <t>15/12/2019</t>
  </si>
  <si>
    <t>muguet-75473</t>
  </si>
  <si>
    <t xml:space="preserve">J'ai eu en ligne le 25 avril une personne de chez Neoliane.Qui me dit au téléphone que selon la nouvelle loi Macron du 1er avril 2019 ma mutuelle actuelle ne remboursait plus l'hospitalisation...Donc pendant une demi heure étant retissante on m'a passe plusieurs personnes au téléphone.Une souscription avec signature électronique est faite.Je n'ai à ce jour pas de contrat en main et je n'ai signé aucuns contrats manuscrit.Cependant ayant des doutes j'appelle Aujourd'hui ma mutuelle qui me dit que personne de chez eux  n'a mandaté cette assurance et que mon contrat n'a pas changé .pratique plus que douteuse c'est Honteux ce genre de procédure.Je me rend compte que je me suis faite avoir.J'ai heureusement 14 jours pour me rétracter chose que je vais faire rapidement </t>
  </si>
  <si>
    <t>herbin-e-136164</t>
  </si>
  <si>
    <t>je suis satisfait  de l'olivier assurance
la conseillère très emphatique
suivi de mon dossier très rapide
je recommande cette compagnie d'assurance 
merci aussi pour le parrainage</t>
  </si>
  <si>
    <t>laurent-h-129475</t>
  </si>
  <si>
    <t xml:space="preserve">je suis satisfait, prix interessant accueil sympathique, j'espère que la suite se passera aussi bien. je fais au final une économie d'environ vingt cinq pourcent </t>
  </si>
  <si>
    <t>25/08/2021</t>
  </si>
  <si>
    <t>chris3166--128776</t>
  </si>
  <si>
    <t xml:space="preserve">Très bon contact avec mon interlocutrice 
Problème résolu Très rapidement. 
Merci pour votre professionnalisme et votre diligence. 
Cordialement 
Christian PANTEL-RULI </t>
  </si>
  <si>
    <t>remi-a-127645</t>
  </si>
  <si>
    <t>Je trouve que les prix de départs sont plutôt cher pour un jeune conducteur. Cependant j'ai souscris à l'assurance car je pense réduire la facture en conduisant convenablement.</t>
  </si>
  <si>
    <t>tomdmt-97611</t>
  </si>
  <si>
    <t xml:space="preserve">A fuir absolument!!!!
J'ai assuré il y a moins de 1 an un premier véhicule chez L'olivier! 
Effectivement c'était l'assureur qui me proposait le prix le plus intéressant! 
J'ai donc décidé d'y assurer mon deuxième véhicule, et là une catastrophe! 
Bris de glace non pris en charge sur le premier véhicule car je ne dispose pas de l'ancien contrôle technique qu'ils me demandent de leur fournir (chose qu'il ne m'ont absolument pas demander pour souscrire à l'assurance).
J'ai donc décidé, sous le délais de 14 jours légaux, de me rétracter afin de ne surtout pas assurer mon deuxième véhicule chez eux : j'envoie comme ils m'ont demandé une lettre en recommandé qu'il ont eux même égaré! 
Il se sont donc mis à me demander la preuve de dépôt alors même que je leur avais fournis l'accusé de réception qui prouve la réception de leur part de cette fameuse lettre! 
J'ai du en arriver à contacter une association de consommateurs qui m'a indiqué que ce genre de cas était fréquent chez L'olivier! 
En bref super prix mais surtout attention à ne pas avoir besoins' d'eux! 
Ce qui est quand même le comble pour un assureur! 
J'aurais essayé mais je préfère maintenant rajouter un peu d'argent afin d'aller chez un assureur plus compétent! </t>
  </si>
  <si>
    <t>19/09/2020</t>
  </si>
  <si>
    <t>pilou-81266</t>
  </si>
  <si>
    <t xml:space="preserve">pilou,j'ai assuré un scooter pour 6 mois du 10/05/2019 au 09/11/2019 (aucun sinistres declarés) et voila que AMV me réclame 77e montant des 6 mois alors que l'hiver je ne roule pas en scooter a 71 ans . pourquoi font il des assurances que pour 6 mois? et là on vois le culot des assurances ... </t>
  </si>
  <si>
    <t>27/11/2019</t>
  </si>
  <si>
    <t>cindy-m-108682</t>
  </si>
  <si>
    <t>Tres SATISFAIT de la rapidité de mon assurance et vous en remercie. Et de votre montant très corecte. Je resterai fidèle à votre assurance. Et encor merci</t>
  </si>
  <si>
    <t>eric21-65350</t>
  </si>
  <si>
    <t>tres bonne accueille ................
très bonnes explications claires et précises évaluation des besoins....................</t>
  </si>
  <si>
    <t>09/07/2018</t>
  </si>
  <si>
    <t>marie-france-t-104966</t>
  </si>
  <si>
    <t xml:space="preserve">Je viens de souscrire, je n'ai encore pas d'avis sur le fonctionnement de votre compagnie..
Pour l'heure, vous avez bien procédé à ,la demande de résiliation auprès de mon ancienne compagnie...
</t>
  </si>
  <si>
    <t>pierre-71858</t>
  </si>
  <si>
    <t>Je suis très satisfait des prestations offertes par l'Olivier assurance. J'ai eu à déclarer 2 sinistres successivement et tout s'est passé sans problème.
De plus les tarifs sont bien situés.</t>
  </si>
  <si>
    <t>04/03/2019</t>
  </si>
  <si>
    <t>mg-110973</t>
  </si>
  <si>
    <t xml:space="preserve">Assurée à la Maif depuis toujours.
Quasiment jamais de demande de remboursement car aucun accident ni rien (sauf une fois où on m'a tordu ma portière il y a plus de 10 ans de cela... 
Il y a peu je me fais braquer mon garage, on me vole des outils et surtout tout mon équipement de moto.
La maif refuse de rembourser mon équipement moto car la moto est la seule chose non assurée chez eux (j'avais fait un devis mais ils sont bcp trop chers pour les motos même âgées et peu puissantes !) 
Bref, presque 1000 euros de perte et zéro remboursement.
On me dit de m'adresser à mon assurance moto pour l'équipement. Sauf que l'assureur moto me dit que ce sont eux qui doivent rembourser car l'équipement était stocké dans le garage au moment des faits. 
Et impossible de se faire entendre.
Tjrs la même rengaine... Vu que la moto n'est pas assurée chez eux, l'équipement stocké dans le garage ne sera pas pris en compte ??
Pourtant je ne roulais pas avec au moment des fais !  Ce sont bien des objets rangés dans le garage assuré chez eux. 
Bref la seule fois où j'en ai vraiment besoin, la maif ne sert à rien.
À quoi bon payer une assurance... 
J'en suis très mécontente et tiens à faire partager mon expérience pour que ça n'arrive pas à d'autres. Je vais également tenter de changer au plus vite d'assurance et vous invite à faire de même si vous êtes chez eux...
Ce ne sont pas des "militants" comme ils le crient si haut dans leur publicité. Fuyez ils ne sont pas sérieux sauf pour encaisser vos paiements. </t>
  </si>
  <si>
    <t>aurelie-63112</t>
  </si>
  <si>
    <t>Dégats des eaux dans mon appartement: Rapide et réactif. En moins d'un mois j'ai été indemnisé ! Déclaration du dégat le matin sur internet, le jour même la matmut m'appelle et m'explique le deroulement. 1 semaine après passage de l'expert qui évalue les dégats, 2 semaines après je reçois le chèque!</t>
  </si>
  <si>
    <t>10/04/2018</t>
  </si>
  <si>
    <t>farsabdi-112584</t>
  </si>
  <si>
    <t xml:space="preserve">À éviter ABSOLUMENT! Aujourd'hui un conseiller a appelé mon mari en lui proposant de souscrire à une assurance de prévoyance.  Et là mon mari a gentiment répondu de ne pas être intéressé.  MAIS LE CONSEILLER À DIT "DÉGAGE " et a raccroché au nez.  
C'EST INADMISSIBLE DE APPELER LES GENS EN LES DÉRANGEANTS ET LES INSULTER !!!! HONTEUX </t>
  </si>
  <si>
    <t>voignier-l-123423</t>
  </si>
  <si>
    <t>très satisfait, et d'une rapidité exemplaire, niveau tarifs ils sont très attractifs. peu cher pour un conducteur qui à encore 6 mois de permis probatoire et ideal.</t>
  </si>
  <si>
    <t>14/07/2021</t>
  </si>
  <si>
    <t>filiol-c-124285</t>
  </si>
  <si>
    <t xml:space="preserve">Conseillé par ma famille, devis rapide et efficace. Juste plusieurs choix du véhicule malgré une recherche avec l’immatriculation. Nous verront si par la suite ce sera aussi bien. </t>
  </si>
  <si>
    <t>anne-g-106860</t>
  </si>
  <si>
    <t xml:space="preserve">je suis très satisfaite, bonne réactivité
Réponse rapide à toutes demandes
Prix attractifs
Rien à signaler
Toujours à votre écoute
Je recommande cette assurance
</t>
  </si>
  <si>
    <t>pjm-134832</t>
  </si>
  <si>
    <t xml:space="preserve">LA MGP, Humaniste!? parlons-en, j'ai fait confiance, adhérent depuis toute ma carrière et pour toute la famille. A la retraite mes cotisations étaient montées si haut que j'ai pris dû  prendre une autre mutuelle pour ma femme qui elle a perdu son contrat dépendance/décès pour lequel j'ai cotisé toute ma vie.
Le pire aujourd'hui  j'ai dû passé de la GARANTIE tradition à  DECOUVERTE  !!!
Bien sûr on n'est plus rentable et___ au moment où l'on a besoin d'être aidé plus personne___
Ce jour c'est ma femme qui gère mon dossier, le fait que mon contrat fonctionne avec son N° de téléphone et son mail on nous demande une procuration ce qui me paraît normal, ce qui l'est moins c'est que cette pièce on doit nous l'envoyer et elle n'arrive jamais,
Ma femme; qui a aussi des problème de santé, depuis janvier réclame  L 'ACCES à mon espace qui est vide -- depuis des mois Je ne peux plus vérifier mon compte AMELIE. 
 ___ la MGP c'était bien avant  et l'enfer pour la retraite!!! 
</t>
  </si>
  <si>
    <t>liv-m-110195</t>
  </si>
  <si>
    <t>C'est très rapide de souscrire un contrat.
Les tarifs sont correctes.
Simple et efficace.
Je vous souhaite une très bonne journée!
A très bientôt!
Cordialement</t>
  </si>
  <si>
    <t>malili-129384</t>
  </si>
  <si>
    <t>L'attente téléphonique est peu importante pour prise en compte de nos appels par un conseiller. Les conseillers clientèles sont très accueillants , polis et précis dans leur réponses</t>
  </si>
  <si>
    <t>patrick-67640</t>
  </si>
  <si>
    <t>Assuré chez AD depuis des années, ma cotisation assurance habitation à augmentée de 41% en 2 ans, sans AUCUN sinistre. Je suis chez DA depuis plus de 15 ans et suis en train de résilier un à un tous mes contrats chez eux. Pas correct du tout!</t>
  </si>
  <si>
    <t>13/10/2018</t>
  </si>
  <si>
    <t>mel7475-71636</t>
  </si>
  <si>
    <t xml:space="preserve">Franchise très cher lors de sinistre (assurer tous risques+option) 
Résiliation très rapide lors de deux sinistre non responsable </t>
  </si>
  <si>
    <t>25/02/2019</t>
  </si>
  <si>
    <t>delphine-79009</t>
  </si>
  <si>
    <t>Tout est utilisé comme subterfuge par Afer pour ne pas vous rendre votre argent.
RIB non à jour, délais plus longs en été sans prévenir les clients, remboursement d'avances rendant impossible un rachat avant 56 jours. Pourquoi nous ne savons pas? A fuire</t>
  </si>
  <si>
    <t>christian-s-109922</t>
  </si>
  <si>
    <t>JE SUIS satisfait et les prix me conviennent les procédures sont simples et les dépannages bien assurés et rapides j'aime aussi l'assistance 0 KM qui rassure</t>
  </si>
  <si>
    <t>sophie-w-109842</t>
  </si>
  <si>
    <t xml:space="preserve">Interlocuteur plus que professionnel . Toujours à l'écoute et bien évidemment prêt à faire le maximum afin de satisfaire le client . Je suis très satisfaite de la prestation . </t>
  </si>
  <si>
    <t>juve1974-86956</t>
  </si>
  <si>
    <t xml:space="preserve">Etant client MAAF depuis de très nombreuses années (plus de 20 ans) , avec 8 contrats en cours et jamais aucun sinistre déclaré, c'est avec stupeur que j'ai pu constater la mauvaise qualité de conseil que l'on m'a fournit lorsque j'ai souhaité parrainer un futur client
Je suis très déçu par le manque de communication des différents services qui impact directement nos agendas
c'est assez étonnant de voir comment MAAF traite ses clients ,a croire qu'ils souhaitent les voir partir
</t>
  </si>
  <si>
    <t>10/02/2020</t>
  </si>
  <si>
    <t>mariezoff-129559</t>
  </si>
  <si>
    <t>Facilement joignable Georges a répondu avec courtoisie et précision pour répondre à mes besoins Georges a su être  à l'écoute  de mes interrogations ??</t>
  </si>
  <si>
    <t>marine59-61615</t>
  </si>
  <si>
    <t>En date de 02/2016, j’ai eu un accident de la circulation, aucun frais n’est sorti de ma poche, remboursement corporel et je suis en possession d’un relevé d’informations notifiant ce sinistre en RC0%. À aujourd’hui mon agent m’indique que mon CRM va être malussé! Pour quel motif ? Que vous vous êtes fait contesté sur le cas IDA ce n’est pas mon soucis.
J’exige une confirmation de votre part notifiant ce sinistre en non responsable et d’un coefficient bonus qui évoluera à la baisse comme prévu à 0,76.</t>
  </si>
  <si>
    <t>romain-r-128961</t>
  </si>
  <si>
    <t xml:space="preserve">Simple et efficace , les prix sont vraiment correct , et le fait de pouvoir assurer une moto sportive chez cet assureur est un vrai plus que ne propose pas certaines assurances </t>
  </si>
  <si>
    <t>filou-113967</t>
  </si>
  <si>
    <t xml:space="preserve">j’ai pris cette assurances cette année j’ai deja eux des malversations avec eux ils voulais deja me prélevé avant le mois prévu ensuite je viens d m’apercevoir que ma femme n’est pas assuré par contre je paye tous les mois sa fait trois mois que j’attend les remboursements je viens d’envoyer un recommander pour savoir pourquoi ma femme n’est pas assuré et ensuite pour les remboursements si je n’ai pas de reponse dans la semaine j’arrête les cotisations de ma femme et prendrais une autre mutuelle ensuite je vais faire pareils pour moi si aucun remboursements n’est fait je vais même pas chercher a comprendre j’attendrais pas un an </t>
  </si>
  <si>
    <t>arnoldi-n-115583</t>
  </si>
  <si>
    <t>Je suis satisfait du service de plus le délai pour recevoir la carte verte est acceptable.
La visibilité de mon espace personnel est très intuitive. Merci</t>
  </si>
  <si>
    <t>coquel-m-113294</t>
  </si>
  <si>
    <t>compliqué de contractualiser j'y ai passé la journée....support client aimable mais procédure complexe et nombreux bug , tarifs qui varient a chaque devis</t>
  </si>
  <si>
    <t>margaux-m-134062</t>
  </si>
  <si>
    <t xml:space="preserve">Je suis satisfaite du service, les prix sont correctes et surtout c'est simple et rapide de se faire assurer. Tout se fait en ligne donc pas besoin de se déplacer. </t>
  </si>
  <si>
    <t>olivier-g-137473</t>
  </si>
  <si>
    <t>Je suis satisfait, vos services sont bien les prix correct et aussi la rapidité des démarches mon fils et assure chez vous et aussi content de vos services</t>
  </si>
  <si>
    <t>14/10/2021</t>
  </si>
  <si>
    <t>val45-122141</t>
  </si>
  <si>
    <t xml:space="preserve">Bonjour,  je n'ai jamais eu à me plaindre de cette mutuelle pour mon chien depuis 2 ans. 
Je les quitte, non pas pour une insatisfaction, mais pour une nouvelle car pour 2e de plus, il y a un remboursement à 100% sur frais maladie et accidents au lieu de 60%. </t>
  </si>
  <si>
    <t>jaga37-105745</t>
  </si>
  <si>
    <t>Je déconseille fortement cette assurance ,après 30 ans de fidélité ,je suis à la recherche d'une autre assurance ,car la MACIF qui devait rembourser 50€ à ses sociétaires ou bien ne pas augmenter les tarifs dû au confinement,n'a rien trouver de mieux que de ne rien rembourser mais de plus ,la MACIF à augmenter ses tarifs ,UNE HONTE! Ils parlent de sociétaires ,ils feraient mieux de dire ACTIONNAIRES ,car leur seul but est de se remplir les poches !</t>
  </si>
  <si>
    <t>claireb-91876</t>
  </si>
  <si>
    <t xml:space="preserve">Declaration sinistre (vandalisme; vehicule parké sur la place du village a deux pas de mon domicile) faite sur internet le 7 Decembre 2020. Nous sommes le 26 Decembre 2020, et aucune mais aucune et vraiment aucune réponse ou signe de vie de la MAtmut. Sinistre toujours non pris en compte malgré process parfaitement bien finalisé et numero attribué lors de la saisie; J'ai effectué deux relances par messages envoyés depuis leur site toujours sans reponses. Je souhaite bon courage aux personnes agées qui auraient besoin des services de la Matmut. 
En revanche, comme d'habitude, facture d'echeance pour la periode de janvier a juin 2021 recue il y a longtemps. </t>
  </si>
  <si>
    <t>26/12/2020</t>
  </si>
  <si>
    <t>dethan-k-112787</t>
  </si>
  <si>
    <t>Bonjour Je suis satisfait de l’olivier merci a vous qualité prix rien à dire pour jeunes permis je recommande cette assurance merci À tout le monde ..</t>
  </si>
  <si>
    <t>stephane-b-109773</t>
  </si>
  <si>
    <t>Encore un peu trop cher , pour auto qui sont très anciennes déjà !!
car j'étais avant chez d'autre concurrent ,c'était aussi cher , j'aimerais pouvoir avoir encore des reductions , car j'ai plus de 50% de bonus + sans accident .</t>
  </si>
  <si>
    <t>parice-66900</t>
  </si>
  <si>
    <t xml:space="preserve">Sinistré le 17 janvier 2018  on m’a comptabilisé 3 fois le même accident, j’ai appris sa quand j’ai appeler le service client après la réception d’une lettre qui m’indiquer que mon contrat serais résilié à la date d’anniversaire (août),j’ai donc appelé le service client à me réception de cette lettre la personne que j’ai eu m’a affirmer que c’était une erreur de leurs part et que donc je n’en serais pas résilié. Mais  au mois d’août je faisais mes compte et je me suis apperçut que je n’avais pas était prélevé pour mon assurance j’ai donc consulté mon espace client et à ma grande surprise mon contrat a était résilié. J’ai donc rappelé l’assurance j’ai du réexpliquer mon histoire on m’a dit que mon contrat n’aurais pas dû être résilié qu’il allais régler sa au plus vite et qu’il me rappèlerais aujourd’hui sa fais 2 semaines que j’ai rappeler rien a évoluer on es au mois de septembre et aucune démarche commercial de leur pars alors que c’est eux qui on fais l’erreur </t>
  </si>
  <si>
    <t>17/09/2018</t>
  </si>
  <si>
    <t>ouadheh-z-105740</t>
  </si>
  <si>
    <t xml:space="preserve">Assistance très insatisfaisante en cas de sinistre 
Après mon accident sur le chemin du retour du travail 
Ma voiture a été enlevée et j'étais livré à moi même 
</t>
  </si>
  <si>
    <t>georges-d-131972</t>
  </si>
  <si>
    <t>Je n'ai rien a rien à redire, simple et efficace et top niveau prix!                                                                                    .</t>
  </si>
  <si>
    <t>raphael-d-129574</t>
  </si>
  <si>
    <t>Client depuis 5ans,
J'ai eu un litige et une panne, à chaque fois géré haut la main.
Sur le plan tarifaire, le placement est correct, je suis un client regardant de ce côté et je dois reconnaître que l'olivier est tres bien placé sur le marché au vu des garanties proposées.
bref quand tout fonctionne et que c'est transparent, je ne change pas de maison :) !</t>
  </si>
  <si>
    <t>pissard-m-107483</t>
  </si>
  <si>
    <t>Les prix sont tout de même élevés. J'espère avoir dans les années à venir des réductions sur le prix global de l'assurance, pour ne pas avoir envie de changer d'assureur.</t>
  </si>
  <si>
    <t>algar-95093</t>
  </si>
  <si>
    <t xml:space="preserve">6 contrats chez Allianz et très ancien client.
Une seule déclaration sinistre automobile sur ces nombreuses années. Service Indemnisation a opté pour clôture définitive sans indemnisation sans vouloir entendre qu'il avait peut-être mal enregistré le sinistre et malgré avis Expert mandaté.  
</t>
  </si>
  <si>
    <t>24/07/2020</t>
  </si>
  <si>
    <t>el-halimi-m-107098</t>
  </si>
  <si>
    <t xml:space="preserve">Je suis très satisfait de vos services et je conseille vos prestations à tous membres de ma famille et mes amis ainsi aux collègues de travail et de mon entourage </t>
  </si>
  <si>
    <t>18/03/2021</t>
  </si>
  <si>
    <t>lolote-65784</t>
  </si>
  <si>
    <t>Cliente depuis de nombreuses années, je ne suis plus du tout satisfaite de l'agence d'Issoire, de nombreux changements!!!! Très difficile à joindre au tel: 5 appels avant que quelqu'un décroche, on doit me rappeler, j'attends encore...2h30 plus tard et toujours rien</t>
  </si>
  <si>
    <t>26/07/2018</t>
  </si>
  <si>
    <t>stephane-b-128826</t>
  </si>
  <si>
    <t>Les 10% ne se font pas sur le 2e véhicule, c'est bien dommage....
Les offres ne sont pas claires après la seconde souscription !
Faut-il avoir  véhicules pour avoir une telle offre ??</t>
  </si>
  <si>
    <t>parmentier-t-121373</t>
  </si>
  <si>
    <t>Tarif abordable , le faite de pouvoir souscrire en ligne reste pratique , le site reste toute fois assez difficile a mettre en place . Mais cela reste pratique</t>
  </si>
  <si>
    <t>fred-02-54184</t>
  </si>
  <si>
    <t xml:space="preserve">Inscrit depuis le premier janvier 2017 à cette mutuelle, je n'ai à ce jour (20 avril 2017) toujours pas reçu la moindre carte d'adhérent..Je paye malgré tout la somme de 98 euros/mois. N'ayant pas d'autre couverture j'ai pour le moment été obligé de payer mes frais de santé de ma poche ainsi que ceux de mon épouse et enfants. </t>
  </si>
  <si>
    <t>20/04/2017</t>
  </si>
  <si>
    <t>oulaidi-a-113265</t>
  </si>
  <si>
    <t xml:space="preserve">je suis satisfait du prix et des conditions mentionnées dans le contrat au moment de signé électroniquement et merci à la conseillère fort sympathique </t>
  </si>
  <si>
    <t>onlyjaune-50205</t>
  </si>
  <si>
    <t>J'ai choisi MMAF pour leur tarif proposé en ligne et dès la 1ère année, j'ai eu la très désagréable surprise de voir augmenter mon tarif annuel alors que je n'ai eu aucun accident!</t>
  </si>
  <si>
    <t>13/12/2016</t>
  </si>
  <si>
    <t>maiannah-41879</t>
  </si>
  <si>
    <t>Augmentation de 70 euros en l'espace de 1 an de ma cotisation pour mon assurance logement.J appelle la MACIF qui est totalement incapable de me donner la raison du comment et du pourquoi.
Ma cotisation passe donc de 150 euros à 220 euros et ce sans aucune raison !</t>
  </si>
  <si>
    <t>sicard-a-135201</t>
  </si>
  <si>
    <t xml:space="preserve">bon accueil de la part de interlocuteur, le prix reste correct et compétitif en comparaison sur plusieurs devis reçus...  
service rapide et sympathique </t>
  </si>
  <si>
    <t>christophe-c-132973</t>
  </si>
  <si>
    <t>Dans l'attente de la découverte des rapports assureur/assuré. Espérons que le prix recouvre un service efficient, même s'il serait dommage d'avoir un sinistre après plus de quarante ans d'assurance sans sinistre responsable.</t>
  </si>
  <si>
    <t>sylvie-c-121967</t>
  </si>
  <si>
    <t xml:space="preserve">Prix compétitifs  
Très satisfaite notamment du Conseiller qui m'a contacté : Très professionnel ! 
A l'écoute - dans le conseil - réel accompagnement et suivi client, grande réactivité.
</t>
  </si>
  <si>
    <t>bourokba-a-119108</t>
  </si>
  <si>
    <t>Je suis satisfait dans un premier temps du tarif, cependant je reste septique par rapport à l'obligation de contrat d'une année avec renouvellement tacite.</t>
  </si>
  <si>
    <t>kaba-a-124943</t>
  </si>
  <si>
    <t>Je suis ravi du service de l'olivier assurance. Un système de création de contrat facile et accessible à Monsieur Tout le monde. Vraiment merci et bravo.</t>
  </si>
  <si>
    <t>hacheme-107419</t>
  </si>
  <si>
    <t>Assuré tous risques depuis plus de 40ans aujourd'hui la MAIF n'est plus ce qu'elle était dans le passé. Toutes responsabilités données aux délégations ont été retirées pour être transmises au siège Social à NIORT.Les dossiers trainent plus d'un an avant d'être vraiement oscultés avec un service sinistre complètement incompétent se basant sur les devis d'expertise bidons gonflés pour envoyer les véhicules à la casse.Je détiens toutes les preuves
de leur incompétence avec des devis contradictoires.Quant aux militantes MAIF,elles ne vous défendent absolument pas mais plutôt vous enfoncent avec un dossier qu'elles ne possedent pas.J'ai saisi le médiateur des assureurs pour revoir entièrement le dossier.</t>
  </si>
  <si>
    <t>frisette-86798</t>
  </si>
  <si>
    <t>en cas d accident même en tout risque ,l expert s arrange ....et je n ai eu aucun remboursement .l expert  m a même dit que j avais triché !
j avais 60 ans ,pas d accidents responsables depuis l age de 18 ans ...un comble !
j ai été stupéfaite d être traitée comme ça mais comme j étais très malade à l époque j ai pas eu le courage de leur faire un procès .
j ai fais une erreur gravissime en allant chez eux et je n ai de cesse que de prévenir les gens pour qu ils ne fassent pas la même erreur que moi !
la matmut est une assurance peut recommandable</t>
  </si>
  <si>
    <t>08/02/2020</t>
  </si>
  <si>
    <t>dauod-62014</t>
  </si>
  <si>
    <t>Assureur a éviter a tout prix !!!!  client depuis 30 ans, ils ont refusé de rembourser plusieurs biens de valeur dérobés lors d'un cambriolage, alors que j'avais donné toutes les pieces justificatives factures etc....   
Ils m'ont demandés des documents supplémentaires impossible a obtenir qui n'etaitent pas prévu dans mon contrat.   A éviter a tout prix.</t>
  </si>
  <si>
    <t>05/03/2018</t>
  </si>
  <si>
    <t>dudu02717-71043</t>
  </si>
  <si>
    <t xml:space="preserve">Je suis chez eux depuis plus d'un an et demi et tout se passe bien ! Le prix est intéressant, les conseillers sont dispos et compétents ! Pour une première expérience chez un assureur sans agence, c'est très bien ! </t>
  </si>
  <si>
    <t>07/02/2019</t>
  </si>
  <si>
    <t>thib57000-101624</t>
  </si>
  <si>
    <t>Je suis satisfait de ma mutuelle, avec une bonne couverture santé. Le personnel est très réactif par téléphone pour répondre à mes sollicitations, je la recommande</t>
  </si>
  <si>
    <t>sandrine-s-128170</t>
  </si>
  <si>
    <t>Je suis très satisfaite de vos services -Personnel toujours très aimable et à l'écoute. Pas d'attente quand on appelle prise en charge très rapide. Et très bon suivi des dossiers.</t>
  </si>
  <si>
    <t>najjar-n-117545</t>
  </si>
  <si>
    <t xml:space="preserve">JE SUIS SATISFAIT DE SERVICE ET DE LA CONSEILLERE QUI VEHICULE UNE BONNE IMAGE DE L'ENSEIGNE.
ESPACE CLIENT SIMPLE ET EFFICACE.
MERCI ET EXCELLENTE JOURNEE
</t>
  </si>
  <si>
    <t>marparis-68684</t>
  </si>
  <si>
    <t xml:space="preserve">Suite au sinistre qui s'est produit il y a un an, je n'ai pas eu de réponse de la part d'AXA. Ma voiture a été réparée par un garagiste CDA Morangis du réseau AXA et comme le dossier est toujours ouvert j'ai du payer moi-même la réparation. Le garagiste a mal fait son travail, j'ai présenté des prouves a AXA et quatre mois plus tarde, j'attends toujours pour avoir le contact d'une personne du service clientèle AXA pour donner suite a la plainte. 
Le processus complet a été pour moi une expérience horrible et le demeure encore aujourd'hui.  </t>
  </si>
  <si>
    <t>16/11/2018</t>
  </si>
  <si>
    <t>favabiavin-123476</t>
  </si>
  <si>
    <t xml:space="preserve">Réponse de favabiavin  jeudi 15 juillet 2021 à 12:34
Bonjour, je confirme les propos tenus par Sebalex34. Mon mari est décédé le 1er Avril, et nous avions un prêt immobilier BNP assuré par CARDIF. J'ai adressé une demande de prise en charge à mon conseillé BNP. Après avoir rempli tous les documents demandés, certificat de décès, attestation du médecin de la date des premières manifestations de la pathologie qui a causé son décès, j'ai du attendre 3 mois pour recevoir un avis de refus de prise en charge au motif que la maladie aurait été antérieure à la souscription de l'assurance.... Notre médecin a bien écrit que la première manifestation date de 2019, mais CARDIF a mis 2 mois à lire "2015" au lieu de "2019". Donc par téléphone on me dit qu'il faut faire une lettre de contestation refaire remplir le questionnaire médical, et produire une attestation de mon médecin confirmant la date portée sur le 1er questionnaire. Je fais tout cela en une semaine et j'envoie tout par mail; on m'annonce une réponse dans les 5 jours. Cependant à la date prévue aucune réponse, et maintenant on me parle de 5 semaines pour que le service réclamation daigne prendre connaissance de ma contestation. En attendant la succession est bloquée et je continue à ayer les mensualités du crédit. Quand je demande pourquoi 5 semaines pour rectifier une simple erreur de lecture? CARDIF répond "c'est la procédure". Aucune empathie, aucune considération pour l'humain, société d'assurance indifférente, rigide et non réactive, devrait changer de domaine d'intervention!
image
</t>
  </si>
  <si>
    <t>pedro-125157</t>
  </si>
  <si>
    <t xml:space="preserve">Pour le moment très bonne mutuelle très réactive que pour les remboursements ou autres problèmes rencontrés. Je recommande vivement la MGP . Rien de particulier à leur reprocher. </t>
  </si>
  <si>
    <t>anthony-p-116002</t>
  </si>
  <si>
    <t xml:space="preserve">Je suis satisfait de l’écoute et de la compréhension du personnel , très direct et à l’écoute de ça clientèle  , j’ai beaucoup apprécier, je recommande </t>
  </si>
  <si>
    <t>rachid-s-111575</t>
  </si>
  <si>
    <t xml:space="preserve">je suis  satisfait des tarifs bon rapport qualité prix et bon service client a l écoute pour renseigner le client
je recommande direct assurance pour les futur contrat  </t>
  </si>
  <si>
    <t>25/04/2021</t>
  </si>
  <si>
    <t>pierre-z-109734</t>
  </si>
  <si>
    <t>bonjour 
je suis surpris que l'on me remet une facture supplémentaire de 8,08 euro alors que votre devis (photocopie jointe  à mon paiement N° 74 par chèque )stipulait 157,68 euro 
en qualité de retraité officier de police ,j'ai respecté à la lettre par souci d'éducation ?
bien cordialement</t>
  </si>
  <si>
    <t>clement-n-122851</t>
  </si>
  <si>
    <t>L'ensemble me convient, 5 étoiles l'année prochaine si le tarif est moins élevé.
J'ai apprécié la simplicité pour souscrire au Contrat.
Cordialement. C.NAURAIS</t>
  </si>
  <si>
    <t>08/07/2021</t>
  </si>
  <si>
    <t>christine-m-110933</t>
  </si>
  <si>
    <t>vous êtes une assurance , rapide et sérieuse ! 
vous prenez en main les problèmes de vos clients ! 
vous avez des explications claires et nettes  !
vous êtes l'assurance la moins chère que j'ai connue jusqu'ici !</t>
  </si>
  <si>
    <t>19/04/2021</t>
  </si>
  <si>
    <t>Je suis très satisfaite des services et du professionnalisme du courtier juste parfait très à l'écoute, avec beaucoup de courtoisie avec  beaucoup d'explications.</t>
  </si>
  <si>
    <t>marco-81589</t>
  </si>
  <si>
    <t xml:space="preserve">Si vous cherchez une assurance correcte passer votre chemin la Macif vous demande de payer une somme puis ne vous aide pas en cas de sinistre de plus m explique que je ne peux pas assurer ma moto car elle est trop grosse (je possède un permis A2 c est une moto A2 ) je vous le déconseille donc vivement et vous devriez vous réorienter des que possible si vous n'avez pas encore eu de sinistre  </t>
  </si>
  <si>
    <t>jph-87893</t>
  </si>
  <si>
    <t>Vraiment très déçu et obligé d'attendre la fin d'année pour résilier. Cherchez une autre mutuelle vous serez déçu c'est sûr.</t>
  </si>
  <si>
    <t>03/03/2020</t>
  </si>
  <si>
    <t>karin-110492</t>
  </si>
  <si>
    <t>2 mois après le décès et bien que l'assureur ait eu l'information avec tous les éléments, aucune nouvelle l'assurance vie. Il y a pourtant bien une obligation légale de donner suite dans le mois mais Generali s'en moque... 1 étoile parce que 0 n'était pas possible</t>
  </si>
  <si>
    <t>15/04/2021</t>
  </si>
  <si>
    <t>francis-k-135355</t>
  </si>
  <si>
    <t>SATISFAIT! SIMPLE ET RAPIDE
 POUR LA EME FOIS JE M ABONNE FOIS JE M ACHETE UN DEUX ROUES MOTORISé ! et sans me poser de questions je me suis naturellement dirigé chez vous .</t>
  </si>
  <si>
    <t>roxane-c-133803</t>
  </si>
  <si>
    <t>Je suis satisfait du service les prix me convienne simple et pratique je souhaite avoir plus d'offre, je vous en remercie pas avance bien cordialement .</t>
  </si>
  <si>
    <t>ab-122126</t>
  </si>
  <si>
    <t>Cette assurance habitation et de manière générale toues les assurances Sogessur sont à fuir. La pratique de cette assureur est toujours défavorable à l'assuré. Alors que les conditions générales et particulières sont d'interprétation stricte, la Sogessur fait une interprétation très personnelle des clauses du contrat en ajoutant des conditions non connues de l'assuré et de tout évidence non contractuelles, ce qui lui permet de s'exonérer de toute prise en charge. En bref, vous payez une assurance mais l'assureur ne prendra jamais votre sinistre en charge car il trouvera toujours une bonne raison de ne pas le faire. Je vous conseille d'aller voir d'autres assureurs plus compétitifs et plus professionnels.</t>
  </si>
  <si>
    <t>jc-100380</t>
  </si>
  <si>
    <t xml:space="preserve">Tant que l on paie ça va 
Par contre traitement en cas de sinistre lamentable 
Ils font traîner les dossiers ( perso bris de glace )
Éviter cette assurance </t>
  </si>
  <si>
    <t>20/11/2020</t>
  </si>
  <si>
    <t>steve59490-97268</t>
  </si>
  <si>
    <t>Assurance qui augmente chaque année, depuis 10 ans sans sinistres,ne répond pas aux mails et il faut se battre chaque année pour une réduction,j’ai enlevé un véhicule de chez eux en début d’année et je vais enlevé le deuxième incessamment sous peu, pas chère la première année mais ensuite ils vous expliquent que vous payez pour les autres.</t>
  </si>
  <si>
    <t>10/09/2020</t>
  </si>
  <si>
    <t>gouas-d-111544</t>
  </si>
  <si>
    <t xml:space="preserve">Accueil très agréable conseiller très professionnel est très à l'écoute, prix très accessible je le recommanderai à tout mon entourage merci de votre confiance </t>
  </si>
  <si>
    <t>24/04/2021</t>
  </si>
  <si>
    <t>jacky-b-125301</t>
  </si>
  <si>
    <t>Pratique, assistance pas facile de trouver les garanties couvertes par le Pass Auto, Merci de m'indiquer la marche à suivre, par mail, Merci de votre attention</t>
  </si>
  <si>
    <t>maud34-100566</t>
  </si>
  <si>
    <t xml:space="preserve">Contrairement à tous les avis négatifs que je lis sur cette assurance, pour ma part, je n'ai eu aucun soucis. Vaccin et soins médicaux, tout a été pris en compte rapidement et conformément à mon contrat d'assurance. De plus les demandes de remboursement sont simples à réaliser via l'espace client. </t>
  </si>
  <si>
    <t>dhalluin-l-124598</t>
  </si>
  <si>
    <t>Toujours  trop cher pour un jeune permis......mais moins cher  qu'ailleurs !!  Je remercie Annie pour la patience et amabilité  lors de l'établissement  de ce contrat...!!</t>
  </si>
  <si>
    <t>24/07/2021</t>
  </si>
  <si>
    <t>gwen64-80228</t>
  </si>
  <si>
    <t xml:space="preserve">Jamais eu de problème la souscription c'est très bien passé
Envoi des document la carte provisoire envoyé le jour même pour ma part 
Prix pas élevé du tous j'y suis depuis 3 ans et j'etait jeune permis à se moment la 
C'était la moin cher de tous les autres se qui ma permis de m'assurer
Et je compte assuré ma nouvelle voiture chez eux encore une fois </t>
  </si>
  <si>
    <t>19/10/2019</t>
  </si>
  <si>
    <t>pichou52-53198</t>
  </si>
  <si>
    <t>pour des raisons de commodité j'ai acheté mon véhicule le 23 décembre 2016 conformément à sa pratique professionnelle et le code des assurances n'étant assuré qu' à partir du 24 décembre 2016 mon garagiste me l'a remis le 24 et je me vois taxé de 20% de ma prime pour mise en conformité de la date d'acquisition du véhicule 
pour un jour où il ne pouvait rien se passer et où l'olivier ne m'aurait de toute façon rien remboursé si un éventuel accident se serait produit
mon n° de contrat 1080141098 merci de revenir sur votre décision - Pichou52</t>
  </si>
  <si>
    <t>12/03/2017</t>
  </si>
  <si>
    <t>moise-m-122561</t>
  </si>
  <si>
    <t xml:space="preserve">L'offre semble correcte. A ce stade, il me semble prématurer d'en dire plus. Les prix me semble être dans la fourchette de ce que propose la concurrence. </t>
  </si>
  <si>
    <t>06/07/2021</t>
  </si>
  <si>
    <t>tetel-50503</t>
  </si>
  <si>
    <t>Au secours un manque de professionnalisme , on me supprime un conducteur sans m'en avertir et sans aucune consigne de ma part : résultat on conduit depuis 1 an et demi sans assurance BRAVO LA MACIF</t>
  </si>
  <si>
    <t>20/12/2016</t>
  </si>
  <si>
    <t>chacelas-j-114231</t>
  </si>
  <si>
    <t xml:space="preserve">Bonjour Madame, Monsieur,
Il y a eu un malentendu concernant les informations qui ont été prises en compte. Le dossier avait pourtant bien été validé avec votre service.
En instance de votre retour.
Céline CHACELAS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</si>
</sst>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IFERROR(__xludf.DUMMYFUNCTION("GOOGLETRANSLATE(C2,""fr"",""en"")"),"The recidivist driver is disabled defect in the inspected state of the stretch of flight offense
Lassurance certifies that they suspended gold I had to pay the subscription that I refused")</f>
        <v>The recidivist driver is disabled defect in the inspected state of the stretch of flight offense
Lassurance certifies that they suspended gold I had to pay the subscription that I refused</v>
      </c>
    </row>
    <row r="3">
      <c r="A3" s="2">
        <v>1.0</v>
      </c>
      <c r="B3" s="2" t="s">
        <v>18</v>
      </c>
      <c r="C3" s="2" t="s">
        <v>19</v>
      </c>
      <c r="D3" s="2" t="s">
        <v>20</v>
      </c>
      <c r="E3" s="2" t="s">
        <v>21</v>
      </c>
      <c r="F3" s="2" t="s">
        <v>15</v>
      </c>
      <c r="G3" s="2" t="s">
        <v>22</v>
      </c>
      <c r="H3" s="2" t="s">
        <v>23</v>
      </c>
      <c r="I3" s="2" t="str">
        <f>IFERROR(__xludf.DUMMYFUNCTION("GOOGLETRANSLATE(C3,""fr"",""en"")"),"Following a dispute on a non -responsible disaster linked to a motorcycle flight, later found, the mutual of bikers gave the garage to repair the damage, then retracted after the repair and to refused to pay him for the slightest penny. I then had the cho"&amp;"ice, either to leave my motorcycle to the garage, or to recover it by taking care of all the costs incurred. Is it legal to authorize a garage to make repairs and then, when made, refuse refund? Shouldn't we think before and not give the agreement? Especi"&amp;"ally since the flight was very real and all the evidence was brought.
In short.
A perfect summary of the situation of decay of this mutual. A barely veiled practice of deliberate obstruction of the sinister file. In other words, ""above all do not pay a"&amp;"nything""!
The key to their success, probably discouraging the members who no longer have the energy to fight in front of so much indifference, incompetence and arrogance. Despite a sympathetic and pragmatic advisor but whose function is only that of sel"&amp;"ling contracts since she has no decision -making power, we have no other solution than to make a complaint with the Mediation Service. What time of time, and immeasurable energy.
RUN AWAY !
")</f>
        <v>Following a dispute on a non -responsible disaster linked to a motorcycle flight, later found, the mutual of bikers gave the garage to repair the damage, then retracted after the repair and to refused to pay him for the slightest penny. I then had the choice, either to leave my motorcycle to the garage, or to recover it by taking care of all the costs incurred. Is it legal to authorize a garage to make repairs and then, when made, refuse refund? Shouldn't we think before and not give the agreement? Especially since the flight was very real and all the evidence was brought.
In short.
A perfect summary of the situation of decay of this mutual. A barely veiled practice of deliberate obstruction of the sinister file. In other words, "above all do not pay anything"!
The key to their success, probably discouraging the members who no longer have the energy to fight in front of so much indifference, incompetence and arrogance. Despite a sympathetic and pragmatic advisor but whose function is only that of selling contracts since she has no decision -making power, we have no other solution than to make a complaint with the Mediation Service. What time of time, and immeasurable energy.
RUN AWAY !
</v>
      </c>
    </row>
    <row r="4">
      <c r="A4" s="2">
        <v>5.0</v>
      </c>
      <c r="B4" s="2" t="s">
        <v>24</v>
      </c>
      <c r="C4" s="2" t="s">
        <v>25</v>
      </c>
      <c r="D4" s="2" t="s">
        <v>13</v>
      </c>
      <c r="E4" s="2" t="s">
        <v>14</v>
      </c>
      <c r="F4" s="2" t="s">
        <v>15</v>
      </c>
      <c r="G4" s="2" t="s">
        <v>26</v>
      </c>
      <c r="H4" s="2" t="s">
        <v>27</v>
      </c>
      <c r="I4" s="2" t="str">
        <f>IFERROR(__xludf.DUMMYFUNCTION("GOOGLETRANSLATE(C4,""fr"",""en"")"),"I am satisfied with the services and prices offered. I pay much cheaper than my old insurance. the price and practically forty percent cheaper")</f>
        <v>I am satisfied with the services and prices offered. I pay much cheaper than my old insurance. the price and practically forty percent cheaper</v>
      </c>
    </row>
    <row r="5">
      <c r="A5" s="2">
        <v>4.0</v>
      </c>
      <c r="B5" s="2" t="s">
        <v>28</v>
      </c>
      <c r="C5" s="2" t="s">
        <v>29</v>
      </c>
      <c r="D5" s="2" t="s">
        <v>30</v>
      </c>
      <c r="E5" s="2" t="s">
        <v>31</v>
      </c>
      <c r="F5" s="2" t="s">
        <v>15</v>
      </c>
      <c r="G5" s="2" t="s">
        <v>32</v>
      </c>
      <c r="H5" s="2" t="s">
        <v>33</v>
      </c>
      <c r="I5" s="2" t="str">
        <f>IFERROR(__xludf.DUMMYFUNCTION("GOOGLETRANSLATE(C5,""fr"",""en"")"),"A free improvement telephone reception.
A website still a little ""rigid and loaded"" lacks simplicity to access its guarantees for example.
When is a smartphone application?
")</f>
        <v>A free improvement telephone reception.
A website still a little "rigid and loaded" lacks simplicity to access its guarantees for example.
When is a smartphone application?
</v>
      </c>
    </row>
    <row r="6">
      <c r="A6" s="2">
        <v>5.0</v>
      </c>
      <c r="B6" s="2" t="s">
        <v>34</v>
      </c>
      <c r="C6" s="2" t="s">
        <v>35</v>
      </c>
      <c r="D6" s="2" t="s">
        <v>36</v>
      </c>
      <c r="E6" s="2" t="s">
        <v>14</v>
      </c>
      <c r="F6" s="2" t="s">
        <v>15</v>
      </c>
      <c r="G6" s="2" t="s">
        <v>37</v>
      </c>
      <c r="H6" s="2" t="s">
        <v>38</v>
      </c>
      <c r="I6" s="2" t="str">
        <f>IFERROR(__xludf.DUMMYFUNCTION("GOOGLETRANSLATE(C6,""fr"",""en"")"),"Insurance that I strongly oconses, even by passing from Maif and Maif Filia, the prices remain very advantageous. Very good assurance when you start in life and that you do not necessarily have a big insurance budget ... the advisers are Very pleasant and"&amp;" attentive to customers, all the contract possibilities have been explained to me, as well as the different prices, without ever pushing me to spend, which is rather rare and very appreciable!")</f>
        <v>Insurance that I strongly oconses, even by passing from Maif and Maif Filia, the prices remain very advantageous. Very good assurance when you start in life and that you do not necessarily have a big insurance budget ... the advisers are Very pleasant and attentive to customers, all the contract possibilities have been explained to me, as well as the different prices, without ever pushing me to spend, which is rather rare and very appreciable!</v>
      </c>
    </row>
    <row r="7">
      <c r="A7" s="2">
        <v>5.0</v>
      </c>
      <c r="B7" s="2" t="s">
        <v>39</v>
      </c>
      <c r="C7" s="2" t="s">
        <v>40</v>
      </c>
      <c r="D7" s="2" t="s">
        <v>13</v>
      </c>
      <c r="E7" s="2" t="s">
        <v>14</v>
      </c>
      <c r="F7" s="2" t="s">
        <v>15</v>
      </c>
      <c r="G7" s="2" t="s">
        <v>41</v>
      </c>
      <c r="H7" s="2" t="s">
        <v>42</v>
      </c>
      <c r="I7" s="2" t="str">
        <f>IFERROR(__xludf.DUMMYFUNCTION("GOOGLETRANSLATE(C7,""fr"",""en"")"),"I am satisfied with the price and the service, the card contract is well suited, easy to use.
I recommend this insurance
good continuation")</f>
        <v>I am satisfied with the price and the service, the card contract is well suited, easy to use.
I recommend this insurance
good continuation</v>
      </c>
    </row>
    <row r="8">
      <c r="A8" s="2">
        <v>1.0</v>
      </c>
      <c r="B8" s="2" t="s">
        <v>43</v>
      </c>
      <c r="C8" s="2" t="s">
        <v>44</v>
      </c>
      <c r="D8" s="2" t="s">
        <v>45</v>
      </c>
      <c r="E8" s="2" t="s">
        <v>14</v>
      </c>
      <c r="F8" s="2" t="s">
        <v>15</v>
      </c>
      <c r="G8" s="2" t="s">
        <v>46</v>
      </c>
      <c r="H8" s="2" t="s">
        <v>47</v>
      </c>
      <c r="I8" s="2" t="str">
        <f>IFERROR(__xludf.DUMMYFUNCTION("GOOGLETRANSLATE(C8,""fr"",""en"")"),"  To do this as well as OK but to have an information statement it is the gallery")</f>
        <v>  To do this as well as OK but to have an information statement it is the gallery</v>
      </c>
    </row>
    <row r="9">
      <c r="A9" s="2">
        <v>3.0</v>
      </c>
      <c r="B9" s="2" t="s">
        <v>48</v>
      </c>
      <c r="C9" s="2" t="s">
        <v>49</v>
      </c>
      <c r="D9" s="2" t="s">
        <v>50</v>
      </c>
      <c r="E9" s="2" t="s">
        <v>21</v>
      </c>
      <c r="F9" s="2" t="s">
        <v>15</v>
      </c>
      <c r="G9" s="2" t="s">
        <v>51</v>
      </c>
      <c r="H9" s="2" t="s">
        <v>52</v>
      </c>
      <c r="I9" s="2" t="str">
        <f>IFERROR(__xludf.DUMMYFUNCTION("GOOGLETRANSLATE(C9,""fr"",""en"")"),"Satisfied with speed to have my motorcycle insurance and more simple to do this insurance on the Internet.
I also find this insurance which is not expensive.
Thanking you")</f>
        <v>Satisfied with speed to have my motorcycle insurance and more simple to do this insurance on the Internet.
I also find this insurance which is not expensive.
Thanking you</v>
      </c>
    </row>
    <row r="10">
      <c r="A10" s="2">
        <v>1.0</v>
      </c>
      <c r="B10" s="2" t="s">
        <v>53</v>
      </c>
      <c r="C10" s="2" t="s">
        <v>54</v>
      </c>
      <c r="D10" s="2" t="s">
        <v>45</v>
      </c>
      <c r="E10" s="2" t="s">
        <v>55</v>
      </c>
      <c r="F10" s="2" t="s">
        <v>15</v>
      </c>
      <c r="G10" s="2" t="s">
        <v>56</v>
      </c>
      <c r="H10" s="2" t="s">
        <v>57</v>
      </c>
      <c r="I10" s="2" t="str">
        <f>IFERROR(__xludf.DUMMYFUNCTION("GOOGLETRANSLATE(C10,""fr"",""en"")"),"30 years insured without any accident my car was in February accident by being in poorly repaired parking in April currently awaiting the expert's passage to see the non -compliance of repairs! Bad insurance! Bad garage imposed! Bad expert! there is enoug"&amp;"h that we cannot change things so that they are just")</f>
        <v>30 years insured without any accident my car was in February accident by being in poorly repaired parking in April currently awaiting the expert's passage to see the non -compliance of repairs! Bad insurance! Bad garage imposed! Bad expert! there is enough that we cannot change things so that they are just</v>
      </c>
    </row>
    <row r="11">
      <c r="A11" s="2">
        <v>4.0</v>
      </c>
      <c r="B11" s="2" t="s">
        <v>58</v>
      </c>
      <c r="C11" s="2" t="s">
        <v>59</v>
      </c>
      <c r="D11" s="2" t="s">
        <v>13</v>
      </c>
      <c r="E11" s="2" t="s">
        <v>14</v>
      </c>
      <c r="F11" s="2" t="s">
        <v>15</v>
      </c>
      <c r="G11" s="2" t="s">
        <v>60</v>
      </c>
      <c r="H11" s="2" t="s">
        <v>61</v>
      </c>
      <c r="I11" s="2" t="str">
        <f>IFERROR(__xludf.DUMMYFUNCTION("GOOGLETRANSLATE(C11,""fr"",""en"")"),"The price is attractive. The steps are simple. My interlocutor was of professionalism, clear explanations. Too bad you don't make prestigious vehicles.")</f>
        <v>The price is attractive. The steps are simple. My interlocutor was of professionalism, clear explanations. Too bad you don't make prestigious vehicles.</v>
      </c>
    </row>
    <row r="12">
      <c r="A12" s="2">
        <v>1.0</v>
      </c>
      <c r="B12" s="2" t="s">
        <v>62</v>
      </c>
      <c r="C12" s="2" t="s">
        <v>63</v>
      </c>
      <c r="D12" s="2" t="s">
        <v>64</v>
      </c>
      <c r="E12" s="2" t="s">
        <v>65</v>
      </c>
      <c r="F12" s="2" t="s">
        <v>15</v>
      </c>
      <c r="G12" s="2" t="s">
        <v>66</v>
      </c>
      <c r="H12" s="2" t="s">
        <v>67</v>
      </c>
      <c r="I12" s="2" t="str">
        <f>IFERROR(__xludf.DUMMYFUNCTION("GOOGLETRANSLATE(C12,""fr"",""en"")"),"I had a work accident, my employer to send my certificates of daily unmnapable and all the Blabla to AG2R on 09/28/19. On 10/10 my employer receives a message that money will soon pay and since then nothing. I call customer service which ""cannot inform m"&amp;"e"" and when I send them emails 0 response.
insuportable")</f>
        <v>I had a work accident, my employer to send my certificates of daily unmnapable and all the Blabla to AG2R on 09/28/19. On 10/10 my employer receives a message that money will soon pay and since then nothing. I call customer service which "cannot inform me" and when I send them emails 0 response.
insuportable</v>
      </c>
    </row>
    <row r="13">
      <c r="A13" s="2">
        <v>4.0</v>
      </c>
      <c r="B13" s="2" t="s">
        <v>68</v>
      </c>
      <c r="C13" s="2" t="s">
        <v>69</v>
      </c>
      <c r="D13" s="2" t="s">
        <v>70</v>
      </c>
      <c r="E13" s="2" t="s">
        <v>31</v>
      </c>
      <c r="F13" s="2" t="s">
        <v>15</v>
      </c>
      <c r="G13" s="2" t="s">
        <v>71</v>
      </c>
      <c r="H13" s="2" t="s">
        <v>47</v>
      </c>
      <c r="I13" s="2" t="str">
        <f>IFERROR(__xludf.DUMMYFUNCTION("GOOGLETRANSLATE(C13,""fr"",""en"")"),"Correct service.")</f>
        <v>Correct service.</v>
      </c>
    </row>
    <row r="14">
      <c r="A14" s="2">
        <v>2.0</v>
      </c>
      <c r="B14" s="2" t="s">
        <v>72</v>
      </c>
      <c r="C14" s="2" t="s">
        <v>73</v>
      </c>
      <c r="D14" s="2" t="s">
        <v>74</v>
      </c>
      <c r="E14" s="2" t="s">
        <v>14</v>
      </c>
      <c r="F14" s="2" t="s">
        <v>15</v>
      </c>
      <c r="G14" s="2" t="s">
        <v>75</v>
      </c>
      <c r="H14" s="2" t="s">
        <v>76</v>
      </c>
      <c r="I14" s="2" t="str">
        <f>IFERROR(__xludf.DUMMYFUNCTION("GOOGLETRANSLATE(C14,""fr"",""en"")"),"Impossible to have a ropese in less than 30 minutes with the GMF, especially if you want a good service do not ensure GMF because in the event of a claim you will have for hours ""You are in contact with the sinister services of the GMF, your advisor stri"&amp;"ves to run your expectations, please wait a few moments ""so there you wait 1 hour or two !!!")</f>
        <v>Impossible to have a ropese in less than 30 minutes with the GMF, especially if you want a good service do not ensure GMF because in the event of a claim you will have for hours "You are in contact with the sinister services of the GMF, your advisor strives to run your expectations, please wait a few moments "so there you wait 1 hour or two !!!</v>
      </c>
    </row>
    <row r="15">
      <c r="A15" s="2">
        <v>1.0</v>
      </c>
      <c r="B15" s="2" t="s">
        <v>77</v>
      </c>
      <c r="C15" s="2" t="s">
        <v>78</v>
      </c>
      <c r="D15" s="2" t="s">
        <v>79</v>
      </c>
      <c r="E15" s="2" t="s">
        <v>14</v>
      </c>
      <c r="F15" s="2" t="s">
        <v>15</v>
      </c>
      <c r="G15" s="2" t="s">
        <v>80</v>
      </c>
      <c r="H15" s="2" t="s">
        <v>81</v>
      </c>
      <c r="I15" s="2" t="str">
        <f>IFERROR(__xludf.DUMMYFUNCTION("GOOGLETRANSLATE(C15,""fr"",""en"")"),"RUN AWAY !!!! A paper is still missing !!! Supportments sent in time, terminated contract, new contract established but more expensive !!! RUN AWAY !!! Still not insure after a month!")</f>
        <v>RUN AWAY !!!! A paper is still missing !!! Supportments sent in time, terminated contract, new contract established but more expensive !!! RUN AWAY !!! Still not insure after a month!</v>
      </c>
    </row>
    <row r="16">
      <c r="A16" s="2">
        <v>5.0</v>
      </c>
      <c r="B16" s="2" t="s">
        <v>82</v>
      </c>
      <c r="C16" s="2" t="s">
        <v>83</v>
      </c>
      <c r="D16" s="2" t="s">
        <v>50</v>
      </c>
      <c r="E16" s="2" t="s">
        <v>21</v>
      </c>
      <c r="F16" s="2" t="s">
        <v>15</v>
      </c>
      <c r="G16" s="2" t="s">
        <v>84</v>
      </c>
      <c r="H16" s="2" t="s">
        <v>61</v>
      </c>
      <c r="I16" s="2" t="str">
        <f>IFERROR(__xludf.DUMMYFUNCTION("GOOGLETRANSLATE(C16,""fr"",""en"")"),"For the moment the prices correspond to me, to see over time if the ""after -sales service"" follows.
In any case, the best value for money compare with other insurers!")</f>
        <v>For the moment the prices correspond to me, to see over time if the "after -sales service" follows.
In any case, the best value for money compare with other insurers!</v>
      </c>
    </row>
    <row r="17">
      <c r="A17" s="2">
        <v>1.0</v>
      </c>
      <c r="B17" s="2" t="s">
        <v>85</v>
      </c>
      <c r="C17" s="2" t="s">
        <v>86</v>
      </c>
      <c r="D17" s="2" t="s">
        <v>87</v>
      </c>
      <c r="E17" s="2" t="s">
        <v>14</v>
      </c>
      <c r="F17" s="2" t="s">
        <v>15</v>
      </c>
      <c r="G17" s="2" t="s">
        <v>88</v>
      </c>
      <c r="H17" s="2" t="s">
        <v>89</v>
      </c>
      <c r="I17" s="2" t="str">
        <f>IFERROR(__xludf.DUMMYFUNCTION("GOOGLETRANSLATE(C17,""fr"",""en"")"),"Accident dated September 1, 2019. The Olivier Assurance indicates me on September 5, 2019 that the amicable observation established by the two parties establishes that I am not responsible (my vehicle was stopped ...).
Repairs are carried out after exper"&amp;"tise on September 23, 2019 (1,400 euros).
On December 23, 2019 (almost 4 months after the accident!), I have always received no refund and the olive tree does not want to give me the copy of their diligence to the other insurance (mail, email, etc. ). I "&amp;"think they did nothing.")</f>
        <v>Accident dated September 1, 2019. The Olivier Assurance indicates me on September 5, 2019 that the amicable observation established by the two parties establishes that I am not responsible (my vehicle was stopped ...).
Repairs are carried out after expertise on September 23, 2019 (1,400 euros).
On December 23, 2019 (almost 4 months after the accident!), I have always received no refund and the olive tree does not want to give me the copy of their diligence to the other insurance (mail, email, etc. ). I think they did nothing.</v>
      </c>
    </row>
    <row r="18">
      <c r="A18" s="2">
        <v>1.0</v>
      </c>
      <c r="B18" s="2" t="s">
        <v>90</v>
      </c>
      <c r="C18" s="2" t="s">
        <v>91</v>
      </c>
      <c r="D18" s="2" t="s">
        <v>92</v>
      </c>
      <c r="E18" s="2" t="s">
        <v>31</v>
      </c>
      <c r="F18" s="2" t="s">
        <v>15</v>
      </c>
      <c r="G18" s="2" t="s">
        <v>93</v>
      </c>
      <c r="H18" s="2" t="s">
        <v>94</v>
      </c>
      <c r="I18" s="2" t="str">
        <f>IFERROR(__xludf.DUMMYFUNCTION("GOOGLETRANSLATE(C18,""fr"",""en"")"),"After retraction of the virtual signature and agreement from their share in my account of 189.70 on January 3 Refund on January 17, wait to pay 15 days later and you will see their mutual reaction to flee")</f>
        <v>After retraction of the virtual signature and agreement from their share in my account of 189.70 on January 3 Refund on January 17, wait to pay 15 days later and you will see their mutual reaction to flee</v>
      </c>
    </row>
    <row r="19">
      <c r="A19" s="2">
        <v>3.0</v>
      </c>
      <c r="B19" s="2" t="s">
        <v>95</v>
      </c>
      <c r="C19" s="2" t="s">
        <v>96</v>
      </c>
      <c r="D19" s="2" t="s">
        <v>13</v>
      </c>
      <c r="E19" s="2" t="s">
        <v>14</v>
      </c>
      <c r="F19" s="2" t="s">
        <v>15</v>
      </c>
      <c r="G19" s="2" t="s">
        <v>97</v>
      </c>
      <c r="H19" s="2" t="s">
        <v>42</v>
      </c>
      <c r="I19" s="2" t="str">
        <f>IFERROR(__xludf.DUMMYFUNCTION("GOOGLETRANSLATE(C19,""fr"",""en"")"),"Insurance for student would not be refused. However, the services offered are interesting and telephone advisers are very pleasant.")</f>
        <v>Insurance for student would not be refused. However, the services offered are interesting and telephone advisers are very pleasant.</v>
      </c>
    </row>
    <row r="20">
      <c r="A20" s="2">
        <v>1.0</v>
      </c>
      <c r="B20" s="2" t="s">
        <v>98</v>
      </c>
      <c r="C20" s="2" t="s">
        <v>99</v>
      </c>
      <c r="D20" s="2" t="s">
        <v>13</v>
      </c>
      <c r="E20" s="2" t="s">
        <v>14</v>
      </c>
      <c r="F20" s="2" t="s">
        <v>15</v>
      </c>
      <c r="G20" s="2" t="s">
        <v>84</v>
      </c>
      <c r="H20" s="2" t="s">
        <v>61</v>
      </c>
      <c r="I20" s="2" t="str">
        <f>IFERROR(__xludf.DUMMYFUNCTION("GOOGLETRANSLATE(C20,""fr"",""en"")"),"€ 100 increase in my bonus in 4 months while my bonus to egement and is 50%.
Direct Insurance makes low call prices but increases its premiums by more than 10% each year which does not do insurance type Maaf or Macif (which are certainly more expensive b"&amp;"ut have lower franchises).")</f>
        <v>€ 100 increase in my bonus in 4 months while my bonus to egement and is 50%.
Direct Insurance makes low call prices but increases its premiums by more than 10% each year which does not do insurance type Maaf or Macif (which are certainly more expensive but have lower franchises).</v>
      </c>
    </row>
    <row r="21" ht="15.75" customHeight="1">
      <c r="A21" s="2">
        <v>5.0</v>
      </c>
      <c r="B21" s="2" t="s">
        <v>100</v>
      </c>
      <c r="C21" s="2" t="s">
        <v>101</v>
      </c>
      <c r="D21" s="2" t="s">
        <v>70</v>
      </c>
      <c r="E21" s="2" t="s">
        <v>31</v>
      </c>
      <c r="F21" s="2" t="s">
        <v>15</v>
      </c>
      <c r="G21" s="2" t="s">
        <v>102</v>
      </c>
      <c r="H21" s="2" t="s">
        <v>103</v>
      </c>
      <c r="I21" s="2" t="str">
        <f>IFERROR(__xludf.DUMMYFUNCTION("GOOGLETRANSLATE(C21,""fr"",""en"")"),"The proposed guarantees seem interesting to me, the price is more attractive than for my previous mutual.")</f>
        <v>The proposed guarantees seem interesting to me, the price is more attractive than for my previous mutual.</v>
      </c>
    </row>
    <row r="22" ht="15.75" customHeight="1">
      <c r="A22" s="2">
        <v>5.0</v>
      </c>
      <c r="B22" s="2" t="s">
        <v>104</v>
      </c>
      <c r="C22" s="2" t="s">
        <v>105</v>
      </c>
      <c r="D22" s="2" t="s">
        <v>87</v>
      </c>
      <c r="E22" s="2" t="s">
        <v>14</v>
      </c>
      <c r="F22" s="2" t="s">
        <v>15</v>
      </c>
      <c r="G22" s="2" t="s">
        <v>106</v>
      </c>
      <c r="H22" s="2" t="s">
        <v>27</v>
      </c>
      <c r="I22" s="2" t="str">
        <f>IFERROR(__xludf.DUMMYFUNCTION("GOOGLETRANSLATE(C22,""fr"",""en"")"),"I am satisfied with fairly low prices, insurance is suitable for me, very good quality/price.
Telephone service is very good, I am satisfied with the olive tree")</f>
        <v>I am satisfied with fairly low prices, insurance is suitable for me, very good quality/price.
Telephone service is very good, I am satisfied with the olive tree</v>
      </c>
    </row>
    <row r="23" ht="15.75" customHeight="1">
      <c r="A23" s="2">
        <v>3.0</v>
      </c>
      <c r="B23" s="2" t="s">
        <v>107</v>
      </c>
      <c r="C23" s="2" t="s">
        <v>108</v>
      </c>
      <c r="D23" s="2" t="s">
        <v>50</v>
      </c>
      <c r="E23" s="2" t="s">
        <v>21</v>
      </c>
      <c r="F23" s="2" t="s">
        <v>15</v>
      </c>
      <c r="G23" s="2" t="s">
        <v>109</v>
      </c>
      <c r="H23" s="2" t="s">
        <v>110</v>
      </c>
      <c r="I23" s="2" t="str">
        <f>IFERROR(__xludf.DUMMYFUNCTION("GOOGLETRANSLATE(C23,""fr"",""en"")"),"I regret that your Tele Seller could not or wanted to communicate a promo code to me and that it was so insistent. Only the lack of time led me to subscribe to you because I had a better proposal from my historic insurer.")</f>
        <v>I regret that your Tele Seller could not or wanted to communicate a promo code to me and that it was so insistent. Only the lack of time led me to subscribe to you because I had a better proposal from my historic insurer.</v>
      </c>
    </row>
    <row r="24" ht="15.75" customHeight="1">
      <c r="A24" s="2">
        <v>4.0</v>
      </c>
      <c r="B24" s="2" t="s">
        <v>111</v>
      </c>
      <c r="C24" s="2" t="s">
        <v>112</v>
      </c>
      <c r="D24" s="2" t="s">
        <v>13</v>
      </c>
      <c r="E24" s="2" t="s">
        <v>14</v>
      </c>
      <c r="F24" s="2" t="s">
        <v>15</v>
      </c>
      <c r="G24" s="2" t="s">
        <v>113</v>
      </c>
      <c r="H24" s="2" t="s">
        <v>52</v>
      </c>
      <c r="I24" s="2" t="str">
        <f>IFERROR(__xludf.DUMMYFUNCTION("GOOGLETRANSLATE(C24,""fr"",""en"")"),"I am satisfied with the service /value for money, I found my insurance and it's great, thank you for this ease of exchange online.
           Martinez Lydie")</f>
        <v>I am satisfied with the service /value for money, I found my insurance and it's great, thank you for this ease of exchange online.
           Martinez Lydie</v>
      </c>
    </row>
    <row r="25" ht="15.75" customHeight="1">
      <c r="A25" s="2">
        <v>4.0</v>
      </c>
      <c r="B25" s="2" t="s">
        <v>114</v>
      </c>
      <c r="C25" s="2" t="s">
        <v>115</v>
      </c>
      <c r="D25" s="2" t="s">
        <v>74</v>
      </c>
      <c r="E25" s="2" t="s">
        <v>55</v>
      </c>
      <c r="F25" s="2" t="s">
        <v>15</v>
      </c>
      <c r="G25" s="2" t="s">
        <v>116</v>
      </c>
      <c r="H25" s="2" t="s">
        <v>117</v>
      </c>
      <c r="I25" s="2" t="str">
        <f>IFERROR(__xludf.DUMMYFUNCTION("GOOGLETRANSLATE(C25,""fr"",""en"")"),"Reimbursement of a 100% hailstorm with very good efficiency and good communication. It is under these conditions that the quality of your insurance is verified. I do not regret my choice.")</f>
        <v>Reimbursement of a 100% hailstorm with very good efficiency and good communication. It is under these conditions that the quality of your insurance is verified. I do not regret my choice.</v>
      </c>
    </row>
    <row r="26" ht="15.75" customHeight="1">
      <c r="A26" s="2">
        <v>2.0</v>
      </c>
      <c r="B26" s="2" t="s">
        <v>118</v>
      </c>
      <c r="C26" s="2" t="s">
        <v>119</v>
      </c>
      <c r="D26" s="2" t="s">
        <v>120</v>
      </c>
      <c r="E26" s="2" t="s">
        <v>14</v>
      </c>
      <c r="F26" s="2" t="s">
        <v>15</v>
      </c>
      <c r="G26" s="2" t="s">
        <v>121</v>
      </c>
      <c r="H26" s="2" t="s">
        <v>122</v>
      </c>
      <c r="I26" s="2" t="str">
        <f>IFERROR(__xludf.DUMMYFUNCTION("GOOGLETRANSLATE(C26,""fr"",""en"")"),"Increase of more than double the franchise following 2 accidents in 2 years despite 40 years of subscription is unacceptable.
Warned only by email without explanation I had to go to the agency myself to find an agency director having no latitude and only"&amp;" apply the directives")</f>
        <v>Increase of more than double the franchise following 2 accidents in 2 years despite 40 years of subscription is unacceptable.
Warned only by email without explanation I had to go to the agency myself to find an agency director having no latitude and only apply the directives</v>
      </c>
    </row>
    <row r="27" ht="15.75" customHeight="1">
      <c r="A27" s="2">
        <v>5.0</v>
      </c>
      <c r="B27" s="2" t="s">
        <v>123</v>
      </c>
      <c r="C27" s="2" t="s">
        <v>124</v>
      </c>
      <c r="D27" s="2" t="s">
        <v>13</v>
      </c>
      <c r="E27" s="2" t="s">
        <v>14</v>
      </c>
      <c r="F27" s="2" t="s">
        <v>15</v>
      </c>
      <c r="G27" s="2" t="s">
        <v>125</v>
      </c>
      <c r="H27" s="2" t="s">
        <v>61</v>
      </c>
      <c r="I27" s="2" t="str">
        <f>IFERROR(__xludf.DUMMYFUNCTION("GOOGLETRANSLATE(C27,""fr"",""en"")"),"I have been very satisfied with the service for already 3 years, this is why I am continuing with housing insurance after car insurance. Thank you !")</f>
        <v>I have been very satisfied with the service for already 3 years, this is why I am continuing with housing insurance after car insurance. Thank you !</v>
      </c>
    </row>
    <row r="28" ht="15.75" customHeight="1">
      <c r="A28" s="2">
        <v>2.0</v>
      </c>
      <c r="B28" s="2" t="s">
        <v>126</v>
      </c>
      <c r="C28" s="2" t="s">
        <v>127</v>
      </c>
      <c r="D28" s="2" t="s">
        <v>45</v>
      </c>
      <c r="E28" s="2" t="s">
        <v>14</v>
      </c>
      <c r="F28" s="2" t="s">
        <v>15</v>
      </c>
      <c r="G28" s="2" t="s">
        <v>128</v>
      </c>
      <c r="H28" s="2" t="s">
        <v>38</v>
      </c>
      <c r="I28" s="2" t="str">
        <f>IFERROR(__xludf.DUMMYFUNCTION("GOOGLETRANSLATE(C28,""fr"",""en"")"),"Good evening. On 30/12/19, my campîng car is destroyed by a fire in Italy. Hotel accommodation in the evening with the audience ... Evening meal at our charge! 01/25/2020 Camping car declared wreck therefore assign to the destruction company. A third part"&amp;"y of the assets was not recovered. The rest??? To date, still no compensation to pay, neither for our personal property (clothes, shoes, ...) nor for the vehicle. On the other hand, I had to stop insurance despite the transfer to 25/01. I paid the monthly"&amp;" payment in February and hold on well, I am still asking me 67 euros !!! I have not yet touched a penny of compensation and I am asked to pay insurance for a vehicle that has not been mine since January 25. I will quickly buy a motorhome. On the other han"&amp;"d, very little luck that I finance him and assures him at the Macif!")</f>
        <v>Good evening. On 30/12/19, my campîng car is destroyed by a fire in Italy. Hotel accommodation in the evening with the audience ... Evening meal at our charge! 01/25/2020 Camping car declared wreck therefore assign to the destruction company. A third party of the assets was not recovered. The rest??? To date, still no compensation to pay, neither for our personal property (clothes, shoes, ...) nor for the vehicle. On the other hand, I had to stop insurance despite the transfer to 25/01. I paid the monthly payment in February and hold on well, I am still asking me 67 euros !!! I have not yet touched a penny of compensation and I am asked to pay insurance for a vehicle that has not been mine since January 25. I will quickly buy a motorhome. On the other hand, very little luck that I finance him and assures him at the Macif!</v>
      </c>
    </row>
    <row r="29" ht="15.75" customHeight="1">
      <c r="A29" s="2">
        <v>4.0</v>
      </c>
      <c r="B29" s="2" t="s">
        <v>129</v>
      </c>
      <c r="C29" s="2" t="s">
        <v>130</v>
      </c>
      <c r="D29" s="2" t="s">
        <v>13</v>
      </c>
      <c r="E29" s="2" t="s">
        <v>14</v>
      </c>
      <c r="F29" s="2" t="s">
        <v>15</v>
      </c>
      <c r="G29" s="2" t="s">
        <v>131</v>
      </c>
      <c r="H29" s="2" t="s">
        <v>27</v>
      </c>
      <c r="I29" s="2" t="str">
        <f>IFERROR(__xludf.DUMMYFUNCTION("GOOGLETRANSLATE(C29,""fr"",""en"")"),"Well, the site is easy, fun. It is quick to have a quote. The prices are competitive. Only downside, the subscription is to be paid for the year, no monthly direct debit.")</f>
        <v>Well, the site is easy, fun. It is quick to have a quote. The prices are competitive. Only downside, the subscription is to be paid for the year, no monthly direct debit.</v>
      </c>
    </row>
    <row r="30" ht="15.75" customHeight="1">
      <c r="A30" s="2">
        <v>2.0</v>
      </c>
      <c r="B30" s="2" t="s">
        <v>132</v>
      </c>
      <c r="C30" s="2" t="s">
        <v>133</v>
      </c>
      <c r="D30" s="2" t="s">
        <v>50</v>
      </c>
      <c r="E30" s="2" t="s">
        <v>21</v>
      </c>
      <c r="F30" s="2" t="s">
        <v>15</v>
      </c>
      <c r="G30" s="2" t="s">
        <v>134</v>
      </c>
      <c r="H30" s="2" t="s">
        <v>27</v>
      </c>
      <c r="I30" s="2" t="str">
        <f>IFERROR(__xludf.DUMMYFUNCTION("GOOGLETRANSLATE(C30,""fr"",""en"")"),"Perfect very good and fast very well explained and very quickly ensure
I recommend this site to people who have doubts
Tap search engine quad insurance")</f>
        <v>Perfect very good and fast very well explained and very quickly ensure
I recommend this site to people who have doubts
Tap search engine quad insurance</v>
      </c>
    </row>
    <row r="31" ht="15.75" customHeight="1">
      <c r="A31" s="2">
        <v>1.0</v>
      </c>
      <c r="B31" s="2" t="s">
        <v>135</v>
      </c>
      <c r="C31" s="2" t="s">
        <v>136</v>
      </c>
      <c r="D31" s="2" t="s">
        <v>64</v>
      </c>
      <c r="E31" s="2" t="s">
        <v>65</v>
      </c>
      <c r="F31" s="2" t="s">
        <v>15</v>
      </c>
      <c r="G31" s="2" t="s">
        <v>137</v>
      </c>
      <c r="H31" s="2" t="s">
        <v>138</v>
      </c>
      <c r="I31" s="2" t="str">
        <f>IFERROR(__xludf.DUMMYFUNCTION("GOOGLETRANSLATE(C31,""fr"",""en"")"),"This planning is absolutely shameful I see that everyone has the same problem difficult to have their supplements of compensation! We have already had this problem after the confinement 1 month of sick leave from March to April we were compensated 3 month"&amp;"s later , after the assets harassed on the phone practically every day a blow it was that the Secu did not have teletransmis the counts then they forgot to process my file they promise you that in the 10 days vs will have the money in your account ! And t"&amp;"he rebelote arret sickness in August always no complement they never respond to your email is catastrophic they do not realize in which financial situation they can put people !! I will contact my legal protection to see What recourse we can have !!")</f>
        <v>This planning is absolutely shameful I see that everyone has the same problem difficult to have their supplements of compensation! We have already had this problem after the confinement 1 month of sick leave from March to April we were compensated 3 months later , after the assets harassed on the phone practically every day a blow it was that the Secu did not have teletransmis the counts then they forgot to process my file they promise you that in the 10 days vs will have the money in your account ! And the rebelote arret sickness in August always no complement they never respond to your email is catastrophic they do not realize in which financial situation they can put people !! I will contact my legal protection to see What recourse we can have !!</v>
      </c>
    </row>
    <row r="32" ht="15.75" customHeight="1">
      <c r="A32" s="2">
        <v>4.0</v>
      </c>
      <c r="B32" s="2" t="s">
        <v>139</v>
      </c>
      <c r="C32" s="2" t="s">
        <v>140</v>
      </c>
      <c r="D32" s="2" t="s">
        <v>13</v>
      </c>
      <c r="E32" s="2" t="s">
        <v>14</v>
      </c>
      <c r="F32" s="2" t="s">
        <v>15</v>
      </c>
      <c r="G32" s="2" t="s">
        <v>141</v>
      </c>
      <c r="H32" s="2" t="s">
        <v>61</v>
      </c>
      <c r="I32" s="2" t="str">
        <f>IFERROR(__xludf.DUMMYFUNCTION("GOOGLETRANSLATE(C32,""fr"",""en"")"),"I am satisfied with prices and service.
Online registration is easily
On the other hand I have not yet received my green card in the mail when I have been insured since 03/14")</f>
        <v>I am satisfied with prices and service.
Online registration is easily
On the other hand I have not yet received my green card in the mail when I have been insured since 03/14</v>
      </c>
    </row>
    <row r="33" ht="15.75" customHeight="1">
      <c r="A33" s="2">
        <v>1.0</v>
      </c>
      <c r="B33" s="2" t="s">
        <v>142</v>
      </c>
      <c r="C33" s="2" t="s">
        <v>143</v>
      </c>
      <c r="D33" s="2" t="s">
        <v>13</v>
      </c>
      <c r="E33" s="2" t="s">
        <v>14</v>
      </c>
      <c r="F33" s="2" t="s">
        <v>15</v>
      </c>
      <c r="G33" s="2" t="s">
        <v>144</v>
      </c>
      <c r="H33" s="2" t="s">
        <v>27</v>
      </c>
      <c r="I33" s="2" t="str">
        <f>IFERROR(__xludf.DUMMYFUNCTION("GOOGLETRANSLATE(C33,""fr"",""en"")"),"The price is too high without the Drive offer given the price and seniority of my car without forgetting that I subscribed to the third party mini offer.
But especially in this period of telework the car does not move almost.")</f>
        <v>The price is too high without the Drive offer given the price and seniority of my car without forgetting that I subscribed to the third party mini offer.
But especially in this period of telework the car does not move almost.</v>
      </c>
    </row>
    <row r="34" ht="15.75" customHeight="1">
      <c r="A34" s="2">
        <v>4.0</v>
      </c>
      <c r="B34" s="2" t="s">
        <v>145</v>
      </c>
      <c r="C34" s="2" t="s">
        <v>146</v>
      </c>
      <c r="D34" s="2" t="s">
        <v>87</v>
      </c>
      <c r="E34" s="2" t="s">
        <v>14</v>
      </c>
      <c r="F34" s="2" t="s">
        <v>15</v>
      </c>
      <c r="G34" s="2" t="s">
        <v>141</v>
      </c>
      <c r="H34" s="2" t="s">
        <v>61</v>
      </c>
      <c r="I34" s="2" t="str">
        <f>IFERROR(__xludf.DUMMYFUNCTION("GOOGLETRANSLATE(C34,""fr"",""en"")"),"I am satisfied with the price, the reception on the phone and the information provided. Easy to use and easy to send the requested documents.")</f>
        <v>I am satisfied with the price, the reception on the phone and the information provided. Easy to use and easy to send the requested documents.</v>
      </c>
    </row>
    <row r="35" ht="15.75" customHeight="1">
      <c r="A35" s="2">
        <v>2.0</v>
      </c>
      <c r="B35" s="2" t="s">
        <v>147</v>
      </c>
      <c r="C35" s="2" t="s">
        <v>148</v>
      </c>
      <c r="D35" s="2" t="s">
        <v>45</v>
      </c>
      <c r="E35" s="2" t="s">
        <v>21</v>
      </c>
      <c r="F35" s="2" t="s">
        <v>15</v>
      </c>
      <c r="G35" s="2" t="s">
        <v>149</v>
      </c>
      <c r="H35" s="2" t="s">
        <v>150</v>
      </c>
      <c r="I35" s="2" t="str">
        <f>IFERROR(__xludf.DUMMYFUNCTION("GOOGLETRANSLATE(C35,""fr"",""en"")"),"To flee ! Motorcycle insurance terminated over a year ago, I paid for what I had to close this insurance.
1 year later, they claim me for 63 e for life insurance ... with recommended, harassment tel. They are so bad that they prefer to spend time, unnece"&amp;"ssary letters, a collection service ... for 63 balls they have a sense of priorities to the Macif")</f>
        <v>To flee ! Motorcycle insurance terminated over a year ago, I paid for what I had to close this insurance.
1 year later, they claim me for 63 e for life insurance ... with recommended, harassment tel. They are so bad that they prefer to spend time, unnecessary letters, a collection service ... for 63 balls they have a sense of priorities to the Macif</v>
      </c>
    </row>
    <row r="36" ht="15.75" customHeight="1">
      <c r="A36" s="2">
        <v>4.0</v>
      </c>
      <c r="B36" s="2" t="s">
        <v>151</v>
      </c>
      <c r="C36" s="2" t="s">
        <v>152</v>
      </c>
      <c r="D36" s="2" t="s">
        <v>30</v>
      </c>
      <c r="E36" s="2" t="s">
        <v>31</v>
      </c>
      <c r="F36" s="2" t="s">
        <v>15</v>
      </c>
      <c r="G36" s="2" t="s">
        <v>153</v>
      </c>
      <c r="H36" s="2" t="s">
        <v>33</v>
      </c>
      <c r="I36" s="2" t="str">
        <f>IFERROR(__xludf.DUMMYFUNCTION("GOOGLETRANSLATE(C36,""fr"",""en"")"),"Perfect welcome and telephone information.
Staff listening to requests and very good taking into account the situation.
This reassures, to have a mutual which covers a large part of ""life accidents"" and which accompanies flawless.
It is in these situ"&amp;"ations that we appreciate having a good mutual.
I've been a member for 20 years and I have been happy to have made the right choice at the time.
Beautiful example of the mutualist spirit.
Continue.
")</f>
        <v>Perfect welcome and telephone information.
Staff listening to requests and very good taking into account the situation.
This reassures, to have a mutual which covers a large part of "life accidents" and which accompanies flawless.
It is in these situations that we appreciate having a good mutual.
I've been a member for 20 years and I have been happy to have made the right choice at the time.
Beautiful example of the mutualist spirit.
Continue.
</v>
      </c>
    </row>
    <row r="37" ht="15.75" customHeight="1">
      <c r="A37" s="2">
        <v>1.0</v>
      </c>
      <c r="B37" s="2" t="s">
        <v>154</v>
      </c>
      <c r="C37" s="2" t="s">
        <v>155</v>
      </c>
      <c r="D37" s="2" t="s">
        <v>156</v>
      </c>
      <c r="E37" s="2" t="s">
        <v>31</v>
      </c>
      <c r="F37" s="2" t="s">
        <v>15</v>
      </c>
      <c r="G37" s="2" t="s">
        <v>157</v>
      </c>
      <c r="H37" s="2" t="s">
        <v>158</v>
      </c>
      <c r="I37" s="2" t="str">
        <f>IFERROR(__xludf.DUMMYFUNCTION("GOOGLETRANSLATE(C37,""fr"",""en"")"),"Mutual trash
Avoid urgently, too long to treat quotes. I regret the Mutuelle Pro BTP.")</f>
        <v>Mutual trash
Avoid urgently, too long to treat quotes. I regret the Mutuelle Pro BTP.</v>
      </c>
    </row>
    <row r="38" ht="15.75" customHeight="1">
      <c r="A38" s="2">
        <v>2.0</v>
      </c>
      <c r="B38" s="2" t="s">
        <v>159</v>
      </c>
      <c r="C38" s="2" t="s">
        <v>160</v>
      </c>
      <c r="D38" s="2" t="s">
        <v>64</v>
      </c>
      <c r="E38" s="2" t="s">
        <v>31</v>
      </c>
      <c r="F38" s="2" t="s">
        <v>15</v>
      </c>
      <c r="G38" s="2" t="s">
        <v>161</v>
      </c>
      <c r="H38" s="2" t="s">
        <v>47</v>
      </c>
      <c r="I38" s="2" t="str">
        <f>IFERROR(__xludf.DUMMYFUNCTION("GOOGLETRANSLATE(C38,""fr"",""en"")"),"Insured via my employer in 2012, I am now a job seeker. As such, I benefit from the portability of my contract for 1 year, or until 10/26/2018. Portability is carried out in the form of a period of 3 months, then a second of 4 months, then a last of 5 mon"&amp;"ths. For each new renewal period, I provide the requested documents (payment certificate Pôle Emploi). My last request to renew portability dates from February (documents sent Le05/02/2018), yet I have still not received our new cards and the file is not "&amp;"updated (we are 06/05/ 2018!) As a reminder, the current period ends in 21 days ... I called the customer service that took note of my problem 15 times, they themselves sent priority emails 2 times to make my file be seized, without success. My wife is hy"&amp;"pothyroidic and must do analyzes every 3 months and follow hormonal treatment. In addition, a control mammography was to be carried out in March 2018. For my part operated in gastroenterology in November 2017, I have to carry out control exams this month "&amp;"... Of course, we are told that we are still covered and that it is enough to advance the costs. We have awaiting refund request 3 pharmaceutical prescriptions, but certainly cannot make the advance of the fees for specialists or exams! (Reminder: I am a "&amp;"job seeker ...) I'm not even talking about the possibility of an accident with expensive examinations and hospitalization ... Suddenly, we remain without being careful or being followed for almost 4 months ... and don't know how much it will last. The wor"&amp;"st part is that I have to ask for an extension at the end of the month, and I fear the Délis: I really have the impression that we will no longer be able to be treated until the end of portability in October 2018 !")</f>
        <v>Insured via my employer in 2012, I am now a job seeker. As such, I benefit from the portability of my contract for 1 year, or until 10/26/2018. Portability is carried out in the form of a period of 3 months, then a second of 4 months, then a last of 5 months. For each new renewal period, I provide the requested documents (payment certificate Pôle Emploi). My last request to renew portability dates from February (documents sent Le05/02/2018), yet I have still not received our new cards and the file is not updated (we are 06/05/ 2018!) As a reminder, the current period ends in 21 days ... I called the customer service that took note of my problem 15 times, they themselves sent priority emails 2 times to make my file be seized, without success. My wife is hypothyroidic and must do analyzes every 3 months and follow hormonal treatment. In addition, a control mammography was to be carried out in March 2018. For my part operated in gastroenterology in November 2017, I have to carry out control exams this month ... Of course, we are told that we are still covered and that it is enough to advance the costs. We have awaiting refund request 3 pharmaceutical prescriptions, but certainly cannot make the advance of the fees for specialists or exams! (Reminder: I am a job seeker ...) I'm not even talking about the possibility of an accident with expensive examinations and hospitalization ... Suddenly, we remain without being careful or being followed for almost 4 months ... and don't know how much it will last. The worst part is that I have to ask for an extension at the end of the month, and I fear the Délis: I really have the impression that we will no longer be able to be treated until the end of portability in October 2018 !</v>
      </c>
    </row>
    <row r="39" ht="15.75" customHeight="1">
      <c r="A39" s="2">
        <v>2.0</v>
      </c>
      <c r="B39" s="2" t="s">
        <v>162</v>
      </c>
      <c r="C39" s="2" t="s">
        <v>163</v>
      </c>
      <c r="D39" s="2" t="s">
        <v>164</v>
      </c>
      <c r="E39" s="2" t="s">
        <v>14</v>
      </c>
      <c r="F39" s="2" t="s">
        <v>15</v>
      </c>
      <c r="G39" s="2" t="s">
        <v>165</v>
      </c>
      <c r="H39" s="2" t="s">
        <v>89</v>
      </c>
      <c r="I39" s="2" t="str">
        <f>IFERROR(__xludf.DUMMYFUNCTION("GOOGLETRANSLATE(C39,""fr"",""en"")"),"Guarantees disappear. 3 months to have an answer to a file. Deplorable!")</f>
        <v>Guarantees disappear. 3 months to have an answer to a file. Deplorable!</v>
      </c>
    </row>
    <row r="40" ht="15.75" customHeight="1">
      <c r="A40" s="2">
        <v>3.0</v>
      </c>
      <c r="B40" s="2" t="s">
        <v>166</v>
      </c>
      <c r="C40" s="2" t="s">
        <v>167</v>
      </c>
      <c r="D40" s="2" t="s">
        <v>87</v>
      </c>
      <c r="E40" s="2" t="s">
        <v>14</v>
      </c>
      <c r="F40" s="2" t="s">
        <v>15</v>
      </c>
      <c r="G40" s="2" t="s">
        <v>168</v>
      </c>
      <c r="H40" s="2" t="s">
        <v>169</v>
      </c>
      <c r="I40" s="2" t="str">
        <f>IFERROR(__xludf.DUMMYFUNCTION("GOOGLETRANSLATE(C40,""fr"",""en"")"),"The price suits me. On the other hand, forgetting to tell me about the Hamon law so waiting for a month for my daughter to have a conductive insurance. If not simple")</f>
        <v>The price suits me. On the other hand, forgetting to tell me about the Hamon law so waiting for a month for my daughter to have a conductive insurance. If not simple</v>
      </c>
    </row>
    <row r="41" ht="15.75" customHeight="1">
      <c r="A41" s="2">
        <v>4.0</v>
      </c>
      <c r="B41" s="2" t="s">
        <v>170</v>
      </c>
      <c r="C41" s="2" t="s">
        <v>171</v>
      </c>
      <c r="D41" s="2" t="s">
        <v>50</v>
      </c>
      <c r="E41" s="2" t="s">
        <v>21</v>
      </c>
      <c r="F41" s="2" t="s">
        <v>15</v>
      </c>
      <c r="G41" s="2" t="s">
        <v>97</v>
      </c>
      <c r="H41" s="2" t="s">
        <v>42</v>
      </c>
      <c r="I41" s="2" t="str">
        <f>IFERROR(__xludf.DUMMYFUNCTION("GOOGLETRANSLATE(C41,""fr"",""en"")"),"I am very satisfied at the price level. To recommend for electric scooters as is the case for me. To see on the other hand on the quality of long -term service, but I have confidence for the moment.")</f>
        <v>I am very satisfied at the price level. To recommend for electric scooters as is the case for me. To see on the other hand on the quality of long -term service, but I have confidence for the moment.</v>
      </c>
    </row>
    <row r="42" ht="15.75" customHeight="1">
      <c r="A42" s="2">
        <v>1.0</v>
      </c>
      <c r="B42" s="2" t="s">
        <v>172</v>
      </c>
      <c r="C42" s="2" t="s">
        <v>173</v>
      </c>
      <c r="D42" s="2" t="s">
        <v>174</v>
      </c>
      <c r="E42" s="2" t="s">
        <v>31</v>
      </c>
      <c r="F42" s="2" t="s">
        <v>15</v>
      </c>
      <c r="G42" s="2" t="s">
        <v>175</v>
      </c>
      <c r="H42" s="2" t="s">
        <v>76</v>
      </c>
      <c r="I42" s="2" t="str">
        <f>IFERROR(__xludf.DUMMYFUNCTION("GOOGLETRANSLATE(C42,""fr"",""en"")"),"I asked for the termination of my son since he has a mandatory mutual insurance for his work. I sent all the documents they asked for. I went to the Auxerre agency to take a document that they lacked and that they could have asked me at the beginning, the"&amp;" advisor who received my very badly spoken and sent strolled. Since April and we have not always been terminated. Disappointed with this mutual fund despite that I have been there for years.")</f>
        <v>I asked for the termination of my son since he has a mandatory mutual insurance for his work. I sent all the documents they asked for. I went to the Auxerre agency to take a document that they lacked and that they could have asked me at the beginning, the advisor who received my very badly spoken and sent strolled. Since April and we have not always been terminated. Disappointed with this mutual fund despite that I have been there for years.</v>
      </c>
    </row>
    <row r="43" ht="15.75" customHeight="1">
      <c r="A43" s="2">
        <v>4.0</v>
      </c>
      <c r="B43" s="2" t="s">
        <v>176</v>
      </c>
      <c r="C43" s="2" t="s">
        <v>177</v>
      </c>
      <c r="D43" s="2" t="s">
        <v>30</v>
      </c>
      <c r="E43" s="2" t="s">
        <v>31</v>
      </c>
      <c r="F43" s="2" t="s">
        <v>15</v>
      </c>
      <c r="G43" s="2" t="s">
        <v>178</v>
      </c>
      <c r="H43" s="2" t="s">
        <v>179</v>
      </c>
      <c r="I43" s="2" t="str">
        <f>IFERROR(__xludf.DUMMYFUNCTION("GOOGLETRANSLATE(C43,""fr"",""en"")"),"Complement big spending fairly long to reimburse and low (dental care for eg)
Obsolete documents of communication (limited in unusual format for a neophyte)")</f>
        <v>Complement big spending fairly long to reimburse and low (dental care for eg)
Obsolete documents of communication (limited in unusual format for a neophyte)</v>
      </c>
    </row>
    <row r="44" ht="15.75" customHeight="1">
      <c r="A44" s="2">
        <v>4.0</v>
      </c>
      <c r="B44" s="2" t="s">
        <v>180</v>
      </c>
      <c r="C44" s="2" t="s">
        <v>181</v>
      </c>
      <c r="D44" s="2" t="s">
        <v>50</v>
      </c>
      <c r="E44" s="2" t="s">
        <v>21</v>
      </c>
      <c r="F44" s="2" t="s">
        <v>15</v>
      </c>
      <c r="G44" s="2" t="s">
        <v>182</v>
      </c>
      <c r="H44" s="2" t="s">
        <v>42</v>
      </c>
      <c r="I44" s="2" t="str">
        <f>IFERROR(__xludf.DUMMYFUNCTION("GOOGLETRANSLATE(C44,""fr"",""en"")"),"Ok the service is fast efficient, the prices are correct if for management if necessary. I will see over time the capacity and seriousness of this insurance")</f>
        <v>Ok the service is fast efficient, the prices are correct if for management if necessary. I will see over time the capacity and seriousness of this insurance</v>
      </c>
    </row>
    <row r="45" ht="15.75" customHeight="1">
      <c r="A45" s="2">
        <v>1.0</v>
      </c>
      <c r="B45" s="2" t="s">
        <v>183</v>
      </c>
      <c r="C45" s="2" t="s">
        <v>184</v>
      </c>
      <c r="D45" s="2" t="s">
        <v>70</v>
      </c>
      <c r="E45" s="2" t="s">
        <v>31</v>
      </c>
      <c r="F45" s="2" t="s">
        <v>15</v>
      </c>
      <c r="G45" s="2" t="s">
        <v>185</v>
      </c>
      <c r="H45" s="2" t="s">
        <v>186</v>
      </c>
      <c r="I45" s="2" t="str">
        <f>IFERROR(__xludf.DUMMYFUNCTION("GOOGLETRANSLATE(C45,""fr"",""en"")"),"I have taken out a contract which does not meet my needs and despite several letters addressed to RAR. No acknowledgment of my letters and the deadlines follow each other with a regularity of metronome.
I will not recommend your establishment, there is n"&amp;"either followed nor rigor.
Frankly disgusted.")</f>
        <v>I have taken out a contract which does not meet my needs and despite several letters addressed to RAR. No acknowledgment of my letters and the deadlines follow each other with a regularity of metronome.
I will not recommend your establishment, there is neither followed nor rigor.
Frankly disgusted.</v>
      </c>
    </row>
    <row r="46" ht="15.75" customHeight="1">
      <c r="A46" s="2">
        <v>5.0</v>
      </c>
      <c r="B46" s="2" t="s">
        <v>187</v>
      </c>
      <c r="C46" s="2" t="s">
        <v>188</v>
      </c>
      <c r="D46" s="2" t="s">
        <v>87</v>
      </c>
      <c r="E46" s="2" t="s">
        <v>14</v>
      </c>
      <c r="F46" s="2" t="s">
        <v>15</v>
      </c>
      <c r="G46" s="2" t="s">
        <v>189</v>
      </c>
      <c r="H46" s="2" t="s">
        <v>190</v>
      </c>
      <c r="I46" s="2" t="str">
        <f>IFERROR(__xludf.DUMMYFUNCTION("GOOGLETRANSLATE(C46,""fr"",""en"")"),"I am satisfied with the service and the price suits me perfectly. Good fast service to register. I recommend to all the olive assurances. Thank you")</f>
        <v>I am satisfied with the service and the price suits me perfectly. Good fast service to register. I recommend to all the olive assurances. Thank you</v>
      </c>
    </row>
    <row r="47" ht="15.75" customHeight="1">
      <c r="A47" s="2">
        <v>2.0</v>
      </c>
      <c r="B47" s="2" t="s">
        <v>191</v>
      </c>
      <c r="C47" s="2" t="s">
        <v>192</v>
      </c>
      <c r="D47" s="2" t="s">
        <v>193</v>
      </c>
      <c r="E47" s="2" t="s">
        <v>65</v>
      </c>
      <c r="F47" s="2" t="s">
        <v>15</v>
      </c>
      <c r="G47" s="2" t="s">
        <v>194</v>
      </c>
      <c r="H47" s="2" t="s">
        <v>195</v>
      </c>
      <c r="I47" s="2" t="str">
        <f>IFERROR(__xludf.DUMMYFUNCTION("GOOGLETRANSLATE(C47,""fr"",""en"")"),"very misunderstanding I perceive a quarterly planned humanis annuity by branch agreement, you always have to telephoner or send emails to be paid ,, I ask them if I can be paid monthly I am answered that it is not possible because I take up a CPAM work ac"&amp;"cident annuity every 3 months ... I therefore send them per month all the supporting documents CPAM of my disability ... and the annuity at every 3 months ... In October I am paid me the rent of the months of October I do not understand since I was told t"&amp;"hat it was not possible to perceive your monthly humanis pension ... and I am sent back an email to reclaim the document to there really but really Tired of it is incredible I think they should review the functioning of their staff .... You never have the"&amp;" person on the phone so never the same dialogue..grrr")</f>
        <v>very misunderstanding I perceive a quarterly planned humanis annuity by branch agreement, you always have to telephoner or send emails to be paid ,, I ask them if I can be paid monthly I am answered that it is not possible because I take up a CPAM work accident annuity every 3 months ... I therefore send them per month all the supporting documents CPAM of my disability ... and the annuity at every 3 months ... In October I am paid me the rent of the months of October I do not understand since I was told that it was not possible to perceive your monthly humanis pension ... and I am sent back an email to reclaim the document to there really but really Tired of it is incredible I think they should review the functioning of their staff .... You never have the person on the phone so never the same dialogue..grrr</v>
      </c>
    </row>
    <row r="48" ht="15.75" customHeight="1">
      <c r="A48" s="2">
        <v>5.0</v>
      </c>
      <c r="B48" s="2" t="s">
        <v>196</v>
      </c>
      <c r="C48" s="2" t="s">
        <v>197</v>
      </c>
      <c r="D48" s="2" t="s">
        <v>87</v>
      </c>
      <c r="E48" s="2" t="s">
        <v>14</v>
      </c>
      <c r="F48" s="2" t="s">
        <v>15</v>
      </c>
      <c r="G48" s="2" t="s">
        <v>198</v>
      </c>
      <c r="H48" s="2" t="s">
        <v>110</v>
      </c>
      <c r="I48" s="2" t="str">
        <f>IFERROR(__xludf.DUMMYFUNCTION("GOOGLETRANSLATE(C48,""fr"",""en"")"),"I am very satisfied with my contract is very good level value price. Very easy to do the quote online and very well formulated I highly recommend")</f>
        <v>I am very satisfied with my contract is very good level value price. Very easy to do the quote online and very well formulated I highly recommend</v>
      </c>
    </row>
    <row r="49" ht="15.75" customHeight="1">
      <c r="A49" s="2">
        <v>4.0</v>
      </c>
      <c r="B49" s="2" t="s">
        <v>199</v>
      </c>
      <c r="C49" s="2" t="s">
        <v>200</v>
      </c>
      <c r="D49" s="2" t="s">
        <v>201</v>
      </c>
      <c r="E49" s="2" t="s">
        <v>21</v>
      </c>
      <c r="F49" s="2" t="s">
        <v>15</v>
      </c>
      <c r="G49" s="2" t="s">
        <v>202</v>
      </c>
      <c r="H49" s="2" t="s">
        <v>23</v>
      </c>
      <c r="I49" s="2" t="str">
        <f>IFERROR(__xludf.DUMMYFUNCTION("GOOGLETRANSLATE(C49,""fr"",""en"")"),"AMV is a very well placed insurance for bikers (ES) He advises 0 km on a motorcycle is practical.")</f>
        <v>AMV is a very well placed insurance for bikers (ES) He advises 0 km on a motorcycle is practical.</v>
      </c>
    </row>
    <row r="50" ht="15.75" customHeight="1">
      <c r="A50" s="2">
        <v>4.0</v>
      </c>
      <c r="B50" s="2" t="s">
        <v>203</v>
      </c>
      <c r="C50" s="2" t="s">
        <v>204</v>
      </c>
      <c r="D50" s="2" t="s">
        <v>87</v>
      </c>
      <c r="E50" s="2" t="s">
        <v>14</v>
      </c>
      <c r="F50" s="2" t="s">
        <v>15</v>
      </c>
      <c r="G50" s="2" t="s">
        <v>205</v>
      </c>
      <c r="H50" s="2" t="s">
        <v>52</v>
      </c>
      <c r="I50" s="2" t="str">
        <f>IFERROR(__xludf.DUMMYFUNCTION("GOOGLETRANSLATE(C50,""fr"",""en"")"),"I am satisfied with the service and I am waiting for your support in difficult times if there are any.
The advisor was very pleasant on the phone.")</f>
        <v>I am satisfied with the service and I am waiting for your support in difficult times if there are any.
The advisor was very pleasant on the phone.</v>
      </c>
    </row>
    <row r="51" ht="15.75" customHeight="1">
      <c r="A51" s="2">
        <v>4.0</v>
      </c>
      <c r="B51" s="2" t="s">
        <v>206</v>
      </c>
      <c r="C51" s="2" t="s">
        <v>207</v>
      </c>
      <c r="D51" s="2" t="s">
        <v>74</v>
      </c>
      <c r="E51" s="2" t="s">
        <v>14</v>
      </c>
      <c r="F51" s="2" t="s">
        <v>15</v>
      </c>
      <c r="G51" s="2" t="s">
        <v>208</v>
      </c>
      <c r="H51" s="2" t="s">
        <v>209</v>
      </c>
      <c r="I51" s="2" t="str">
        <f>IFERROR(__xludf.DUMMYFUNCTION("GOOGLETRANSLATE(C51,""fr"",""en"")"),"Good insurance, I have since been advised by my parents, GMF too. Excellent commercial relationships / a slight downside on the sinister service. Thank you. JC")</f>
        <v>Good insurance, I have since been advised by my parents, GMF too. Excellent commercial relationships / a slight downside on the sinister service. Thank you. JC</v>
      </c>
    </row>
    <row r="52" ht="15.75" customHeight="1">
      <c r="A52" s="2">
        <v>3.0</v>
      </c>
      <c r="B52" s="2" t="s">
        <v>210</v>
      </c>
      <c r="C52" s="2" t="s">
        <v>211</v>
      </c>
      <c r="D52" s="2" t="s">
        <v>70</v>
      </c>
      <c r="E52" s="2" t="s">
        <v>31</v>
      </c>
      <c r="F52" s="2" t="s">
        <v>15</v>
      </c>
      <c r="G52" s="2" t="s">
        <v>212</v>
      </c>
      <c r="H52" s="2" t="s">
        <v>213</v>
      </c>
      <c r="I52" s="2" t="str">
        <f>IFERROR(__xludf.DUMMYFUNCTION("GOOGLETRANSLATE(C52,""fr"",""en"")"),"Telephone canvassing with aggressive elderly people through Dnassur already reported several times for a long time. This company claims to be attentive to the ethics of its brokers ... If it was the case it would not continue to endorse actions which have"&amp;" lasted for a long time.
")</f>
        <v>Telephone canvassing with aggressive elderly people through Dnassur already reported several times for a long time. This company claims to be attentive to the ethics of its brokers ... If it was the case it would not continue to endorse actions which have lasted for a long time.
</v>
      </c>
    </row>
    <row r="53" ht="15.75" customHeight="1">
      <c r="A53" s="2">
        <v>5.0</v>
      </c>
      <c r="B53" s="2" t="s">
        <v>214</v>
      </c>
      <c r="C53" s="2" t="s">
        <v>215</v>
      </c>
      <c r="D53" s="2" t="s">
        <v>87</v>
      </c>
      <c r="E53" s="2" t="s">
        <v>14</v>
      </c>
      <c r="F53" s="2" t="s">
        <v>15</v>
      </c>
      <c r="G53" s="2" t="s">
        <v>216</v>
      </c>
      <c r="H53" s="2" t="s">
        <v>42</v>
      </c>
      <c r="I53" s="2" t="str">
        <f>IFERROR(__xludf.DUMMYFUNCTION("GOOGLETRANSLATE(C53,""fr"",""en"")"),"Very satisfied with our first contact. Clear answers, a pleasant and smiling person on the phone. Very easy also to have access to someone on the phone.
")</f>
        <v>Very satisfied with our first contact. Clear answers, a pleasant and smiling person on the phone. Very easy also to have access to someone on the phone.
</v>
      </c>
    </row>
    <row r="54" ht="15.75" customHeight="1">
      <c r="A54" s="2">
        <v>4.0</v>
      </c>
      <c r="B54" s="2" t="s">
        <v>217</v>
      </c>
      <c r="C54" s="2" t="s">
        <v>218</v>
      </c>
      <c r="D54" s="2" t="s">
        <v>87</v>
      </c>
      <c r="E54" s="2" t="s">
        <v>14</v>
      </c>
      <c r="F54" s="2" t="s">
        <v>15</v>
      </c>
      <c r="G54" s="2" t="s">
        <v>219</v>
      </c>
      <c r="H54" s="2" t="s">
        <v>209</v>
      </c>
      <c r="I54" s="2" t="str">
        <f>IFERROR(__xludf.DUMMYFUNCTION("GOOGLETRANSLATE(C54,""fr"",""en"")"),"Quick and efficient contact, very kind, clear advisor, answered all my questions; Reminder scheduled and respected. Nothing to say for the moment :)")</f>
        <v>Quick and efficient contact, very kind, clear advisor, answered all my questions; Reminder scheduled and respected. Nothing to say for the moment :)</v>
      </c>
    </row>
    <row r="55" ht="15.75" customHeight="1">
      <c r="A55" s="2">
        <v>1.0</v>
      </c>
      <c r="B55" s="2" t="s">
        <v>220</v>
      </c>
      <c r="C55" s="2" t="s">
        <v>221</v>
      </c>
      <c r="D55" s="2" t="s">
        <v>45</v>
      </c>
      <c r="E55" s="2" t="s">
        <v>65</v>
      </c>
      <c r="F55" s="2" t="s">
        <v>15</v>
      </c>
      <c r="G55" s="2" t="s">
        <v>37</v>
      </c>
      <c r="H55" s="2" t="s">
        <v>38</v>
      </c>
      <c r="I55" s="2" t="str">
        <f>IFERROR(__xludf.DUMMYFUNCTION("GOOGLETRANSLATE(C55,""fr"",""en"")"),"Nonexistent services, advisor who hangs up on me, letters in acknowledgment of receipt that remained unanswered, emails like it, nobody is capable or wants to manage my file ??? !!!! ....
I seized the insurance mediator more than 8 months ago and still n"&amp;"o return despite my reminders. A friend told me that he was useless since this institution supposed to be neutral was created in particular with the help of the Macif several decades ??? ... We think we are dreaming !!
I have an appointment this week wit"&amp;"h a competitor because I will terminate all my contracts. I realize that I made myself have had throughout the years of contributions that I paid for nothing !! I am very angry with the Macif which is not honest!
Being pity the quality service at 2 sous,"&amp;" do not respond to my comment because you are absolutely useless !!!
Avoid the Macif that I absolutely do not recommend !!!!!
")</f>
        <v>Nonexistent services, advisor who hangs up on me, letters in acknowledgment of receipt that remained unanswered, emails like it, nobody is capable or wants to manage my file ??? !!!! ....
I seized the insurance mediator more than 8 months ago and still no return despite my reminders. A friend told me that he was useless since this institution supposed to be neutral was created in particular with the help of the Macif several decades ??? ... We think we are dreaming !!
I have an appointment this week with a competitor because I will terminate all my contracts. I realize that I made myself have had throughout the years of contributions that I paid for nothing !! I am very angry with the Macif which is not honest!
Being pity the quality service at 2 sous, do not respond to my comment because you are absolutely useless !!!
Avoid the Macif that I absolutely do not recommend !!!!!
</v>
      </c>
    </row>
    <row r="56" ht="15.75" customHeight="1">
      <c r="A56" s="2">
        <v>5.0</v>
      </c>
      <c r="B56" s="2" t="s">
        <v>222</v>
      </c>
      <c r="C56" s="2" t="s">
        <v>223</v>
      </c>
      <c r="D56" s="2" t="s">
        <v>13</v>
      </c>
      <c r="E56" s="2" t="s">
        <v>14</v>
      </c>
      <c r="F56" s="2" t="s">
        <v>15</v>
      </c>
      <c r="G56" s="2" t="s">
        <v>224</v>
      </c>
      <c r="H56" s="2" t="s">
        <v>42</v>
      </c>
      <c r="I56" s="2" t="str">
        <f>IFERROR(__xludf.DUMMYFUNCTION("GOOGLETRANSLATE(C56,""fr"",""en"")"),"Fast effective value for money delighted to be part of your customers
I'm currently at work I was able to do this quickly on my phone.
")</f>
        <v>Fast effective value for money delighted to be part of your customers
I'm currently at work I was able to do this quickly on my phone.
</v>
      </c>
    </row>
    <row r="57" ht="15.75" customHeight="1">
      <c r="A57" s="2">
        <v>1.0</v>
      </c>
      <c r="B57" s="2" t="s">
        <v>225</v>
      </c>
      <c r="C57" s="2" t="s">
        <v>226</v>
      </c>
      <c r="D57" s="2" t="s">
        <v>227</v>
      </c>
      <c r="E57" s="2" t="s">
        <v>14</v>
      </c>
      <c r="F57" s="2" t="s">
        <v>15</v>
      </c>
      <c r="G57" s="2" t="s">
        <v>228</v>
      </c>
      <c r="H57" s="2" t="s">
        <v>33</v>
      </c>
      <c r="I57" s="2" t="str">
        <f>IFERROR(__xludf.DUMMYFUNCTION("GOOGLETRANSLATE(C57,""fr"",""en"")"),"They are awful I cannot be reimbursed for an exceeding of fees of 70 e I provided all the papers they always ask for more I have everything I have more I am really limited I do not understand that the management of Paris does not react on the lamentable p"&amp;"rovince I think I will start from the too zero zero arch I will look at the other mutuals and the prices at home since 1967 we are really taken for dummies we are at 100/100 every 2mon husband and me and we per month 300 e there is too much")</f>
        <v>They are awful I cannot be reimbursed for an exceeding of fees of 70 e I provided all the papers they always ask for more I have everything I have more I am really limited I do not understand that the management of Paris does not react on the lamentable province I think I will start from the too zero zero arch I will look at the other mutuals and the prices at home since 1967 we are really taken for dummies we are at 100/100 every 2mon husband and me and we per month 300 e there is too much</v>
      </c>
    </row>
    <row r="58" ht="15.75" customHeight="1">
      <c r="A58" s="2">
        <v>3.0</v>
      </c>
      <c r="B58" s="2" t="s">
        <v>229</v>
      </c>
      <c r="C58" s="2" t="s">
        <v>230</v>
      </c>
      <c r="D58" s="2" t="s">
        <v>231</v>
      </c>
      <c r="E58" s="2" t="s">
        <v>232</v>
      </c>
      <c r="F58" s="2" t="s">
        <v>15</v>
      </c>
      <c r="G58" s="2" t="s">
        <v>233</v>
      </c>
      <c r="H58" s="2" t="s">
        <v>234</v>
      </c>
      <c r="I58" s="2" t="str">
        <f>IFERROR(__xludf.DUMMYFUNCTION("GOOGLETRANSLATE(C58,""fr"",""en"")"),"In sickness workplace since April 2016 and currently recognized in cat2 disability since October 01, 2018 I have opened a file with my BNP bank to operate my ready -to -de Cardif insurance, to date I have not received any letter their share for the rest o"&amp;"f the file")</f>
        <v>In sickness workplace since April 2016 and currently recognized in cat2 disability since October 01, 2018 I have opened a file with my BNP bank to operate my ready -to -de Cardif insurance, to date I have not received any letter their share for the rest of the file</v>
      </c>
    </row>
    <row r="59" ht="15.75" customHeight="1">
      <c r="A59" s="2">
        <v>3.0</v>
      </c>
      <c r="B59" s="2" t="s">
        <v>235</v>
      </c>
      <c r="C59" s="2" t="s">
        <v>236</v>
      </c>
      <c r="D59" s="2" t="s">
        <v>237</v>
      </c>
      <c r="E59" s="2" t="s">
        <v>14</v>
      </c>
      <c r="F59" s="2" t="s">
        <v>15</v>
      </c>
      <c r="G59" s="2" t="s">
        <v>238</v>
      </c>
      <c r="H59" s="2" t="s">
        <v>239</v>
      </c>
      <c r="I59" s="2" t="str">
        <f>IFERROR(__xludf.DUMMYFUNCTION("GOOGLETRANSLATE(C59,""fr"",""en"")"),"Following a car breakdown, the car assistance was very professional and courtroe.")</f>
        <v>Following a car breakdown, the car assistance was very professional and courtroe.</v>
      </c>
    </row>
    <row r="60" ht="15.75" customHeight="1">
      <c r="A60" s="2">
        <v>4.0</v>
      </c>
      <c r="B60" s="2" t="s">
        <v>240</v>
      </c>
      <c r="C60" s="2" t="s">
        <v>241</v>
      </c>
      <c r="D60" s="2" t="s">
        <v>13</v>
      </c>
      <c r="E60" s="2" t="s">
        <v>14</v>
      </c>
      <c r="F60" s="2" t="s">
        <v>15</v>
      </c>
      <c r="G60" s="2" t="s">
        <v>242</v>
      </c>
      <c r="H60" s="2" t="s">
        <v>61</v>
      </c>
      <c r="I60" s="2" t="str">
        <f>IFERROR(__xludf.DUMMYFUNCTION("GOOGLETRANSLATE(C60,""fr"",""en"")"),"very satisfied with your responsiveness, clear formula and well explained by your advisers
To see in the event of a claim or other
Rather competent prices
To advise around you")</f>
        <v>very satisfied with your responsiveness, clear formula and well explained by your advisers
To see in the event of a claim or other
Rather competent prices
To advise around you</v>
      </c>
    </row>
    <row r="61" ht="15.75" customHeight="1">
      <c r="A61" s="2">
        <v>1.0</v>
      </c>
      <c r="B61" s="2" t="s">
        <v>243</v>
      </c>
      <c r="C61" s="2" t="s">
        <v>244</v>
      </c>
      <c r="D61" s="2" t="s">
        <v>245</v>
      </c>
      <c r="E61" s="2" t="s">
        <v>246</v>
      </c>
      <c r="F61" s="2" t="s">
        <v>15</v>
      </c>
      <c r="G61" s="2" t="s">
        <v>247</v>
      </c>
      <c r="H61" s="2" t="s">
        <v>248</v>
      </c>
      <c r="I61" s="2" t="str">
        <f>IFERROR(__xludf.DUMMYFUNCTION("GOOGLETRANSLATE(C61,""fr"",""en"")"),"It's a big joke!
According to dog insurance+, 60% of each veterinary expense had to be reimbursed.
On the 1st, out of € 73.80 I was reimbursed 30 €
On the 2nd, out of € 72.30 I was reimbursed € 15.
They sell us glitter for nothing at all.
Once the pr"&amp;"oblems have happened more answers it plays deaf, I have returned 5 times months mail before being reimbursed the 1st time, because sowithing they did not receive it except that I always sent it to the same address which was the right one.
It’s great in"&amp;"surance.")</f>
        <v>It's a big joke!
According to dog insurance+, 60% of each veterinary expense had to be reimbursed.
On the 1st, out of € 73.80 I was reimbursed 30 €
On the 2nd, out of € 72.30 I was reimbursed € 15.
They sell us glitter for nothing at all.
Once the problems have happened more answers it plays deaf, I have returned 5 times months mail before being reimbursed the 1st time, because sowithing they did not receive it except that I always sent it to the same address which was the right one.
It’s great insurance.</v>
      </c>
    </row>
    <row r="62" ht="15.75" customHeight="1">
      <c r="A62" s="2">
        <v>5.0</v>
      </c>
      <c r="B62" s="2" t="s">
        <v>249</v>
      </c>
      <c r="C62" s="2" t="s">
        <v>250</v>
      </c>
      <c r="D62" s="2" t="s">
        <v>13</v>
      </c>
      <c r="E62" s="2" t="s">
        <v>14</v>
      </c>
      <c r="F62" s="2" t="s">
        <v>15</v>
      </c>
      <c r="G62" s="2" t="s">
        <v>42</v>
      </c>
      <c r="H62" s="2" t="s">
        <v>42</v>
      </c>
      <c r="I62" s="2" t="str">
        <f>IFERROR(__xludf.DUMMYFUNCTION("GOOGLETRANSLATE(C62,""fr"",""en"")"),"I am satisfied with your insurance, thank you for staying so because your insurance is fine with me and thank you for your superb pricing which suits me very very well, cdt")</f>
        <v>I am satisfied with your insurance, thank you for staying so because your insurance is fine with me and thank you for your superb pricing which suits me very very well, cdt</v>
      </c>
    </row>
    <row r="63" ht="15.75" customHeight="1">
      <c r="A63" s="2">
        <v>1.0</v>
      </c>
      <c r="B63" s="2" t="s">
        <v>251</v>
      </c>
      <c r="C63" s="2" t="s">
        <v>252</v>
      </c>
      <c r="D63" s="2" t="s">
        <v>13</v>
      </c>
      <c r="E63" s="2" t="s">
        <v>14</v>
      </c>
      <c r="F63" s="2" t="s">
        <v>15</v>
      </c>
      <c r="G63" s="2" t="s">
        <v>253</v>
      </c>
      <c r="H63" s="2" t="s">
        <v>27</v>
      </c>
      <c r="I63" s="2" t="str">
        <f>IFERROR(__xludf.DUMMYFUNCTION("GOOGLETRANSLATE(C63,""fr"",""en"")"),"In all risks, Direct Insurance refuses to repair my vehicle and in addition accuse me of a false declaration !!!!! ASHAMED. All that not to pay.
  Take insurance with an office and a person in front of you.
Direct Assurance which is a subsidiary of AXA,"&amp;" returns a pitiful image of loss management. TO FLEE !!!!!!!!")</f>
        <v>In all risks, Direct Insurance refuses to repair my vehicle and in addition accuse me of a false declaration !!!!! ASHAMED. All that not to pay.
  Take insurance with an office and a person in front of you.
Direct Assurance which is a subsidiary of AXA, returns a pitiful image of loss management. TO FLEE !!!!!!!!</v>
      </c>
    </row>
    <row r="64" ht="15.75" customHeight="1">
      <c r="A64" s="2">
        <v>2.0</v>
      </c>
      <c r="B64" s="2" t="s">
        <v>254</v>
      </c>
      <c r="C64" s="2" t="s">
        <v>255</v>
      </c>
      <c r="D64" s="2" t="s">
        <v>36</v>
      </c>
      <c r="E64" s="2" t="s">
        <v>55</v>
      </c>
      <c r="F64" s="2" t="s">
        <v>15</v>
      </c>
      <c r="G64" s="2" t="s">
        <v>256</v>
      </c>
      <c r="H64" s="2" t="s">
        <v>52</v>
      </c>
      <c r="I64" s="2" t="str">
        <f>IFERROR(__xludf.DUMMYFUNCTION("GOOGLETRANSLATE(C64,""fr"",""en"")"),"I try to have the maif for assistance questions, Jarrive to have someone after 20 minutes, this person tells me that he cannot pass me the legal assistance.
Obliged to recommend to Zero and it is again for a 20 -minute wait to be able to have someone.
I"&amp;"n addition their Bot Voice is comfortable, it does not understand anything and drives you to bad service and again waste of time.")</f>
        <v>I try to have the maif for assistance questions, Jarrive to have someone after 20 minutes, this person tells me that he cannot pass me the legal assistance.
Obliged to recommend to Zero and it is again for a 20 -minute wait to be able to have someone.
In addition their Bot Voice is comfortable, it does not understand anything and drives you to bad service and again waste of time.</v>
      </c>
    </row>
    <row r="65" ht="15.75" customHeight="1">
      <c r="A65" s="2">
        <v>4.0</v>
      </c>
      <c r="B65" s="2" t="s">
        <v>257</v>
      </c>
      <c r="C65" s="2" t="s">
        <v>258</v>
      </c>
      <c r="D65" s="2" t="s">
        <v>70</v>
      </c>
      <c r="E65" s="2" t="s">
        <v>31</v>
      </c>
      <c r="F65" s="2" t="s">
        <v>15</v>
      </c>
      <c r="G65" s="2" t="s">
        <v>259</v>
      </c>
      <c r="H65" s="2" t="s">
        <v>190</v>
      </c>
      <c r="I65" s="2" t="str">
        <f>IFERROR(__xludf.DUMMYFUNCTION("GOOGLETRANSLATE(C65,""fr"",""en"")"),"Thank you sir for your kindness and your welcome, it is nice to be as well received. Soon Daniele Beaufort. I advise to register Neoliane the staff is nice.")</f>
        <v>Thank you sir for your kindness and your welcome, it is nice to be as well received. Soon Daniele Beaufort. I advise to register Neoliane the staff is nice.</v>
      </c>
    </row>
    <row r="66" ht="15.75" customHeight="1">
      <c r="A66" s="2">
        <v>3.0</v>
      </c>
      <c r="B66" s="2" t="s">
        <v>260</v>
      </c>
      <c r="C66" s="2" t="s">
        <v>261</v>
      </c>
      <c r="D66" s="2" t="s">
        <v>45</v>
      </c>
      <c r="E66" s="2" t="s">
        <v>14</v>
      </c>
      <c r="F66" s="2" t="s">
        <v>15</v>
      </c>
      <c r="G66" s="2" t="s">
        <v>262</v>
      </c>
      <c r="H66" s="2" t="s">
        <v>263</v>
      </c>
      <c r="I66" s="2" t="str">
        <f>IFERROR(__xludf.DUMMYFUNCTION("GOOGLETRANSLATE(C66,""fr"",""en"")"),"Personal in an agency not friendly and not very understanding while the error was made by them.
No negotiation possible therefore departure from the company without regret.")</f>
        <v>Personal in an agency not friendly and not very understanding while the error was made by them.
No negotiation possible therefore departure from the company without regret.</v>
      </c>
    </row>
    <row r="67" ht="15.75" customHeight="1">
      <c r="A67" s="2">
        <v>4.0</v>
      </c>
      <c r="B67" s="2" t="s">
        <v>264</v>
      </c>
      <c r="C67" s="2" t="s">
        <v>265</v>
      </c>
      <c r="D67" s="2" t="s">
        <v>64</v>
      </c>
      <c r="E67" s="2" t="s">
        <v>65</v>
      </c>
      <c r="F67" s="2" t="s">
        <v>15</v>
      </c>
      <c r="G67" s="2" t="s">
        <v>216</v>
      </c>
      <c r="H67" s="2" t="s">
        <v>42</v>
      </c>
      <c r="I67" s="2" t="str">
        <f>IFERROR(__xludf.DUMMYFUNCTION("GOOGLETRANSLATE(C67,""fr"",""en"")"),"Disability 2 and having a company provident at AG2R I made my request file it was processed within very fast deadlines
I am very satisfied with the deadlines and the implementation of payments")</f>
        <v>Disability 2 and having a company provident at AG2R I made my request file it was processed within very fast deadlines
I am very satisfied with the deadlines and the implementation of payments</v>
      </c>
    </row>
    <row r="68" ht="15.75" customHeight="1">
      <c r="A68" s="2">
        <v>2.0</v>
      </c>
      <c r="B68" s="2" t="s">
        <v>266</v>
      </c>
      <c r="C68" s="2" t="s">
        <v>267</v>
      </c>
      <c r="D68" s="2" t="s">
        <v>13</v>
      </c>
      <c r="E68" s="2" t="s">
        <v>14</v>
      </c>
      <c r="F68" s="2" t="s">
        <v>15</v>
      </c>
      <c r="G68" s="2" t="s">
        <v>268</v>
      </c>
      <c r="H68" s="2" t="s">
        <v>263</v>
      </c>
      <c r="I68" s="2" t="str">
        <f>IFERROR(__xludf.DUMMYFUNCTION("GOOGLETRANSLATE(C68,""fr"",""en"")"),"To avoid absolutely !!!!
To have them on the phone you have to be patient it is quite paradoxical for insurance that put on their customer service
 ")</f>
        <v>To avoid absolutely !!!!
To have them on the phone you have to be patient it is quite paradoxical for insurance that put on their customer service
 </v>
      </c>
    </row>
    <row r="69" ht="15.75" customHeight="1">
      <c r="A69" s="2">
        <v>4.0</v>
      </c>
      <c r="B69" s="2" t="s">
        <v>269</v>
      </c>
      <c r="C69" s="2" t="s">
        <v>270</v>
      </c>
      <c r="D69" s="2" t="s">
        <v>271</v>
      </c>
      <c r="E69" s="2" t="s">
        <v>55</v>
      </c>
      <c r="F69" s="2" t="s">
        <v>15</v>
      </c>
      <c r="G69" s="2" t="s">
        <v>61</v>
      </c>
      <c r="H69" s="2" t="s">
        <v>61</v>
      </c>
      <c r="I69" s="2" t="str">
        <f>IFERROR(__xludf.DUMMYFUNCTION("GOOGLETRANSLATE(C69,""fr"",""en"")"),"Super insurance, reactive each time I had a claim, as much in reimbursement as in ease of procedure, everything was done by email after the call to the claim. Cheer.")</f>
        <v>Super insurance, reactive each time I had a claim, as much in reimbursement as in ease of procedure, everything was done by email after the call to the claim. Cheer.</v>
      </c>
    </row>
    <row r="70" ht="15.75" customHeight="1">
      <c r="A70" s="2">
        <v>1.0</v>
      </c>
      <c r="B70" s="2" t="s">
        <v>272</v>
      </c>
      <c r="C70" s="2" t="s">
        <v>273</v>
      </c>
      <c r="D70" s="2" t="s">
        <v>74</v>
      </c>
      <c r="E70" s="2" t="s">
        <v>14</v>
      </c>
      <c r="F70" s="2" t="s">
        <v>15</v>
      </c>
      <c r="G70" s="2" t="s">
        <v>274</v>
      </c>
      <c r="H70" s="2" t="s">
        <v>150</v>
      </c>
      <c r="I70" s="2" t="str">
        <f>IFERROR(__xludf.DUMMYFUNCTION("GOOGLETRANSLATE(C70,""fr"",""en"")"),"The quality of advisers on the phone is a disaster, not professional at all.
I had a non -responsible accident, I went to the agency to file my amicable observation.
This observation has disappeared in nature, suddenly I find myself paying a deductible "&amp;"if I want my car to be repaired.
As long as there is no claim everything is fine, tie your belt you have one, that's where the problems start.
2 claims declared in 10 years I know what I'm talking about.
")</f>
        <v>The quality of advisers on the phone is a disaster, not professional at all.
I had a non -responsible accident, I went to the agency to file my amicable observation.
This observation has disappeared in nature, suddenly I find myself paying a deductible if I want my car to be repaired.
As long as there is no claim everything is fine, tie your belt you have one, that's where the problems start.
2 claims declared in 10 years I know what I'm talking about.
</v>
      </c>
    </row>
    <row r="71" ht="15.75" customHeight="1">
      <c r="A71" s="2">
        <v>2.0</v>
      </c>
      <c r="B71" s="2" t="s">
        <v>275</v>
      </c>
      <c r="C71" s="2" t="s">
        <v>276</v>
      </c>
      <c r="D71" s="2" t="s">
        <v>277</v>
      </c>
      <c r="E71" s="2" t="s">
        <v>55</v>
      </c>
      <c r="F71" s="2" t="s">
        <v>15</v>
      </c>
      <c r="G71" s="2" t="s">
        <v>278</v>
      </c>
      <c r="H71" s="2" t="s">
        <v>52</v>
      </c>
      <c r="I71" s="2" t="str">
        <f>IFERROR(__xludf.DUMMYFUNCTION("GOOGLETRANSLATE(C71,""fr"",""en"")"),"Hello, Insurance to avoid absolutely, leave it alone in the face of the problem. For the record, my apartment caught fire, the expert to judge 12 months of work but it took 17 months. The 7 rents for additional rehousing are the responsibility of the insu"&amp;"red. Insurance does not want to hear anything and leaves me alone with my children, returns the fault on the craftsmen. One of the interlocutor told me to call me more and that insurance will never take care of rents. Today I end up with a debt of € 5,000"&amp;" with my lessor, whom I thank for his patience and hopes to settle it quickly.")</f>
        <v>Hello, Insurance to avoid absolutely, leave it alone in the face of the problem. For the record, my apartment caught fire, the expert to judge 12 months of work but it took 17 months. The 7 rents for additional rehousing are the responsibility of the insured. Insurance does not want to hear anything and leaves me alone with my children, returns the fault on the craftsmen. One of the interlocutor told me to call me more and that insurance will never take care of rents. Today I end up with a debt of € 5,000 with my lessor, whom I thank for his patience and hopes to settle it quickly.</v>
      </c>
    </row>
    <row r="72" ht="15.75" customHeight="1">
      <c r="A72" s="2">
        <v>5.0</v>
      </c>
      <c r="B72" s="2" t="s">
        <v>279</v>
      </c>
      <c r="C72" s="2" t="s">
        <v>280</v>
      </c>
      <c r="D72" s="2" t="s">
        <v>87</v>
      </c>
      <c r="E72" s="2" t="s">
        <v>14</v>
      </c>
      <c r="F72" s="2" t="s">
        <v>15</v>
      </c>
      <c r="G72" s="2" t="s">
        <v>281</v>
      </c>
      <c r="H72" s="2" t="s">
        <v>282</v>
      </c>
      <c r="I72" s="2" t="str">
        <f>IFERROR(__xludf.DUMMYFUNCTION("GOOGLETRANSLATE(C72,""fr"",""en"")"),"Delighted to be admitted to you and your speed to process my file. Really very nice telephone welcome.
Thank you
Cordially
Madame Perrier")</f>
        <v>Delighted to be admitted to you and your speed to process my file. Really very nice telephone welcome.
Thank you
Cordially
Madame Perrier</v>
      </c>
    </row>
    <row r="73" ht="15.75" customHeight="1">
      <c r="A73" s="2">
        <v>2.0</v>
      </c>
      <c r="B73" s="2" t="s">
        <v>283</v>
      </c>
      <c r="C73" s="2" t="s">
        <v>284</v>
      </c>
      <c r="D73" s="2" t="s">
        <v>87</v>
      </c>
      <c r="E73" s="2" t="s">
        <v>14</v>
      </c>
      <c r="F73" s="2" t="s">
        <v>15</v>
      </c>
      <c r="G73" s="2" t="s">
        <v>285</v>
      </c>
      <c r="H73" s="2" t="s">
        <v>103</v>
      </c>
      <c r="I73" s="2" t="str">
        <f>IFERROR(__xludf.DUMMYFUNCTION("GOOGLETRANSLATE(C73,""fr"",""en"")"),"Good evening,
Following my 2 claims last year, I was more than disappointed with this insurer: no responsiveness (tow truck announced in 45 min set 2 hours to come while I was waiting for 2 children below), car Tribed from garage to garage, it is necessa"&amp;"ry to remember several times a day because the services do not communicate with each other. Also, bad faith or real ignorance of the law (it is necessary to remind them of your rights x times with supporting texts so that they access your requests x month"&amp;"s after !!); Total contempt of the person (despite the shock of the accident and the body file, you have interest you quickly because they do not give you gifts: example car sent in Fourriere! Insurance does not prevail, you Discover it by chance and they"&amp;" refuse to pay the Fourriere to finally reimburse you 6 months later because they are in wrong).
Today we refuse to give me a copy of the police report establishes despite my reminders and statements of the lawyer, the police and the legislation in force"&amp;" !! Simply scandalous!")</f>
        <v>Good evening,
Following my 2 claims last year, I was more than disappointed with this insurer: no responsiveness (tow truck announced in 45 min set 2 hours to come while I was waiting for 2 children below), car Tribed from garage to garage, it is necessary to remember several times a day because the services do not communicate with each other. Also, bad faith or real ignorance of the law (it is necessary to remind them of your rights x times with supporting texts so that they access your requests x months after !!); Total contempt of the person (despite the shock of the accident and the body file, you have interest you quickly because they do not give you gifts: example car sent in Fourriere! Insurance does not prevail, you Discover it by chance and they refuse to pay the Fourriere to finally reimburse you 6 months later because they are in wrong).
Today we refuse to give me a copy of the police report establishes despite my reminders and statements of the lawyer, the police and the legislation in force !! Simply scandalous!</v>
      </c>
    </row>
    <row r="74" ht="15.75" customHeight="1">
      <c r="A74" s="2">
        <v>1.0</v>
      </c>
      <c r="B74" s="2" t="s">
        <v>286</v>
      </c>
      <c r="C74" s="2" t="s">
        <v>287</v>
      </c>
      <c r="D74" s="2" t="s">
        <v>231</v>
      </c>
      <c r="E74" s="2" t="s">
        <v>288</v>
      </c>
      <c r="F74" s="2" t="s">
        <v>15</v>
      </c>
      <c r="G74" s="2" t="s">
        <v>289</v>
      </c>
      <c r="H74" s="2" t="s">
        <v>67</v>
      </c>
      <c r="I74" s="2" t="str">
        <f>IFERROR(__xludf.DUMMYFUNCTION("GOOGLETRANSLATE(C74,""fr"",""en"")"),"2 months to record a death!, It is impossible to have specific information by phone, they are losing documents that you send them, they drag things, you have to restart them permanently, they never recall, they are of a Slow rarely reached ...")</f>
        <v>2 months to record a death!, It is impossible to have specific information by phone, they are losing documents that you send them, they drag things, you have to restart them permanently, they never recall, they are of a Slow rarely reached ...</v>
      </c>
    </row>
    <row r="75" ht="15.75" customHeight="1">
      <c r="A75" s="2">
        <v>5.0</v>
      </c>
      <c r="B75" s="2" t="s">
        <v>290</v>
      </c>
      <c r="C75" s="2" t="s">
        <v>291</v>
      </c>
      <c r="D75" s="2" t="s">
        <v>13</v>
      </c>
      <c r="E75" s="2" t="s">
        <v>14</v>
      </c>
      <c r="F75" s="2" t="s">
        <v>15</v>
      </c>
      <c r="G75" s="2" t="s">
        <v>292</v>
      </c>
      <c r="H75" s="2" t="s">
        <v>42</v>
      </c>
      <c r="I75" s="2" t="str">
        <f>IFERROR(__xludf.DUMMYFUNCTION("GOOGLETRANSLATE(C75,""fr"",""en"")"),"No complaints for subscription. The subscription is done quickly, simply.
To see if necessary, how it goes. On paper, no complaints.")</f>
        <v>No complaints for subscription. The subscription is done quickly, simply.
To see if necessary, how it goes. On paper, no complaints.</v>
      </c>
    </row>
    <row r="76" ht="15.75" customHeight="1">
      <c r="A76" s="2">
        <v>5.0</v>
      </c>
      <c r="B76" s="2" t="s">
        <v>293</v>
      </c>
      <c r="C76" s="2" t="s">
        <v>294</v>
      </c>
      <c r="D76" s="2" t="s">
        <v>13</v>
      </c>
      <c r="E76" s="2" t="s">
        <v>14</v>
      </c>
      <c r="F76" s="2" t="s">
        <v>15</v>
      </c>
      <c r="G76" s="2" t="s">
        <v>295</v>
      </c>
      <c r="H76" s="2" t="s">
        <v>42</v>
      </c>
      <c r="I76" s="2" t="str">
        <f>IFERROR(__xludf.DUMMYFUNCTION("GOOGLETRANSLATE(C76,""fr"",""en"")"),"I am satisfied with my sponsorship and thank you in advance for the interest you have carried at my request. You do a good job.
Thank you direct insurance")</f>
        <v>I am satisfied with my sponsorship and thank you in advance for the interest you have carried at my request. You do a good job.
Thank you direct insurance</v>
      </c>
    </row>
    <row r="77" ht="15.75" customHeight="1">
      <c r="A77" s="2">
        <v>1.0</v>
      </c>
      <c r="B77" s="2" t="s">
        <v>296</v>
      </c>
      <c r="C77" s="2" t="s">
        <v>297</v>
      </c>
      <c r="D77" s="2" t="s">
        <v>36</v>
      </c>
      <c r="E77" s="2" t="s">
        <v>14</v>
      </c>
      <c r="F77" s="2" t="s">
        <v>15</v>
      </c>
      <c r="G77" s="2" t="s">
        <v>298</v>
      </c>
      <c r="H77" s="2" t="s">
        <v>138</v>
      </c>
      <c r="I77" s="2" t="str">
        <f>IFERROR(__xludf.DUMMYFUNCTION("GOOGLETRANSLATE(C77,""fr"",""en"")"),"I want to share, again, an opinion on a surreal situation with Maif.
- I acquired a collector's vehicle on 10/16/20 that I provided (collection insurance) by telephone call.
- This one, parked to the former owner, must be delivered on 10/29/20 (that is "&amp;"to say tomorrow).
- I moved last week in agency to add the 0km Troubleshooting option. I was told that this option was only available in fullness formula. A quote has been made and I planned to change at the reception of said vehicle.
- After requesting"&amp;" a change of formula, the seat replied that the vehicle should be seen in an agency because a flag had been launched at the headquarters !!!!!!!!!!
- I went back to the agency this morning to see the helplessness of this one facing the seat.
- I finally"&amp;" understood that what I said was not admissible because suspicious. This point is critical.
Two remarks:
- The headquarters of the MAIF must question itself.
- I am trying to re-assure my vehicle fleet (motorcycles + cars) from another aussurous partne"&amp;"r.")</f>
        <v>I want to share, again, an opinion on a surreal situation with Maif.
- I acquired a collector's vehicle on 10/16/20 that I provided (collection insurance) by telephone call.
- This one, parked to the former owner, must be delivered on 10/29/20 (that is to say tomorrow).
- I moved last week in agency to add the 0km Troubleshooting option. I was told that this option was only available in fullness formula. A quote has been made and I planned to change at the reception of said vehicle.
- After requesting a change of formula, the seat replied that the vehicle should be seen in an agency because a flag had been launched at the headquarters !!!!!!!!!!
- I went back to the agency this morning to see the helplessness of this one facing the seat.
- I finally understood that what I said was not admissible because suspicious. This point is critical.
Two remarks:
- The headquarters of the MAIF must question itself.
- I am trying to re-assure my vehicle fleet (motorcycles + cars) from another aussurous partner.</v>
      </c>
    </row>
    <row r="78" ht="15.75" customHeight="1">
      <c r="A78" s="2">
        <v>3.0</v>
      </c>
      <c r="B78" s="2" t="s">
        <v>299</v>
      </c>
      <c r="C78" s="2" t="s">
        <v>300</v>
      </c>
      <c r="D78" s="2" t="s">
        <v>30</v>
      </c>
      <c r="E78" s="2" t="s">
        <v>31</v>
      </c>
      <c r="F78" s="2" t="s">
        <v>15</v>
      </c>
      <c r="G78" s="2" t="s">
        <v>301</v>
      </c>
      <c r="H78" s="2" t="s">
        <v>302</v>
      </c>
      <c r="I78" s="2" t="str">
        <f>IFERROR(__xludf.DUMMYFUNCTION("GOOGLETRANSLATE(C78,""fr"",""en"")"),"The service is always of good quality when it is telephone and fast via the website.
However, I find that the services offered are not sufficient in relation to the price of the mutual.")</f>
        <v>The service is always of good quality when it is telephone and fast via the website.
However, I find that the services offered are not sufficient in relation to the price of the mutual.</v>
      </c>
    </row>
    <row r="79" ht="15.75" customHeight="1">
      <c r="A79" s="2">
        <v>1.0</v>
      </c>
      <c r="B79" s="2" t="s">
        <v>303</v>
      </c>
      <c r="C79" s="2" t="s">
        <v>304</v>
      </c>
      <c r="D79" s="2" t="s">
        <v>237</v>
      </c>
      <c r="E79" s="2" t="s">
        <v>14</v>
      </c>
      <c r="F79" s="2" t="s">
        <v>15</v>
      </c>
      <c r="G79" s="2" t="s">
        <v>305</v>
      </c>
      <c r="H79" s="2" t="s">
        <v>195</v>
      </c>
      <c r="I79" s="2" t="str">
        <f>IFERROR(__xludf.DUMMYFUNCTION("GOOGLETRANSLATE(C79,""fr"",""en"")"),"This insurance has prices which are average, however during an accident of which I was the victim on December 9, 2019, committed by others, this insurance did not show no compassion, nor any professionalism which which can expect, since we pay our money a"&amp;"ll year round for that ... It was only to warn, limits of the insults on their part, we do not let you explain ... On the other hand, no refunds, or then completely random and incomprehensible reimbursements ... Their way of doing things is made to make y"&amp;"ou understand that ultimately, as a victim. You are guilty !!!!! Your vehicle, your clothes, all physical, moral costs, etc, etc. are not reimbursed to you, and you have no compensation .. !!! This insurance is to be fleeing absolutely. The worse is that "&amp;"then, they send you repeated SMS to ask you your in that concern them ... ??? to flee, and quickly ... !!")</f>
        <v>This insurance has prices which are average, however during an accident of which I was the victim on December 9, 2019, committed by others, this insurance did not show no compassion, nor any professionalism which which can expect, since we pay our money all year round for that ... It was only to warn, limits of the insults on their part, we do not let you explain ... On the other hand, no refunds, or then completely random and incomprehensible reimbursements ... Their way of doing things is made to make you understand that ultimately, as a victim. You are guilty !!!!! Your vehicle, your clothes, all physical, moral costs, etc, etc. are not reimbursed to you, and you have no compensation .. !!! This insurance is to be fleeing absolutely. The worse is that then, they send you repeated SMS to ask you your in that concern them ... ??? to flee, and quickly ... !!</v>
      </c>
    </row>
    <row r="80" ht="15.75" customHeight="1">
      <c r="A80" s="2">
        <v>3.0</v>
      </c>
      <c r="B80" s="2" t="s">
        <v>306</v>
      </c>
      <c r="C80" s="2" t="s">
        <v>307</v>
      </c>
      <c r="D80" s="2" t="s">
        <v>13</v>
      </c>
      <c r="E80" s="2" t="s">
        <v>14</v>
      </c>
      <c r="F80" s="2" t="s">
        <v>15</v>
      </c>
      <c r="G80" s="2" t="s">
        <v>308</v>
      </c>
      <c r="H80" s="2" t="s">
        <v>52</v>
      </c>
      <c r="I80" s="2" t="str">
        <f>IFERROR(__xludf.DUMMYFUNCTION("GOOGLETRANSLATE(C80,""fr"",""en"")"),"Site used to record a new vehicle for my daughter. At first it is not easy to find the right seizure fields P^but then it's simple")</f>
        <v>Site used to record a new vehicle for my daughter. At first it is not easy to find the right seizure fields P^but then it's simple</v>
      </c>
    </row>
    <row r="81" ht="15.75" customHeight="1">
      <c r="A81" s="2">
        <v>3.0</v>
      </c>
      <c r="B81" s="2" t="s">
        <v>309</v>
      </c>
      <c r="C81" s="2" t="s">
        <v>310</v>
      </c>
      <c r="D81" s="2" t="s">
        <v>13</v>
      </c>
      <c r="E81" s="2" t="s">
        <v>14</v>
      </c>
      <c r="F81" s="2" t="s">
        <v>15</v>
      </c>
      <c r="G81" s="2" t="s">
        <v>311</v>
      </c>
      <c r="H81" s="2" t="s">
        <v>312</v>
      </c>
      <c r="I81" s="2" t="str">
        <f>IFERROR(__xludf.DUMMYFUNCTION("GOOGLETRANSLATE(C81,""fr"",""en"")"),"Stop to Direct Insurance. I was surprised at the low entry price announced by Direct Insurance, except that having the project to change vehicles after two years of use of the same, they take the opportunity to increase the annual subscription by € 150. T"&amp;"he worst part is that by making the online quote, by pretending to be a non -client, the subscription is much cheaper. Surprise, I call customer service, who says to me and be careful: ""You only have to terminate, following the sale of your vehicle and t"&amp;"hen take out a new car contract ..."". I am sorry but it is very anti-commercial and not professional to see coward as an answer. Thank you for your urgent action, and above all there is a big problem in the calculation of my coefficient. !!! Do not get f"&amp;"ooled")</f>
        <v>Stop to Direct Insurance. I was surprised at the low entry price announced by Direct Insurance, except that having the project to change vehicles after two years of use of the same, they take the opportunity to increase the annual subscription by € 150. The worst part is that by making the online quote, by pretending to be a non -client, the subscription is much cheaper. Surprise, I call customer service, who says to me and be careful: "You only have to terminate, following the sale of your vehicle and then take out a new car contract ...". I am sorry but it is very anti-commercial and not professional to see coward as an answer. Thank you for your urgent action, and above all there is a big problem in the calculation of my coefficient. !!! Do not get fooled</v>
      </c>
    </row>
    <row r="82" ht="15.75" customHeight="1">
      <c r="A82" s="2">
        <v>2.0</v>
      </c>
      <c r="B82" s="2" t="s">
        <v>313</v>
      </c>
      <c r="C82" s="2" t="s">
        <v>314</v>
      </c>
      <c r="D82" s="2" t="s">
        <v>315</v>
      </c>
      <c r="E82" s="2" t="s">
        <v>55</v>
      </c>
      <c r="F82" s="2" t="s">
        <v>15</v>
      </c>
      <c r="G82" s="2" t="s">
        <v>316</v>
      </c>
      <c r="H82" s="2" t="s">
        <v>38</v>
      </c>
      <c r="I82" s="2" t="str">
        <f>IFERROR(__xludf.DUMMYFUNCTION("GOOGLETRANSLATE(C82,""fr"",""en"")"),"Deplurable compensation period No follow -up You call and 3 weeks later it still hasn't happened on December 3, already 3 months old ....")</f>
        <v>Deplurable compensation period No follow -up You call and 3 weeks later it still hasn't happened on December 3, already 3 months old ....</v>
      </c>
    </row>
    <row r="83" ht="15.75" customHeight="1">
      <c r="A83" s="2">
        <v>1.0</v>
      </c>
      <c r="B83" s="2" t="s">
        <v>317</v>
      </c>
      <c r="C83" s="2" t="s">
        <v>318</v>
      </c>
      <c r="D83" s="2" t="s">
        <v>319</v>
      </c>
      <c r="E83" s="2" t="s">
        <v>14</v>
      </c>
      <c r="F83" s="2" t="s">
        <v>15</v>
      </c>
      <c r="G83" s="2" t="s">
        <v>320</v>
      </c>
      <c r="H83" s="2" t="s">
        <v>150</v>
      </c>
      <c r="I83" s="2" t="str">
        <f>IFERROR(__xludf.DUMMYFUNCTION("GOOGLETRANSLATE(C83,""fr"",""en"")"),"To flee!!!!
Through a comparator and seduced by the price, I have taken out insurance without taking into account the opinions made by former customers. After fulfilling a questionnaire which is not at all explicit and vague, I pay a response and receive"&amp;" a schedule. After 3 weeks, I receive a recommended to signify my termination on the pretext that the answers given during my registration were not exact !!!!!! I ask them why I have waited for 3 weeks to mean it to me? No answer and the worst is my diffe"&amp;"rent interlocutors who do not help you at all and who take you high as if you were the last of the turnips.
Advice, it is better to pay more and have a real insurance company.")</f>
        <v>To flee!!!!
Through a comparator and seduced by the price, I have taken out insurance without taking into account the opinions made by former customers. After fulfilling a questionnaire which is not at all explicit and vague, I pay a response and receive a schedule. After 3 weeks, I receive a recommended to signify my termination on the pretext that the answers given during my registration were not exact !!!!!! I ask them why I have waited for 3 weeks to mean it to me? No answer and the worst is my different interlocutors who do not help you at all and who take you high as if you were the last of the turnips.
Advice, it is better to pay more and have a real insurance company.</v>
      </c>
    </row>
    <row r="84" ht="15.75" customHeight="1">
      <c r="A84" s="2">
        <v>5.0</v>
      </c>
      <c r="B84" s="2" t="s">
        <v>321</v>
      </c>
      <c r="C84" s="2" t="s">
        <v>322</v>
      </c>
      <c r="D84" s="2" t="s">
        <v>271</v>
      </c>
      <c r="E84" s="2" t="s">
        <v>55</v>
      </c>
      <c r="F84" s="2" t="s">
        <v>15</v>
      </c>
      <c r="G84" s="2" t="s">
        <v>323</v>
      </c>
      <c r="H84" s="2" t="s">
        <v>324</v>
      </c>
      <c r="I84" s="2" t="str">
        <f>IFERROR(__xludf.DUMMYFUNCTION("GOOGLETRANSLATE(C84,""fr"",""en"")"),"We must discuss the price before signing compare with competition and review insurance contracts every year with comparison. After this is perfect. You are the chef.")</f>
        <v>We must discuss the price before signing compare with competition and review insurance contracts every year with comparison. After this is perfect. You are the chef.</v>
      </c>
    </row>
    <row r="85" ht="15.75" customHeight="1">
      <c r="A85" s="2">
        <v>1.0</v>
      </c>
      <c r="B85" s="2" t="s">
        <v>325</v>
      </c>
      <c r="C85" s="2" t="s">
        <v>326</v>
      </c>
      <c r="D85" s="2" t="s">
        <v>87</v>
      </c>
      <c r="E85" s="2" t="s">
        <v>14</v>
      </c>
      <c r="F85" s="2" t="s">
        <v>15</v>
      </c>
      <c r="G85" s="2" t="s">
        <v>327</v>
      </c>
      <c r="H85" s="2" t="s">
        <v>186</v>
      </c>
      <c r="I85" s="2" t="str">
        <f>IFERROR(__xludf.DUMMYFUNCTION("GOOGLETRANSLATE(C85,""fr"",""en"")"),"I am very disappointed with this insurance.
- I move from a big town to a small village right next to it, it increases the price.
- I go from cohabitation to Pacsé in a family situation, it increases the price. Everything is good to take to increase and"&amp;" the person on the phone does not want to find a solution.
I am very very disappointed !!!
I change insurance as soon as my contract stops.")</f>
        <v>I am very disappointed with this insurance.
- I move from a big town to a small village right next to it, it increases the price.
- I go from cohabitation to Pacsé in a family situation, it increases the price. Everything is good to take to increase and the person on the phone does not want to find a solution.
I am very very disappointed !!!
I change insurance as soon as my contract stops.</v>
      </c>
    </row>
    <row r="86" ht="15.75" customHeight="1">
      <c r="A86" s="2">
        <v>2.0</v>
      </c>
      <c r="B86" s="2" t="s">
        <v>328</v>
      </c>
      <c r="C86" s="2" t="s">
        <v>329</v>
      </c>
      <c r="D86" s="2" t="s">
        <v>330</v>
      </c>
      <c r="E86" s="2" t="s">
        <v>31</v>
      </c>
      <c r="F86" s="2" t="s">
        <v>15</v>
      </c>
      <c r="G86" s="2" t="s">
        <v>331</v>
      </c>
      <c r="H86" s="2" t="s">
        <v>52</v>
      </c>
      <c r="I86" s="2" t="str">
        <f>IFERROR(__xludf.DUMMYFUNCTION("GOOGLETRANSLATE(C86,""fr"",""en"")"),"No solidarity for the disabled, really zero, drug repayment, very little, speed of long reimbursement. can do better, the advertising advertising!")</f>
        <v>No solidarity for the disabled, really zero, drug repayment, very little, speed of long reimbursement. can do better, the advertising advertising!</v>
      </c>
    </row>
    <row r="87" ht="15.75" customHeight="1">
      <c r="A87" s="2">
        <v>4.0</v>
      </c>
      <c r="B87" s="2" t="s">
        <v>332</v>
      </c>
      <c r="C87" s="2" t="s">
        <v>333</v>
      </c>
      <c r="D87" s="2" t="s">
        <v>334</v>
      </c>
      <c r="E87" s="2" t="s">
        <v>31</v>
      </c>
      <c r="F87" s="2" t="s">
        <v>15</v>
      </c>
      <c r="G87" s="2" t="s">
        <v>335</v>
      </c>
      <c r="H87" s="2" t="s">
        <v>61</v>
      </c>
      <c r="I87" s="2" t="str">
        <f>IFERROR(__xludf.DUMMYFUNCTION("GOOGLETRANSLATE(C87,""fr"",""en"")"),"Thank you for the answers that Lamia gave me yesterday during our telephone exchange. Listening and precision of the responses are not satisfied. I will recommend, if necessary, this mutual insurance company to my loved ones.")</f>
        <v>Thank you for the answers that Lamia gave me yesterday during our telephone exchange. Listening and precision of the responses are not satisfied. I will recommend, if necessary, this mutual insurance company to my loved ones.</v>
      </c>
    </row>
    <row r="88" ht="15.75" customHeight="1">
      <c r="A88" s="2">
        <v>1.0</v>
      </c>
      <c r="B88" s="2" t="s">
        <v>336</v>
      </c>
      <c r="C88" s="2" t="s">
        <v>337</v>
      </c>
      <c r="D88" s="2" t="s">
        <v>45</v>
      </c>
      <c r="E88" s="2" t="s">
        <v>14</v>
      </c>
      <c r="F88" s="2" t="s">
        <v>15</v>
      </c>
      <c r="G88" s="2" t="s">
        <v>137</v>
      </c>
      <c r="H88" s="2" t="s">
        <v>138</v>
      </c>
      <c r="I88" s="2" t="str">
        <f>IFERROR(__xludf.DUMMYFUNCTION("GOOGLETRANSLATE(C88,""fr"",""en"")"),"Very available for insurance subscriptions but as soon as it is a question of terminating no one. We send you a schedule without detailing the calculation and we take you with impunity until the anniversary of the contract while the law has changed.
We i"&amp;"nvite you to come and carry out ""amicable"" terminations in agency but the schedules requires you to put yourself on leave.
To flee. There are cheaper insurance. The quality of their service does not justify their prices.")</f>
        <v>Very available for insurance subscriptions but as soon as it is a question of terminating no one. We send you a schedule without detailing the calculation and we take you with impunity until the anniversary of the contract while the law has changed.
We invite you to come and carry out "amicable" terminations in agency but the schedules requires you to put yourself on leave.
To flee. There are cheaper insurance. The quality of their service does not justify their prices.</v>
      </c>
    </row>
    <row r="89" ht="15.75" customHeight="1">
      <c r="A89" s="2">
        <v>1.0</v>
      </c>
      <c r="B89" s="2" t="s">
        <v>338</v>
      </c>
      <c r="C89" s="2" t="s">
        <v>339</v>
      </c>
      <c r="D89" s="2" t="s">
        <v>13</v>
      </c>
      <c r="E89" s="2" t="s">
        <v>14</v>
      </c>
      <c r="F89" s="2" t="s">
        <v>15</v>
      </c>
      <c r="G89" s="2" t="s">
        <v>340</v>
      </c>
      <c r="H89" s="2" t="s">
        <v>61</v>
      </c>
      <c r="I89" s="2" t="str">
        <f>IFERROR(__xludf.DUMMYFUNCTION("GOOGLETRANSLATE(C89,""fr"",""en"")"),"I do not recommend subscribing to Direct Insurance. There are franchises everywhere and he does not tell you, when the communication does not speak. You just pay for protection in the event of an accident because everything else will be at your expense. I"&amp;" will do everything to degate from their home the fastest. As for the drop in insurance price every year, it is obvious that it may never happen. A shabby assistant")</f>
        <v>I do not recommend subscribing to Direct Insurance. There are franchises everywhere and he does not tell you, when the communication does not speak. You just pay for protection in the event of an accident because everything else will be at your expense. I will do everything to degate from their home the fastest. As for the drop in insurance price every year, it is obvious that it may never happen. A shabby assistant</v>
      </c>
    </row>
    <row r="90" ht="15.75" customHeight="1">
      <c r="A90" s="2">
        <v>1.0</v>
      </c>
      <c r="B90" s="2" t="s">
        <v>341</v>
      </c>
      <c r="C90" s="2" t="s">
        <v>342</v>
      </c>
      <c r="D90" s="2" t="s">
        <v>70</v>
      </c>
      <c r="E90" s="2" t="s">
        <v>31</v>
      </c>
      <c r="F90" s="2" t="s">
        <v>15</v>
      </c>
      <c r="G90" s="2" t="s">
        <v>343</v>
      </c>
      <c r="H90" s="2" t="s">
        <v>344</v>
      </c>
      <c r="I90" s="2" t="str">
        <f>IFERROR(__xludf.DUMMYFUNCTION("GOOGLETRANSLATE(C90,""fr"",""en"")"),"How to describe this so-called ""insurer"" ... One word comes to me ""bad faith"". They refused my termination on the pretext that the electronic signature can be refused (while I signed the contract myself by an electronic signature, an Ahah joke). Howev"&amp;"er after having contacted the post office services and having informed myself about the state of positive law, I can only say that it is today to be out of law that to refuse a termination in this form. And above all do not try to contact their services, "&amp;"they will make you believe in a computer failure so as not to process your request. I would add that the ""insured"" can feel harassed because I still received in two days 4 times the same mail telling me that my termination request was refused. In additi"&amp;"on, when I called their services, I was given two different justifications: once it was because the electronic signature was refused and the other time, oh surprise, because there was Not the legal mention of electronic signature at the bottom of the mail"&amp;" (so ultimately the electronic signature is accepted ??? anyway, I can ensure, proof in support, that this mention is there). I therefore offer anyone in the same situation as me (because we are very much I have no doubt) to come and unite with me, to sta"&amp;"rt never getting involved with them, so as not to let them continue their little very profitable business.")</f>
        <v>How to describe this so-called "insurer" ... One word comes to me "bad faith". They refused my termination on the pretext that the electronic signature can be refused (while I signed the contract myself by an electronic signature, an Ahah joke). However after having contacted the post office services and having informed myself about the state of positive law, I can only say that it is today to be out of law that to refuse a termination in this form. And above all do not try to contact their services, they will make you believe in a computer failure so as not to process your request. I would add that the "insured" can feel harassed because I still received in two days 4 times the same mail telling me that my termination request was refused. In addition, when I called their services, I was given two different justifications: once it was because the electronic signature was refused and the other time, oh surprise, because there was Not the legal mention of electronic signature at the bottom of the mail (so ultimately the electronic signature is accepted ??? anyway, I can ensure, proof in support, that this mention is there). I therefore offer anyone in the same situation as me (because we are very much I have no doubt) to come and unite with me, to start never getting involved with them, so as not to let them continue their little very profitable business.</v>
      </c>
    </row>
    <row r="91" ht="15.75" customHeight="1">
      <c r="A91" s="2">
        <v>5.0</v>
      </c>
      <c r="B91" s="2" t="s">
        <v>345</v>
      </c>
      <c r="C91" s="2" t="s">
        <v>346</v>
      </c>
      <c r="D91" s="2" t="s">
        <v>13</v>
      </c>
      <c r="E91" s="2" t="s">
        <v>14</v>
      </c>
      <c r="F91" s="2" t="s">
        <v>15</v>
      </c>
      <c r="G91" s="2" t="s">
        <v>347</v>
      </c>
      <c r="H91" s="2" t="s">
        <v>52</v>
      </c>
      <c r="I91" s="2" t="str">
        <f>IFERROR(__xludf.DUMMYFUNCTION("GOOGLETRANSLATE(C91,""fr"",""en"")"),"Hello I am very satisfied with the price and the customers I am happy to be part of dear you I recommend that everyone subscribe dear direct insurance cordially")</f>
        <v>Hello I am very satisfied with the price and the customers I am happy to be part of dear you I recommend that everyone subscribe dear direct insurance cordially</v>
      </c>
    </row>
    <row r="92" ht="15.75" customHeight="1">
      <c r="A92" s="2">
        <v>4.0</v>
      </c>
      <c r="B92" s="2" t="s">
        <v>348</v>
      </c>
      <c r="C92" s="2" t="s">
        <v>349</v>
      </c>
      <c r="D92" s="2" t="s">
        <v>13</v>
      </c>
      <c r="E92" s="2" t="s">
        <v>14</v>
      </c>
      <c r="F92" s="2" t="s">
        <v>15</v>
      </c>
      <c r="G92" s="2" t="s">
        <v>113</v>
      </c>
      <c r="H92" s="2" t="s">
        <v>52</v>
      </c>
      <c r="I92" s="2" t="str">
        <f>IFERROR(__xludf.DUMMYFUNCTION("GOOGLETRANSLATE(C92,""fr"",""en"")"),"I am satisfied with the rates that are very attractive, have can choose several options at least. I'm happy. To see now in the long term and the real guaranteed")</f>
        <v>I am satisfied with the rates that are very attractive, have can choose several options at least. I'm happy. To see now in the long term and the real guaranteed</v>
      </c>
    </row>
    <row r="93" ht="15.75" customHeight="1">
      <c r="A93" s="2">
        <v>1.0</v>
      </c>
      <c r="B93" s="2" t="s">
        <v>350</v>
      </c>
      <c r="C93" s="2" t="s">
        <v>351</v>
      </c>
      <c r="D93" s="2" t="s">
        <v>237</v>
      </c>
      <c r="E93" s="2" t="s">
        <v>14</v>
      </c>
      <c r="F93" s="2" t="s">
        <v>15</v>
      </c>
      <c r="G93" s="2" t="s">
        <v>352</v>
      </c>
      <c r="H93" s="2" t="s">
        <v>234</v>
      </c>
      <c r="I93" s="2" t="str">
        <f>IFERROR(__xludf.DUMMYFUNCTION("GOOGLETRANSLATE(C93,""fr"",""en"")"),"Insurance is above all a customer service and as such today it would be good for AXA to be interested in customer experience.
First unpleasant story when this summer on the holiday route, our C8 broke down in Lyon. AXA assistance is unable to find a vi"&amp;"able solution to make the service guaranteed, that is to say to finish our journey to the holiday place. For a family with parents and 4 children and therefore a lot of luggage, we are offered a too small car model for rental and a trip cut between taxis,"&amp;" two rentals, and ... take the ferry for Corsica: Very pragmatic! We had to find ourselves a rental at a price probably 4 times more advantageous than this obstacle course! Today several months later, we are still waiting for reimbursement !!
Second un"&amp;"happy experience that starts the last WE where unfortunately we are piercing a boar on the highway! C8 again HS. Fortunately no injuries, except for the poor beast of course. To hope for a quick repair of the vehicle, it all starts with the expertise ... "&amp;"Yes but still no expert available after almost a week! No problem, Axa will lend us a vehicle ... and here we are offered a 4 -seater city car to compensate for our C8 7 places. Well let's see, practical for the start of the family !! Should I say thank y"&amp;"ou? The vehicle size is very useful for calculating the amount of insurance, immediately a little less to understand our daily life and our need.
Customer service and assistance: it's 0 star, not even one.")</f>
        <v>Insurance is above all a customer service and as such today it would be good for AXA to be interested in customer experience.
First unpleasant story when this summer on the holiday route, our C8 broke down in Lyon. AXA assistance is unable to find a viable solution to make the service guaranteed, that is to say to finish our journey to the holiday place. For a family with parents and 4 children and therefore a lot of luggage, we are offered a too small car model for rental and a trip cut between taxis, two rentals, and ... take the ferry for Corsica: Very pragmatic! We had to find ourselves a rental at a price probably 4 times more advantageous than this obstacle course! Today several months later, we are still waiting for reimbursement !!
Second unhappy experience that starts the last WE where unfortunately we are piercing a boar on the highway! C8 again HS. Fortunately no injuries, except for the poor beast of course. To hope for a quick repair of the vehicle, it all starts with the expertise ... Yes but still no expert available after almost a week! No problem, Axa will lend us a vehicle ... and here we are offered a 4 -seater city car to compensate for our C8 7 places. Well let's see, practical for the start of the family !! Should I say thank you? The vehicle size is very useful for calculating the amount of insurance, immediately a little less to understand our daily life and our need.
Customer service and assistance: it's 0 star, not even one.</v>
      </c>
    </row>
    <row r="94" ht="15.75" customHeight="1">
      <c r="A94" s="2">
        <v>1.0</v>
      </c>
      <c r="B94" s="2" t="s">
        <v>353</v>
      </c>
      <c r="C94" s="2" t="s">
        <v>354</v>
      </c>
      <c r="D94" s="2" t="s">
        <v>227</v>
      </c>
      <c r="E94" s="2" t="s">
        <v>14</v>
      </c>
      <c r="F94" s="2" t="s">
        <v>15</v>
      </c>
      <c r="G94" s="2" t="s">
        <v>355</v>
      </c>
      <c r="H94" s="2" t="s">
        <v>110</v>
      </c>
      <c r="I94" s="2" t="str">
        <f>IFERROR(__xludf.DUMMYFUNCTION("GOOGLETRANSLATE(C94,""fr"",""en"")"),"Hello
My dissatisfaction is largely justified.
Indeed a disaster of July 01, 2020, and of which Arpil and Allianz ME BRODED.
Little reminder of the facts:
July 01, 2020: theft of my vehicle.
During October 2020: Confirmation and signature of the pr"&amp;"oposal.
November 02, 2020: Confirmation of the payment of compensation but RIB problem
November 30, 2020: call to have information on my compensation, and discovery that my vehicle was found on September 16.
November 31, 2020: trip to the police statio"&amp;"n to recover the discovery PV, and also surprise my vehicle is no longer in my name but on behalf of Allianz.
During December 2020: Disagreement concerning security costs.
January 2020: covered guard costs by Allianz.
Since I walk from one manager to a"&amp;"nother. From one incompetent to another.
No respect for customers, the only chance is not to find yourself in front of a manager, because given the lack of respect for me is very justified, my non-compliance with his posturing will be all time.
Th"&amp;"is is why, know that I will not contact any mediator, because a complaint has been made.
This cannot continue. This is why consumer aid associations have been contacted to be a civil party.
CDLT.")</f>
        <v>Hello
My dissatisfaction is largely justified.
Indeed a disaster of July 01, 2020, and of which Arpil and Allianz ME BRODED.
Little reminder of the facts:
July 01, 2020: theft of my vehicle.
During October 2020: Confirmation and signature of the proposal.
November 02, 2020: Confirmation of the payment of compensation but RIB problem
November 30, 2020: call to have information on my compensation, and discovery that my vehicle was found on September 16.
November 31, 2020: trip to the police station to recover the discovery PV, and also surprise my vehicle is no longer in my name but on behalf of Allianz.
During December 2020: Disagreement concerning security costs.
January 2020: covered guard costs by Allianz.
Since I walk from one manager to another. From one incompetent to another.
No respect for customers, the only chance is not to find yourself in front of a manager, because given the lack of respect for me is very justified, my non-compliance with his posturing will be all time.
This is why, know that I will not contact any mediator, because a complaint has been made.
This cannot continue. This is why consumer aid associations have been contacted to be a civil party.
CDLT.</v>
      </c>
    </row>
    <row r="95" ht="15.75" customHeight="1">
      <c r="A95" s="2">
        <v>2.0</v>
      </c>
      <c r="B95" s="2" t="s">
        <v>356</v>
      </c>
      <c r="C95" s="2" t="s">
        <v>357</v>
      </c>
      <c r="D95" s="2" t="s">
        <v>70</v>
      </c>
      <c r="E95" s="2" t="s">
        <v>31</v>
      </c>
      <c r="F95" s="2" t="s">
        <v>15</v>
      </c>
      <c r="G95" s="2" t="s">
        <v>358</v>
      </c>
      <c r="H95" s="2" t="s">
        <v>169</v>
      </c>
      <c r="I95" s="2" t="str">
        <f>IFERROR(__xludf.DUMMYFUNCTION("GOOGLETRANSLATE(C95,""fr"",""en"")"),"Good evening
Can you tell me if it's normal to wait more than 26 days and to date I still haven't reimbursed ???
Two weeks ago, told me that I was going to be reimbursing but still nothing
Thank you for answering me")</f>
        <v>Good evening
Can you tell me if it's normal to wait more than 26 days and to date I still haven't reimbursed ???
Two weeks ago, told me that I was going to be reimbursing but still nothing
Thank you for answering me</v>
      </c>
    </row>
    <row r="96" ht="15.75" customHeight="1">
      <c r="A96" s="2">
        <v>3.0</v>
      </c>
      <c r="B96" s="2" t="s">
        <v>359</v>
      </c>
      <c r="C96" s="2" t="s">
        <v>360</v>
      </c>
      <c r="D96" s="2" t="s">
        <v>13</v>
      </c>
      <c r="E96" s="2" t="s">
        <v>14</v>
      </c>
      <c r="F96" s="2" t="s">
        <v>15</v>
      </c>
      <c r="G96" s="2" t="s">
        <v>361</v>
      </c>
      <c r="H96" s="2" t="s">
        <v>248</v>
      </c>
      <c r="I96" s="2" t="str">
        <f>IFERROR(__xludf.DUMMYFUNCTION("GOOGLETRANSLATE(C96,""fr"",""en"")"),"I am satisfied with the services and prices offered by the insurer. The prices are affordable and the options are clear. I will recommend this insurer to a friend")</f>
        <v>I am satisfied with the services and prices offered by the insurer. The prices are affordable and the options are clear. I will recommend this insurer to a friend</v>
      </c>
    </row>
    <row r="97" ht="15.75" customHeight="1">
      <c r="A97" s="2">
        <v>2.0</v>
      </c>
      <c r="B97" s="2" t="s">
        <v>362</v>
      </c>
      <c r="C97" s="2" t="s">
        <v>363</v>
      </c>
      <c r="D97" s="2" t="s">
        <v>70</v>
      </c>
      <c r="E97" s="2" t="s">
        <v>31</v>
      </c>
      <c r="F97" s="2" t="s">
        <v>15</v>
      </c>
      <c r="G97" s="2" t="s">
        <v>364</v>
      </c>
      <c r="H97" s="2" t="s">
        <v>117</v>
      </c>
      <c r="I97" s="2" t="str">
        <f>IFERROR(__xludf.DUMMYFUNCTION("GOOGLETRANSLATE(C97,""fr"",""en"")"),"To flee absolutely, impossible to join, you terminate you have the confirmation letter and they continue to claim you.")</f>
        <v>To flee absolutely, impossible to join, you terminate you have the confirmation letter and they continue to claim you.</v>
      </c>
    </row>
    <row r="98" ht="15.75" customHeight="1">
      <c r="A98" s="2">
        <v>1.0</v>
      </c>
      <c r="B98" s="2" t="s">
        <v>365</v>
      </c>
      <c r="C98" s="2" t="s">
        <v>366</v>
      </c>
      <c r="D98" s="2" t="s">
        <v>36</v>
      </c>
      <c r="E98" s="2" t="s">
        <v>14</v>
      </c>
      <c r="F98" s="2" t="s">
        <v>15</v>
      </c>
      <c r="G98" s="2" t="s">
        <v>367</v>
      </c>
      <c r="H98" s="2" t="s">
        <v>61</v>
      </c>
      <c r="I98" s="2" t="str">
        <f>IFERROR(__xludf.DUMMYFUNCTION("GOOGLETRANSLATE(C98,""fr"",""en"")"),"Militant insurer?
I just got hit by the back by bike by a person aged by car who had not seen! Police, firefighter, observation, (recognized 100% victim).
I call the next day the MAIF (RC insurance and home).
Refusal of care, I have to manage alone ("&amp;"I am in my bed difficult to move because of the contusion and the aches) with the GMF insurance of the driver fan of Gilbert Montagné.
I only have the basic RC coverage, so the same victim 100% you are alone.
Alone has to defend his rights, a destroyed "&amp;"bike, injured ... alone.
The insurance of the opposing part seemed more human and indicated the steps.
The driver she will be able to resume her wheel without problem, the next time it may be a child ... I do not hope for Maif!")</f>
        <v>Militant insurer?
I just got hit by the back by bike by a person aged by car who had not seen! Police, firefighter, observation, (recognized 100% victim).
I call the next day the MAIF (RC insurance and home).
Refusal of care, I have to manage alone (I am in my bed difficult to move because of the contusion and the aches) with the GMF insurance of the driver fan of Gilbert Montagné.
I only have the basic RC coverage, so the same victim 100% you are alone.
Alone has to defend his rights, a destroyed bike, injured ... alone.
The insurance of the opposing part seemed more human and indicated the steps.
The driver she will be able to resume her wheel without problem, the next time it may be a child ... I do not hope for Maif!</v>
      </c>
    </row>
    <row r="99" ht="15.75" customHeight="1">
      <c r="A99" s="2">
        <v>5.0</v>
      </c>
      <c r="B99" s="2" t="s">
        <v>368</v>
      </c>
      <c r="C99" s="2" t="s">
        <v>369</v>
      </c>
      <c r="D99" s="2" t="s">
        <v>87</v>
      </c>
      <c r="E99" s="2" t="s">
        <v>14</v>
      </c>
      <c r="F99" s="2" t="s">
        <v>15</v>
      </c>
      <c r="G99" s="2" t="s">
        <v>51</v>
      </c>
      <c r="H99" s="2" t="s">
        <v>52</v>
      </c>
      <c r="I99" s="2" t="str">
        <f>IFERROR(__xludf.DUMMYFUNCTION("GOOGLETRANSLATE(C99,""fr"",""en"")"),"I started to quote on the site and then finalized the 2nd contract I took at home, by phone, very fast, little wait, very friendly advisor with a beautiful high and clear voice ??")</f>
        <v>I started to quote on the site and then finalized the 2nd contract I took at home, by phone, very fast, little wait, very friendly advisor with a beautiful high and clear voice ??</v>
      </c>
    </row>
    <row r="100" ht="15.75" customHeight="1">
      <c r="A100" s="2">
        <v>5.0</v>
      </c>
      <c r="B100" s="2" t="s">
        <v>370</v>
      </c>
      <c r="C100" s="2" t="s">
        <v>371</v>
      </c>
      <c r="D100" s="2" t="s">
        <v>50</v>
      </c>
      <c r="E100" s="2" t="s">
        <v>21</v>
      </c>
      <c r="F100" s="2" t="s">
        <v>15</v>
      </c>
      <c r="G100" s="2" t="s">
        <v>372</v>
      </c>
      <c r="H100" s="2" t="s">
        <v>42</v>
      </c>
      <c r="I100" s="2" t="str">
        <f>IFERROR(__xludf.DUMMYFUNCTION("GOOGLETRANSLATE(C100,""fr"",""en"")"),"The quote is easy to obtain, the price is well placed, simplicity to subscribe, that the people ask. To see in time the price evolution and in the event of a claim or assistance (which I do not want) the ease of the procedures.
")</f>
        <v>The quote is easy to obtain, the price is well placed, simplicity to subscribe, that the people ask. To see in time the price evolution and in the event of a claim or assistance (which I do not want) the ease of the procedures.
</v>
      </c>
    </row>
    <row r="101" ht="15.75" customHeight="1">
      <c r="A101" s="2">
        <v>1.0</v>
      </c>
      <c r="B101" s="2" t="s">
        <v>373</v>
      </c>
      <c r="C101" s="2" t="s">
        <v>374</v>
      </c>
      <c r="D101" s="2" t="s">
        <v>375</v>
      </c>
      <c r="E101" s="2" t="s">
        <v>288</v>
      </c>
      <c r="F101" s="2" t="s">
        <v>15</v>
      </c>
      <c r="G101" s="2" t="s">
        <v>376</v>
      </c>
      <c r="H101" s="2" t="s">
        <v>110</v>
      </c>
      <c r="I101" s="2" t="str">
        <f>IFERROR(__xludf.DUMMYFUNCTION("GOOGLETRANSLATE(C101,""fr"",""en"")"),"A tax payment was made by mistake by Generali's services despite many emails, documents and other evidence warning them of a duplicate.
The services concerned never responded to the emails or the RARs which were sent to them in order to correct their gro"&amp;"ss error.
They therefore levied part of my savings when they were warned upstream several months before that an amount had already been deducted from my current account (Parallel contestation in progress from taxes following an unjustified fine for which"&amp;" I obtained the cancellation). Not a word of excuse, nor explanation despite an seniority of almost 20 years !!!
To avoid, to flee: in case of problems, you will not have interlocutors! Only an anonymous answering machine that blocks all your calls.")</f>
        <v>A tax payment was made by mistake by Generali's services despite many emails, documents and other evidence warning them of a duplicate.
The services concerned never responded to the emails or the RARs which were sent to them in order to correct their gross error.
They therefore levied part of my savings when they were warned upstream several months before that an amount had already been deducted from my current account (Parallel contestation in progress from taxes following an unjustified fine for which I obtained the cancellation). Not a word of excuse, nor explanation despite an seniority of almost 20 years !!!
To avoid, to flee: in case of problems, you will not have interlocutors! Only an anonymous answering machine that blocks all your calls.</v>
      </c>
    </row>
    <row r="102" ht="15.75" customHeight="1">
      <c r="A102" s="2">
        <v>5.0</v>
      </c>
      <c r="B102" s="2" t="s">
        <v>377</v>
      </c>
      <c r="C102" s="2" t="s">
        <v>378</v>
      </c>
      <c r="D102" s="2" t="s">
        <v>87</v>
      </c>
      <c r="E102" s="2" t="s">
        <v>14</v>
      </c>
      <c r="F102" s="2" t="s">
        <v>15</v>
      </c>
      <c r="G102" s="2" t="s">
        <v>379</v>
      </c>
      <c r="H102" s="2" t="s">
        <v>42</v>
      </c>
      <c r="I102" s="2" t="str">
        <f>IFERROR(__xludf.DUMMYFUNCTION("GOOGLETRANSLATE(C102,""fr"",""en"")"),"Great thank you I recommend I think to follow the rest of my 2nd car housing car contracts and I will speak around me my experience with the olive tree")</f>
        <v>Great thank you I recommend I think to follow the rest of my 2nd car housing car contracts and I will speak around me my experience with the olive tree</v>
      </c>
    </row>
    <row r="103" ht="15.75" customHeight="1">
      <c r="A103" s="2">
        <v>1.0</v>
      </c>
      <c r="B103" s="2" t="s">
        <v>380</v>
      </c>
      <c r="C103" s="2" t="s">
        <v>381</v>
      </c>
      <c r="D103" s="2" t="s">
        <v>79</v>
      </c>
      <c r="E103" s="2" t="s">
        <v>14</v>
      </c>
      <c r="F103" s="2" t="s">
        <v>15</v>
      </c>
      <c r="G103" s="2" t="s">
        <v>382</v>
      </c>
      <c r="H103" s="2" t="s">
        <v>344</v>
      </c>
      <c r="I103" s="2" t="str">
        <f>IFERROR(__xludf.DUMMYFUNCTION("GOOGLETRANSLATE(C103,""fr"",""en"")"),"To avoid. The quality of customer service really leaves something to be desired. From a tariff point of view, it is not the most competitive (AA is a broker and not an insurance company, therefore a part of the commissions is therefore returned to him). W"&amp;"atch out for termination costs. For my part, I was told that my file was complete, then at the last moment, when the validity of the provisional green card came to an end, AA informs me that he no longer wishes to follow up on the contract, the costs of o"&amp;"f course remaining at my expense, all with the approval of the ACPR and the FFA, of course. Fortunately, the customer remains the central point in the strategies of insurance companies and brokers, and that regulators are benevolent ...")</f>
        <v>To avoid. The quality of customer service really leaves something to be desired. From a tariff point of view, it is not the most competitive (AA is a broker and not an insurance company, therefore a part of the commissions is therefore returned to him). Watch out for termination costs. For my part, I was told that my file was complete, then at the last moment, when the validity of the provisional green card came to an end, AA informs me that he no longer wishes to follow up on the contract, the costs of of course remaining at my expense, all with the approval of the ACPR and the FFA, of course. Fortunately, the customer remains the central point in the strategies of insurance companies and brokers, and that regulators are benevolent ...</v>
      </c>
    </row>
    <row r="104" ht="15.75" customHeight="1">
      <c r="A104" s="2">
        <v>2.0</v>
      </c>
      <c r="B104" s="2" t="s">
        <v>383</v>
      </c>
      <c r="C104" s="2" t="s">
        <v>384</v>
      </c>
      <c r="D104" s="2" t="s">
        <v>13</v>
      </c>
      <c r="E104" s="2" t="s">
        <v>14</v>
      </c>
      <c r="F104" s="2" t="s">
        <v>15</v>
      </c>
      <c r="G104" s="2" t="s">
        <v>385</v>
      </c>
      <c r="H104" s="2" t="s">
        <v>386</v>
      </c>
      <c r="I104" s="2" t="str">
        <f>IFERROR(__xludf.DUMMYFUNCTION("GOOGLETRANSLATE(C104,""fr"",""en"")"),"Insured at home since 2013, I don't have positive things to point.")</f>
        <v>Insured at home since 2013, I don't have positive things to point.</v>
      </c>
    </row>
    <row r="105" ht="15.75" customHeight="1">
      <c r="A105" s="2">
        <v>5.0</v>
      </c>
      <c r="B105" s="2" t="s">
        <v>387</v>
      </c>
      <c r="C105" s="2" t="s">
        <v>388</v>
      </c>
      <c r="D105" s="2" t="s">
        <v>87</v>
      </c>
      <c r="E105" s="2" t="s">
        <v>14</v>
      </c>
      <c r="F105" s="2" t="s">
        <v>15</v>
      </c>
      <c r="G105" s="2" t="s">
        <v>389</v>
      </c>
      <c r="H105" s="2" t="s">
        <v>169</v>
      </c>
      <c r="I105" s="2" t="str">
        <f>IFERROR(__xludf.DUMMYFUNCTION("GOOGLETRANSLATE(C105,""fr"",""en"")"),"Very attractive prices, defective all competition
Very simple and fast subscription, very intuitive automatic procedures
Very satisfied with my new contract")</f>
        <v>Very attractive prices, defective all competition
Very simple and fast subscription, very intuitive automatic procedures
Very satisfied with my new contract</v>
      </c>
    </row>
    <row r="106" ht="15.75" customHeight="1">
      <c r="A106" s="2">
        <v>5.0</v>
      </c>
      <c r="B106" s="2" t="s">
        <v>390</v>
      </c>
      <c r="C106" s="2" t="s">
        <v>391</v>
      </c>
      <c r="D106" s="2" t="s">
        <v>13</v>
      </c>
      <c r="E106" s="2" t="s">
        <v>14</v>
      </c>
      <c r="F106" s="2" t="s">
        <v>15</v>
      </c>
      <c r="G106" s="2" t="s">
        <v>198</v>
      </c>
      <c r="H106" s="2" t="s">
        <v>110</v>
      </c>
      <c r="I106" s="2" t="str">
        <f>IFERROR(__xludf.DUMMYFUNCTION("GOOGLETRANSLATE(C106,""fr"",""en"")"),"The cheapest car insurance that I know very fast for an online subscription, very well explained
resilient the old contract themselves")</f>
        <v>The cheapest car insurance that I know very fast for an online subscription, very well explained
resilient the old contract themselves</v>
      </c>
    </row>
    <row r="107" ht="15.75" customHeight="1">
      <c r="A107" s="2">
        <v>4.0</v>
      </c>
      <c r="B107" s="2" t="s">
        <v>392</v>
      </c>
      <c r="C107" s="2" t="s">
        <v>393</v>
      </c>
      <c r="D107" s="2" t="s">
        <v>87</v>
      </c>
      <c r="E107" s="2" t="s">
        <v>14</v>
      </c>
      <c r="F107" s="2" t="s">
        <v>15</v>
      </c>
      <c r="G107" s="2" t="s">
        <v>106</v>
      </c>
      <c r="H107" s="2" t="s">
        <v>27</v>
      </c>
      <c r="I107" s="2" t="str">
        <f>IFERROR(__xludf.DUMMYFUNCTION("GOOGLETRANSLATE(C107,""fr"",""en"")"),"I am satisfied with the service that I find relatively fast and quite simple now remains to be seen that nothing replaces human contact. Cordially")</f>
        <v>I am satisfied with the service that I find relatively fast and quite simple now remains to be seen that nothing replaces human contact. Cordially</v>
      </c>
    </row>
    <row r="108" ht="15.75" customHeight="1">
      <c r="A108" s="2">
        <v>1.0</v>
      </c>
      <c r="B108" s="2" t="s">
        <v>394</v>
      </c>
      <c r="C108" s="2" t="s">
        <v>395</v>
      </c>
      <c r="D108" s="2" t="s">
        <v>156</v>
      </c>
      <c r="E108" s="2" t="s">
        <v>31</v>
      </c>
      <c r="F108" s="2" t="s">
        <v>15</v>
      </c>
      <c r="G108" s="2" t="s">
        <v>396</v>
      </c>
      <c r="H108" s="2" t="s">
        <v>209</v>
      </c>
      <c r="I108" s="2" t="str">
        <f>IFERROR(__xludf.DUMMYFUNCTION("GOOGLETRANSLATE(C108,""fr"",""en"")"),"Mutual to flee !!! No refund before 2 to 3 months total incompetence, reachable on the phone beyond 15 to 20 minutes of expectations, the telephone platform explains to you that it goes up the information ... but all in order you call the next day we tell"&amp;" you that 'There is no trace of your call the day before it's just incredible")</f>
        <v>Mutual to flee !!! No refund before 2 to 3 months total incompetence, reachable on the phone beyond 15 to 20 minutes of expectations, the telephone platform explains to you that it goes up the information ... but all in order you call the next day we tell you that 'There is no trace of your call the day before it's just incredible</v>
      </c>
    </row>
    <row r="109" ht="15.75" customHeight="1">
      <c r="A109" s="2">
        <v>1.0</v>
      </c>
      <c r="B109" s="2" t="s">
        <v>397</v>
      </c>
      <c r="C109" s="2" t="s">
        <v>398</v>
      </c>
      <c r="D109" s="2" t="s">
        <v>13</v>
      </c>
      <c r="E109" s="2" t="s">
        <v>14</v>
      </c>
      <c r="F109" s="2" t="s">
        <v>15</v>
      </c>
      <c r="G109" s="2" t="s">
        <v>399</v>
      </c>
      <c r="H109" s="2" t="s">
        <v>400</v>
      </c>
      <c r="I109" s="2" t="str">
        <f>IFERROR(__xludf.DUMMYFUNCTION("GOOGLETRANSLATE(C109,""fr"",""en"")"),"We turn you without warning with 2 non -responsible accidents in 3 years ....
We record a disaster while you are no longer a customer. In short, unheard of which has only one objective, put you in the kneader ....")</f>
        <v>We turn you without warning with 2 non -responsible accidents in 3 years ....
We record a disaster while you are no longer a customer. In short, unheard of which has only one objective, put you in the kneader ....</v>
      </c>
    </row>
    <row r="110" ht="15.75" customHeight="1">
      <c r="A110" s="2">
        <v>5.0</v>
      </c>
      <c r="B110" s="2" t="s">
        <v>401</v>
      </c>
      <c r="C110" s="2" t="s">
        <v>402</v>
      </c>
      <c r="D110" s="2" t="s">
        <v>13</v>
      </c>
      <c r="E110" s="2" t="s">
        <v>14</v>
      </c>
      <c r="F110" s="2" t="s">
        <v>15</v>
      </c>
      <c r="G110" s="2" t="s">
        <v>403</v>
      </c>
      <c r="H110" s="2" t="s">
        <v>42</v>
      </c>
      <c r="I110" s="2" t="str">
        <f>IFERROR(__xludf.DUMMYFUNCTION("GOOGLETRANSLATE(C110,""fr"",""en"")"),"I am satisfied with the service offered, the price is suitable. Everything is simple and practical. I am satisfied with the service offered, the price is suitable.")</f>
        <v>I am satisfied with the service offered, the price is suitable. Everything is simple and practical. I am satisfied with the service offered, the price is suitable.</v>
      </c>
    </row>
    <row r="111" ht="15.75" customHeight="1">
      <c r="A111" s="2">
        <v>1.0</v>
      </c>
      <c r="B111" s="2" t="s">
        <v>404</v>
      </c>
      <c r="C111" s="2" t="s">
        <v>405</v>
      </c>
      <c r="D111" s="2" t="s">
        <v>406</v>
      </c>
      <c r="E111" s="2" t="s">
        <v>65</v>
      </c>
      <c r="F111" s="2" t="s">
        <v>15</v>
      </c>
      <c r="G111" s="2" t="s">
        <v>407</v>
      </c>
      <c r="H111" s="2" t="s">
        <v>408</v>
      </c>
      <c r="I111" s="2" t="str">
        <f>IFERROR(__xludf.DUMMYFUNCTION("GOOGLETRANSLATE(C111,""fr"",""en"")"),"Never seen so bad!
Extending deadlines ...
Landy messages on the mass of work suddenly arrived ...
Working methods of another age: nothing by email, everything by mail and then they scan!
Easy to make billions of profits on our back!
 :-(")</f>
        <v>Never seen so bad!
Extending deadlines ...
Landy messages on the mass of work suddenly arrived ...
Working methods of another age: nothing by email, everything by mail and then they scan!
Easy to make billions of profits on our back!
 :-(</v>
      </c>
    </row>
    <row r="112" ht="15.75" customHeight="1">
      <c r="A112" s="2">
        <v>2.0</v>
      </c>
      <c r="B112" s="2" t="s">
        <v>409</v>
      </c>
      <c r="C112" s="2" t="s">
        <v>410</v>
      </c>
      <c r="D112" s="2" t="s">
        <v>319</v>
      </c>
      <c r="E112" s="2" t="s">
        <v>14</v>
      </c>
      <c r="F112" s="2" t="s">
        <v>15</v>
      </c>
      <c r="G112" s="2" t="s">
        <v>411</v>
      </c>
      <c r="H112" s="2" t="s">
        <v>169</v>
      </c>
      <c r="I112" s="2" t="str">
        <f>IFERROR(__xludf.DUMMYFUNCTION("GOOGLETRANSLATE(C112,""fr"",""en"")"),"30 years of driving without accident and Eurofil is solving me for an ice cream this year! A shame completes this insurance, I have been insured at home for years with 50% of bonuses
And a disdainful advisor who says that she does not have to justify thi"&amp;"s termination! No respect for the customer, to be fleeing absolutely")</f>
        <v>30 years of driving without accident and Eurofil is solving me for an ice cream this year! A shame completes this insurance, I have been insured at home for years with 50% of bonuses
And a disdainful advisor who says that she does not have to justify this termination! No respect for the customer, to be fleeing absolutely</v>
      </c>
    </row>
    <row r="113" ht="15.75" customHeight="1">
      <c r="A113" s="2">
        <v>3.0</v>
      </c>
      <c r="B113" s="2" t="s">
        <v>412</v>
      </c>
      <c r="C113" s="2" t="s">
        <v>413</v>
      </c>
      <c r="D113" s="2" t="s">
        <v>87</v>
      </c>
      <c r="E113" s="2" t="s">
        <v>14</v>
      </c>
      <c r="F113" s="2" t="s">
        <v>15</v>
      </c>
      <c r="G113" s="2" t="s">
        <v>414</v>
      </c>
      <c r="H113" s="2" t="s">
        <v>61</v>
      </c>
      <c r="I113" s="2" t="str">
        <f>IFERROR(__xludf.DUMMYFUNCTION("GOOGLETRANSLATE(C113,""fr"",""en"")"),"The Olivier Insurance was clear and fast to give me its agreement and insured my vehicle, having not been insured for 4 years, for reasons of suspension and
health, on the other hand, having my license for over 40 years, having never had
Responsible acc"&amp;"ident, having my 12 points, they could have offered me a bonus.
I had more than 50% bonuses in 2016, after I did not drive anymore and I resumed in July
2020. I am going to see what they will offer me before renewal, if there is no
of effort, would I a"&amp;"sk elsewhere? Which does not prevent me from advisers for the
moment. Sincerely, Patrick Bertolo")</f>
        <v>The Olivier Insurance was clear and fast to give me its agreement and insured my vehicle, having not been insured for 4 years, for reasons of suspension and
health, on the other hand, having my license for over 40 years, having never had
Responsible accident, having my 12 points, they could have offered me a bonus.
I had more than 50% bonuses in 2016, after I did not drive anymore and I resumed in July
2020. I am going to see what they will offer me before renewal, if there is no
of effort, would I ask elsewhere? Which does not prevent me from advisers for the
moment. Sincerely, Patrick Bertolo</v>
      </c>
    </row>
    <row r="114" ht="15.75" customHeight="1">
      <c r="A114" s="2">
        <v>5.0</v>
      </c>
      <c r="B114" s="2" t="s">
        <v>415</v>
      </c>
      <c r="C114" s="2" t="s">
        <v>416</v>
      </c>
      <c r="D114" s="2" t="s">
        <v>13</v>
      </c>
      <c r="E114" s="2" t="s">
        <v>14</v>
      </c>
      <c r="F114" s="2" t="s">
        <v>15</v>
      </c>
      <c r="G114" s="2" t="s">
        <v>417</v>
      </c>
      <c r="H114" s="2" t="s">
        <v>27</v>
      </c>
      <c r="I114" s="2" t="str">
        <f>IFERROR(__xludf.DUMMYFUNCTION("GOOGLETRANSLATE(C114,""fr"",""en"")"),"I am satisfied with the interlocutors that I had on the phone by their professionalism and the precision and conciseness of their dialogue.
I recommend direct insurance")</f>
        <v>I am satisfied with the interlocutors that I had on the phone by their professionalism and the precision and conciseness of their dialogue.
I recommend direct insurance</v>
      </c>
    </row>
    <row r="115" ht="15.75" customHeight="1">
      <c r="A115" s="2">
        <v>2.0</v>
      </c>
      <c r="B115" s="2" t="s">
        <v>418</v>
      </c>
      <c r="C115" s="2" t="s">
        <v>419</v>
      </c>
      <c r="D115" s="2" t="s">
        <v>13</v>
      </c>
      <c r="E115" s="2" t="s">
        <v>14</v>
      </c>
      <c r="F115" s="2" t="s">
        <v>15</v>
      </c>
      <c r="G115" s="2" t="s">
        <v>420</v>
      </c>
      <c r="H115" s="2" t="s">
        <v>94</v>
      </c>
      <c r="I115" s="2" t="str">
        <f>IFERROR(__xludf.DUMMYFUNCTION("GOOGLETRANSLATE(C115,""fr"",""en"")"),"Insured to the third party for 5 years, I compare the prices and surprised I find twice cheaper at home. Refuse evoking the Chatel law and ignoring the Hamon law.")</f>
        <v>Insured to the third party for 5 years, I compare the prices and surprised I find twice cheaper at home. Refuse evoking the Chatel law and ignoring the Hamon law.</v>
      </c>
    </row>
    <row r="116" ht="15.75" customHeight="1">
      <c r="A116" s="2">
        <v>4.0</v>
      </c>
      <c r="B116" s="2" t="s">
        <v>421</v>
      </c>
      <c r="C116" s="2" t="s">
        <v>422</v>
      </c>
      <c r="D116" s="2" t="s">
        <v>13</v>
      </c>
      <c r="E116" s="2" t="s">
        <v>14</v>
      </c>
      <c r="F116" s="2" t="s">
        <v>15</v>
      </c>
      <c r="G116" s="2" t="s">
        <v>423</v>
      </c>
      <c r="H116" s="2" t="s">
        <v>52</v>
      </c>
      <c r="I116" s="2" t="str">
        <f>IFERROR(__xludf.DUMMYFUNCTION("GOOGLETRANSLATE(C116,""fr"",""en"")"),"Simple, intuitive, practical and quick to use, everything is done to be able to have access to a detailed quote.
I am satisfied with the prices offered as well as the service.")</f>
        <v>Simple, intuitive, practical and quick to use, everything is done to be able to have access to a detailed quote.
I am satisfied with the prices offered as well as the service.</v>
      </c>
    </row>
    <row r="117" ht="15.75" customHeight="1">
      <c r="A117" s="2">
        <v>3.0</v>
      </c>
      <c r="B117" s="2" t="s">
        <v>424</v>
      </c>
      <c r="C117" s="2" t="s">
        <v>425</v>
      </c>
      <c r="D117" s="2" t="s">
        <v>237</v>
      </c>
      <c r="E117" s="2" t="s">
        <v>14</v>
      </c>
      <c r="F117" s="2" t="s">
        <v>15</v>
      </c>
      <c r="G117" s="2" t="s">
        <v>426</v>
      </c>
      <c r="H117" s="2" t="s">
        <v>38</v>
      </c>
      <c r="I117" s="2" t="str">
        <f>IFERROR(__xludf.DUMMYFUNCTION("GOOGLETRANSLATE(C117,""fr"",""en"")"),"Following an engine break in Spain, I was taken care of by the AXA assistance which put me in the hands of a particularly unpleasant convenience store and which took advantage of the fatigue and panic of the moment (1000 kms of road, Farm 5 -year -old gir"&amp;"l and a baby under a year old who was crying in overwhelming heat, the taxi that trampled to load the luggage). And therefore to reinforce mines exasperated by typing in his hands to accelerate the rhythm by barking orders in a language that neither my wi"&amp;"fe nor I understood, this partner Axa in all hastiness makes several car hood several Documents in Spanish and leaves with it, leaving me no double if not a business card from the establishment.
A few weeks later as he was not competent to repair, my veh"&amp;"icle comes back to me presenting multiple deep stripes, the striped AR rim and the Arc bumper torn off and during. I tell myself that he is assured for this kind of inconvenience and signals it to AXA's assistance. There, as honest as it is sympathetic, t"&amp;"he ""convenience store"" returns a document signed with my hand, but written without me, with several different inks and obviously clumsy additions which indicates that the vehicle was already damaged when I entrusted it. He even indicated damage that doe"&amp;"s not exist !!! Stunned by this answer I turn to confident to the ""assistance"" services AXA which refuses to give the slightest credit to my indignation and offers to make a request for a commercial gesture which was refused to me. Finally, the quality "&amp;"service contacted me and, indignant encouraged me to fulfill a questionnaire by email but the disease and death in my family have delayed me in this process and the link is now invalid. I'm tired!!!
If something is possible .... a thousand thanks.")</f>
        <v>Following an engine break in Spain, I was taken care of by the AXA assistance which put me in the hands of a particularly unpleasant convenience store and which took advantage of the fatigue and panic of the moment (1000 kms of road, Farm 5 -year -old girl and a baby under a year old who was crying in overwhelming heat, the taxi that trampled to load the luggage). And therefore to reinforce mines exasperated by typing in his hands to accelerate the rhythm by barking orders in a language that neither my wife nor I understood, this partner Axa in all hastiness makes several car hood several Documents in Spanish and leaves with it, leaving me no double if not a business card from the establishment.
A few weeks later as he was not competent to repair, my vehicle comes back to me presenting multiple deep stripes, the striped AR rim and the Arc bumper torn off and during. I tell myself that he is assured for this kind of inconvenience and signals it to AXA's assistance. There, as honest as it is sympathetic, the "convenience store" returns a document signed with my hand, but written without me, with several different inks and obviously clumsy additions which indicates that the vehicle was already damaged when I entrusted it. He even indicated damage that does not exist !!! Stunned by this answer I turn to confident to the "assistance" services AXA which refuses to give the slightest credit to my indignation and offers to make a request for a commercial gesture which was refused to me. Finally, the quality service contacted me and, indignant encouraged me to fulfill a questionnaire by email but the disease and death in my family have delayed me in this process and the link is now invalid. I'm tired!!!
If something is possible .... a thousand thanks.</v>
      </c>
    </row>
    <row r="118" ht="15.75" customHeight="1">
      <c r="A118" s="2">
        <v>2.0</v>
      </c>
      <c r="B118" s="2" t="s">
        <v>427</v>
      </c>
      <c r="C118" s="2" t="s">
        <v>428</v>
      </c>
      <c r="D118" s="2" t="s">
        <v>13</v>
      </c>
      <c r="E118" s="2" t="s">
        <v>14</v>
      </c>
      <c r="F118" s="2" t="s">
        <v>15</v>
      </c>
      <c r="G118" s="2" t="s">
        <v>429</v>
      </c>
      <c r="H118" s="2" t="s">
        <v>179</v>
      </c>
      <c r="I118" s="2" t="str">
        <f>IFERROR(__xludf.DUMMYFUNCTION("GOOGLETRANSLATE(C118,""fr"",""en"")"),"Hello,
extremely disappointed with this insurance.
I have an accident donation I am not responsible at all, I am assured of any risk with serenity pack. I put my car at the partner garage for repairs which are so -called 100% supported (I am very risk"&amp;" and not responsible, ...).
2 months later I called the garage asking me to pay € 1,000 for the team because accessory, the insurance refuses to reimburse, so I have to pay .... In short, they tried to extract me € 1,000, he I had to beat myself and I ge"&amp;"t angry on the phone to gain cause ==&gt; Flee !!! In any case, this unhealthy attempt will not remain unclean !!!! They lost a client and I intend to continue making them good press !!!")</f>
        <v>Hello,
extremely disappointed with this insurance.
I have an accident donation I am not responsible at all, I am assured of any risk with serenity pack. I put my car at the partner garage for repairs which are so -called 100% supported (I am very risk and not responsible, ...).
2 months later I called the garage asking me to pay € 1,000 for the team because accessory, the insurance refuses to reimburse, so I have to pay .... In short, they tried to extract me € 1,000, he I had to beat myself and I get angry on the phone to gain cause ==&gt; Flee !!! In any case, this unhealthy attempt will not remain unclean !!!! They lost a client and I intend to continue making them good press !!!</v>
      </c>
    </row>
    <row r="119" ht="15.75" customHeight="1">
      <c r="A119" s="2">
        <v>4.0</v>
      </c>
      <c r="B119" s="2" t="s">
        <v>430</v>
      </c>
      <c r="C119" s="2" t="s">
        <v>431</v>
      </c>
      <c r="D119" s="2" t="s">
        <v>13</v>
      </c>
      <c r="E119" s="2" t="s">
        <v>14</v>
      </c>
      <c r="F119" s="2" t="s">
        <v>15</v>
      </c>
      <c r="G119" s="2" t="s">
        <v>432</v>
      </c>
      <c r="H119" s="2" t="s">
        <v>433</v>
      </c>
      <c r="I119" s="2" t="str">
        <f>IFERROR(__xludf.DUMMYFUNCTION("GOOGLETRANSLATE(C119,""fr"",""en"")"),"I have to read the quote, and make my decision, in one Cluc Jaieu the information I wanted to know.
Speed ​​and efficiency, nothing to report more.")</f>
        <v>I have to read the quote, and make my decision, in one Cluc Jaieu the information I wanted to know.
Speed ​​and efficiency, nothing to report more.</v>
      </c>
    </row>
    <row r="120" ht="15.75" customHeight="1">
      <c r="A120" s="2">
        <v>4.0</v>
      </c>
      <c r="B120" s="2" t="s">
        <v>434</v>
      </c>
      <c r="C120" s="2" t="s">
        <v>435</v>
      </c>
      <c r="D120" s="2" t="s">
        <v>50</v>
      </c>
      <c r="E120" s="2" t="s">
        <v>21</v>
      </c>
      <c r="F120" s="2" t="s">
        <v>15</v>
      </c>
      <c r="G120" s="2" t="s">
        <v>436</v>
      </c>
      <c r="H120" s="2" t="s">
        <v>42</v>
      </c>
      <c r="I120" s="2" t="str">
        <f>IFERROR(__xludf.DUMMYFUNCTION("GOOGLETRANSLATE(C120,""fr"",""en"")"),"Non -excessive price compared to walking, simple and quick to use and subscription, there is a wide choice of guarantee offered, ergonomic and clear registration")</f>
        <v>Non -excessive price compared to walking, simple and quick to use and subscription, there is a wide choice of guarantee offered, ergonomic and clear registration</v>
      </c>
    </row>
    <row r="121" ht="15.75" customHeight="1">
      <c r="A121" s="2">
        <v>4.0</v>
      </c>
      <c r="B121" s="2" t="s">
        <v>437</v>
      </c>
      <c r="C121" s="2" t="s">
        <v>438</v>
      </c>
      <c r="D121" s="2" t="s">
        <v>87</v>
      </c>
      <c r="E121" s="2" t="s">
        <v>14</v>
      </c>
      <c r="F121" s="2" t="s">
        <v>15</v>
      </c>
      <c r="G121" s="2" t="s">
        <v>439</v>
      </c>
      <c r="H121" s="2" t="s">
        <v>27</v>
      </c>
      <c r="I121" s="2" t="str">
        <f>IFERROR(__xludf.DUMMYFUNCTION("GOOGLETRANSLATE(C121,""fr"",""en"")"),"The website is sometimes a little slow (or does not answer)
But everything is readable and very effective, the sections are clear and fast
Do not change anything except what is optimization (possibly)
")</f>
        <v>The website is sometimes a little slow (or does not answer)
But everything is readable and very effective, the sections are clear and fast
Do not change anything except what is optimization (possibly)
</v>
      </c>
    </row>
    <row r="122" ht="15.75" customHeight="1">
      <c r="A122" s="2">
        <v>5.0</v>
      </c>
      <c r="B122" s="2" t="s">
        <v>440</v>
      </c>
      <c r="C122" s="2" t="s">
        <v>441</v>
      </c>
      <c r="D122" s="2" t="s">
        <v>87</v>
      </c>
      <c r="E122" s="2" t="s">
        <v>14</v>
      </c>
      <c r="F122" s="2" t="s">
        <v>15</v>
      </c>
      <c r="G122" s="2" t="s">
        <v>442</v>
      </c>
      <c r="H122" s="2" t="s">
        <v>209</v>
      </c>
      <c r="I122" s="2" t="str">
        <f>IFERROR(__xludf.DUMMYFUNCTION("GOOGLETRANSLATE(C122,""fr"",""en"")"),"In any case on the phone, the salespeople are clear and convincing, attentive. Hoping not to have a problem with the vehicle if I have to call on insurance I hope so competent.")</f>
        <v>In any case on the phone, the salespeople are clear and convincing, attentive. Hoping not to have a problem with the vehicle if I have to call on insurance I hope so competent.</v>
      </c>
    </row>
    <row r="123" ht="15.75" customHeight="1">
      <c r="A123" s="2">
        <v>1.0</v>
      </c>
      <c r="B123" s="2" t="s">
        <v>443</v>
      </c>
      <c r="C123" s="2" t="s">
        <v>444</v>
      </c>
      <c r="D123" s="2" t="s">
        <v>237</v>
      </c>
      <c r="E123" s="2" t="s">
        <v>55</v>
      </c>
      <c r="F123" s="2" t="s">
        <v>15</v>
      </c>
      <c r="G123" s="2" t="s">
        <v>445</v>
      </c>
      <c r="H123" s="2" t="s">
        <v>446</v>
      </c>
      <c r="I123" s="2" t="str">
        <f>IFERROR(__xludf.DUMMYFUNCTION("GOOGLETRANSLATE(C123,""fr"",""en"")"),"Insurance of champions of the organization!")</f>
        <v>Insurance of champions of the organization!</v>
      </c>
    </row>
    <row r="124" ht="15.75" customHeight="1">
      <c r="A124" s="2">
        <v>3.0</v>
      </c>
      <c r="B124" s="2" t="s">
        <v>447</v>
      </c>
      <c r="C124" s="2" t="s">
        <v>448</v>
      </c>
      <c r="D124" s="2" t="s">
        <v>13</v>
      </c>
      <c r="E124" s="2" t="s">
        <v>14</v>
      </c>
      <c r="F124" s="2" t="s">
        <v>15</v>
      </c>
      <c r="G124" s="2" t="s">
        <v>449</v>
      </c>
      <c r="H124" s="2" t="s">
        <v>450</v>
      </c>
      <c r="I124" s="2" t="str">
        <f>IFERROR(__xludf.DUMMYFUNCTION("GOOGLETRANSLATE(C124,""fr"",""en"")"),"Hello having received my new deadline, I realize that the annual reference contribution, subject to the penalty bonus increased by 24.29 euros compared to last year and that therefore the calculation of the annual reference contribution, after application"&amp;" From the penalty bonus is therefore also increased by this fact.
How does it increase the annual subscription like SA?
Waiting for an answer, thank you.")</f>
        <v>Hello having received my new deadline, I realize that the annual reference contribution, subject to the penalty bonus increased by 24.29 euros compared to last year and that therefore the calculation of the annual reference contribution, after application From the penalty bonus is therefore also increased by this fact.
How does it increase the annual subscription like SA?
Waiting for an answer, thank you.</v>
      </c>
    </row>
    <row r="125" ht="15.75" customHeight="1">
      <c r="A125" s="2">
        <v>1.0</v>
      </c>
      <c r="B125" s="2" t="s">
        <v>451</v>
      </c>
      <c r="C125" s="2" t="s">
        <v>452</v>
      </c>
      <c r="D125" s="2" t="s">
        <v>87</v>
      </c>
      <c r="E125" s="2" t="s">
        <v>14</v>
      </c>
      <c r="F125" s="2" t="s">
        <v>15</v>
      </c>
      <c r="G125" s="2" t="s">
        <v>453</v>
      </c>
      <c r="H125" s="2" t="s">
        <v>450</v>
      </c>
      <c r="I125" s="2" t="str">
        <f>IFERROR(__xludf.DUMMYFUNCTION("GOOGLETRANSLATE(C125,""fr"",""en"")"),"DEPLOIVABLE SINISTER - NO SERIOUS")</f>
        <v>DEPLOIVABLE SINISTER - NO SERIOUS</v>
      </c>
    </row>
    <row r="126" ht="15.75" customHeight="1">
      <c r="A126" s="2">
        <v>2.0</v>
      </c>
      <c r="B126" s="2" t="s">
        <v>454</v>
      </c>
      <c r="C126" s="2" t="s">
        <v>455</v>
      </c>
      <c r="D126" s="2" t="s">
        <v>237</v>
      </c>
      <c r="E126" s="2" t="s">
        <v>55</v>
      </c>
      <c r="F126" s="2" t="s">
        <v>15</v>
      </c>
      <c r="G126" s="2" t="s">
        <v>456</v>
      </c>
      <c r="H126" s="2" t="s">
        <v>186</v>
      </c>
      <c r="I126" s="2" t="str">
        <f>IFERROR(__xludf.DUMMYFUNCTION("GOOGLETRANSLATE(C126,""fr"",""en"")"),"It was impossible for me to stop my accommodation insurance when I resided in Belgium,
The contract was arrested by itself because I refused to pay my accommodation in which I had not lived for 6 months.
After several calls and emails explaining my pr"&amp;"oblem, a debt buyback company sent me a letter.
Good insurance is the one that can stop paying when you need it anymore.")</f>
        <v>It was impossible for me to stop my accommodation insurance when I resided in Belgium,
The contract was arrested by itself because I refused to pay my accommodation in which I had not lived for 6 months.
After several calls and emails explaining my problem, a debt buyback company sent me a letter.
Good insurance is the one that can stop paying when you need it anymore.</v>
      </c>
    </row>
    <row r="127" ht="15.75" customHeight="1">
      <c r="A127" s="2">
        <v>4.0</v>
      </c>
      <c r="B127" s="2" t="s">
        <v>457</v>
      </c>
      <c r="C127" s="2" t="s">
        <v>458</v>
      </c>
      <c r="D127" s="2" t="s">
        <v>87</v>
      </c>
      <c r="E127" s="2" t="s">
        <v>14</v>
      </c>
      <c r="F127" s="2" t="s">
        <v>15</v>
      </c>
      <c r="G127" s="2" t="s">
        <v>281</v>
      </c>
      <c r="H127" s="2" t="s">
        <v>282</v>
      </c>
      <c r="I127" s="2" t="str">
        <f>IFERROR(__xludf.DUMMYFUNCTION("GOOGLETRANSLATE(C127,""fr"",""en"")"),"I am satisfied with the advisers and the explanations that have been given! I expected a little cheaper in terms of franchises but in the idea it's not bad")</f>
        <v>I am satisfied with the advisers and the explanations that have been given! I expected a little cheaper in terms of franchises but in the idea it's not bad</v>
      </c>
    </row>
    <row r="128" ht="15.75" customHeight="1">
      <c r="A128" s="2">
        <v>4.0</v>
      </c>
      <c r="B128" s="2" t="s">
        <v>459</v>
      </c>
      <c r="C128" s="2" t="s">
        <v>460</v>
      </c>
      <c r="D128" s="2" t="s">
        <v>87</v>
      </c>
      <c r="E128" s="2" t="s">
        <v>14</v>
      </c>
      <c r="F128" s="2" t="s">
        <v>15</v>
      </c>
      <c r="G128" s="2" t="s">
        <v>461</v>
      </c>
      <c r="H128" s="2" t="s">
        <v>169</v>
      </c>
      <c r="I128" s="2" t="str">
        <f>IFERROR(__xludf.DUMMYFUNCTION("GOOGLETRANSLATE(C128,""fr"",""en"")"),"very good relational service, attentive and with good advice
Very affordable prices
salespeople know their subject well and answer in all frankness and honesty")</f>
        <v>very good relational service, attentive and with good advice
Very affordable prices
salespeople know their subject well and answer in all frankness and honesty</v>
      </c>
    </row>
    <row r="129" ht="15.75" customHeight="1">
      <c r="A129" s="2">
        <v>5.0</v>
      </c>
      <c r="B129" s="2" t="s">
        <v>462</v>
      </c>
      <c r="C129" s="2" t="s">
        <v>463</v>
      </c>
      <c r="D129" s="2" t="s">
        <v>13</v>
      </c>
      <c r="E129" s="2" t="s">
        <v>14</v>
      </c>
      <c r="F129" s="2" t="s">
        <v>15</v>
      </c>
      <c r="G129" s="2" t="s">
        <v>464</v>
      </c>
      <c r="H129" s="2" t="s">
        <v>52</v>
      </c>
      <c r="I129" s="2" t="str">
        <f>IFERROR(__xludf.DUMMYFUNCTION("GOOGLETRANSLATE(C129,""fr"",""en"")"),"Simple, practical, immediate, I am satisfied with the online service of direct insurance. I was able to ensure my vehicle quickly in a few clicks. I recommend")</f>
        <v>Simple, practical, immediate, I am satisfied with the online service of direct insurance. I was able to ensure my vehicle quickly in a few clicks. I recommend</v>
      </c>
    </row>
    <row r="130" ht="15.75" customHeight="1">
      <c r="A130" s="2">
        <v>1.0</v>
      </c>
      <c r="B130" s="2" t="s">
        <v>465</v>
      </c>
      <c r="C130" s="2" t="s">
        <v>466</v>
      </c>
      <c r="D130" s="2" t="s">
        <v>237</v>
      </c>
      <c r="E130" s="2" t="s">
        <v>55</v>
      </c>
      <c r="F130" s="2" t="s">
        <v>15</v>
      </c>
      <c r="G130" s="2" t="s">
        <v>467</v>
      </c>
      <c r="H130" s="2" t="s">
        <v>117</v>
      </c>
      <c r="I130" s="2" t="str">
        <f>IFERROR(__xludf.DUMMYFUNCTION("GOOGLETRANSLATE(C130,""fr"",""en"")"),"After many years of insurance at AXA, with numerous contracts, disappointment in disappointment, rise in prices, less charges, no customer follow -up, long reimbursement ....")</f>
        <v>After many years of insurance at AXA, with numerous contracts, disappointment in disappointment, rise in prices, less charges, no customer follow -up, long reimbursement ....</v>
      </c>
    </row>
    <row r="131" ht="15.75" customHeight="1">
      <c r="A131" s="2">
        <v>5.0</v>
      </c>
      <c r="B131" s="2" t="s">
        <v>468</v>
      </c>
      <c r="C131" s="2" t="s">
        <v>469</v>
      </c>
      <c r="D131" s="2" t="s">
        <v>13</v>
      </c>
      <c r="E131" s="2" t="s">
        <v>55</v>
      </c>
      <c r="F131" s="2" t="s">
        <v>15</v>
      </c>
      <c r="G131" s="2" t="s">
        <v>178</v>
      </c>
      <c r="H131" s="2" t="s">
        <v>179</v>
      </c>
      <c r="I131" s="2" t="str">
        <f>IFERROR(__xludf.DUMMYFUNCTION("GOOGLETRANSLATE(C131,""fr"",""en"")"),"The service suits me
 It is easy to use, prices are competitive
Fast, we have a response very quickly.
We can be recalled by the insurer chosen
I recommend")</f>
        <v>The service suits me
 It is easy to use, prices are competitive
Fast, we have a response very quickly.
We can be recalled by the insurer chosen
I recommend</v>
      </c>
    </row>
    <row r="132" ht="15.75" customHeight="1">
      <c r="A132" s="2">
        <v>1.0</v>
      </c>
      <c r="B132" s="2" t="s">
        <v>470</v>
      </c>
      <c r="C132" s="2" t="s">
        <v>471</v>
      </c>
      <c r="D132" s="2" t="s">
        <v>174</v>
      </c>
      <c r="E132" s="2" t="s">
        <v>31</v>
      </c>
      <c r="F132" s="2" t="s">
        <v>15</v>
      </c>
      <c r="G132" s="2" t="s">
        <v>472</v>
      </c>
      <c r="H132" s="2" t="s">
        <v>473</v>
      </c>
      <c r="I132" s="2" t="str">
        <f>IFERROR(__xludf.DUMMYFUNCTION("GOOGLETRANSLATE(C132,""fr"",""en"")"),"This mutual is the worst that can be found on the market and even when you want to leave it, they seek to extort you and prevent the termination!")</f>
        <v>This mutual is the worst that can be found on the market and even when you want to leave it, they seek to extort you and prevent the termination!</v>
      </c>
    </row>
    <row r="133" ht="15.75" customHeight="1">
      <c r="A133" s="2">
        <v>2.0</v>
      </c>
      <c r="B133" s="2" t="s">
        <v>474</v>
      </c>
      <c r="C133" s="2" t="s">
        <v>475</v>
      </c>
      <c r="D133" s="2" t="s">
        <v>74</v>
      </c>
      <c r="E133" s="2" t="s">
        <v>14</v>
      </c>
      <c r="F133" s="2" t="s">
        <v>15</v>
      </c>
      <c r="G133" s="2" t="s">
        <v>476</v>
      </c>
      <c r="H133" s="2" t="s">
        <v>52</v>
      </c>
      <c r="I133" s="2" t="str">
        <f>IFERROR(__xludf.DUMMYFUNCTION("GOOGLETRANSLATE(C133,""fr"",""en"")"),"Very unhappy with the repatriation service
6 hours of waiting to have a solution no taxi to pick up the loan car and a vehicle too small for 3 adults and luggage a 106
I don't recommend GMF")</f>
        <v>Very unhappy with the repatriation service
6 hours of waiting to have a solution no taxi to pick up the loan car and a vehicle too small for 3 adults and luggage a 106
I don't recommend GMF</v>
      </c>
    </row>
    <row r="134" ht="15.75" customHeight="1">
      <c r="A134" s="2">
        <v>2.0</v>
      </c>
      <c r="B134" s="2" t="s">
        <v>477</v>
      </c>
      <c r="C134" s="2" t="s">
        <v>478</v>
      </c>
      <c r="D134" s="2" t="s">
        <v>79</v>
      </c>
      <c r="E134" s="2" t="s">
        <v>14</v>
      </c>
      <c r="F134" s="2" t="s">
        <v>15</v>
      </c>
      <c r="G134" s="2" t="s">
        <v>479</v>
      </c>
      <c r="H134" s="2" t="s">
        <v>480</v>
      </c>
      <c r="I134" s="2" t="str">
        <f>IFERROR(__xludf.DUMMYFUNCTION("GOOGLETRANSLATE(C134,""fr"",""en"")"),"Documents sent by registered mail, not received, referral by email, then directly to the site. Contract subscribed to date of August 25, terminated by them dated 08/26/18. In view of the comments, they terminated me, kept a month for insurance and the fee"&amp;"s. I am suddenly awaiting reimbursement of the difference on my account, we will see, telephone service to flee.")</f>
        <v>Documents sent by registered mail, not received, referral by email, then directly to the site. Contract subscribed to date of August 25, terminated by them dated 08/26/18. In view of the comments, they terminated me, kept a month for insurance and the fees. I am suddenly awaiting reimbursement of the difference on my account, we will see, telephone service to flee.</v>
      </c>
    </row>
    <row r="135" ht="15.75" customHeight="1">
      <c r="A135" s="2">
        <v>1.0</v>
      </c>
      <c r="B135" s="2" t="s">
        <v>481</v>
      </c>
      <c r="C135" s="2" t="s">
        <v>482</v>
      </c>
      <c r="D135" s="2" t="s">
        <v>237</v>
      </c>
      <c r="E135" s="2" t="s">
        <v>21</v>
      </c>
      <c r="F135" s="2" t="s">
        <v>15</v>
      </c>
      <c r="G135" s="2" t="s">
        <v>483</v>
      </c>
      <c r="H135" s="2" t="s">
        <v>344</v>
      </c>
      <c r="I135" s="2" t="str">
        <f>IFERROR(__xludf.DUMMYFUNCTION("GOOGLETRANSLATE(C135,""fr"",""en"")"),"How to be blurred by your own insurer for 15 years. Change vehicle without having sold the other !!! We do not offer you an amendment but a new contract !! Impossible to terminate within 30 days. We have to wait 1 year despite the different laws ""chatel;"&amp;" Hamon"". I proposed to settle all of my bonus to be released immediately even that I was refused.")</f>
        <v>How to be blurred by your own insurer for 15 years. Change vehicle without having sold the other !!! We do not offer you an amendment but a new contract !! Impossible to terminate within 30 days. We have to wait 1 year despite the different laws "chatel; Hamon". I proposed to settle all of my bonus to be released immediately even that I was refused.</v>
      </c>
    </row>
    <row r="136" ht="15.75" customHeight="1">
      <c r="A136" s="2">
        <v>2.0</v>
      </c>
      <c r="B136" s="2" t="s">
        <v>484</v>
      </c>
      <c r="C136" s="2" t="s">
        <v>485</v>
      </c>
      <c r="D136" s="2" t="s">
        <v>30</v>
      </c>
      <c r="E136" s="2" t="s">
        <v>65</v>
      </c>
      <c r="F136" s="2" t="s">
        <v>15</v>
      </c>
      <c r="G136" s="2" t="s">
        <v>42</v>
      </c>
      <c r="H136" s="2" t="s">
        <v>42</v>
      </c>
      <c r="I136" s="2" t="str">
        <f>IFERROR(__xludf.DUMMYFUNCTION("GOOGLETRANSLATE(C136,""fr"",""en"")"),"Delai too long, which can leave the member in a critical financial situation
We can attach the documents that leaf by leaf, not really simple
Hoping to contribute to improving your services
Best regards
Nadia")</f>
        <v>Delai too long, which can leave the member in a critical financial situation
We can attach the documents that leaf by leaf, not really simple
Hoping to contribute to improving your services
Best regards
Nadia</v>
      </c>
    </row>
    <row r="137" ht="15.75" customHeight="1">
      <c r="A137" s="2">
        <v>1.0</v>
      </c>
      <c r="B137" s="2" t="s">
        <v>486</v>
      </c>
      <c r="C137" s="2" t="s">
        <v>487</v>
      </c>
      <c r="D137" s="2" t="s">
        <v>87</v>
      </c>
      <c r="E137" s="2" t="s">
        <v>14</v>
      </c>
      <c r="F137" s="2" t="s">
        <v>15</v>
      </c>
      <c r="G137" s="2" t="s">
        <v>175</v>
      </c>
      <c r="H137" s="2" t="s">
        <v>76</v>
      </c>
      <c r="I137" s="2" t="str">
        <f>IFERROR(__xludf.DUMMYFUNCTION("GOOGLETRANSLATE(C137,""fr"",""en"")"),"The price is low only the first year. 2nd year: +10%. 3rd year: +30%! Or more than 40% increase in 2 years with a vehicle that has lost value and a 50% bonus for more than 15 years. All this without any declared disaster. I do not even dare imagine the ev"&amp;"olution of the amount of the premium with a responsible disaster. They can well guarantee the 50% bonus for life, since their price explodes from year to year beyond inflation. Finally, the amount of the premium increases much more than the drop in the fr"&amp;"anchise by 30%.")</f>
        <v>The price is low only the first year. 2nd year: +10%. 3rd year: +30%! Or more than 40% increase in 2 years with a vehicle that has lost value and a 50% bonus for more than 15 years. All this without any declared disaster. I do not even dare imagine the evolution of the amount of the premium with a responsible disaster. They can well guarantee the 50% bonus for life, since their price explodes from year to year beyond inflation. Finally, the amount of the premium increases much more than the drop in the franchise by 30%.</v>
      </c>
    </row>
    <row r="138" ht="15.75" customHeight="1">
      <c r="A138" s="2">
        <v>5.0</v>
      </c>
      <c r="B138" s="2" t="s">
        <v>488</v>
      </c>
      <c r="C138" s="2" t="s">
        <v>489</v>
      </c>
      <c r="D138" s="2" t="s">
        <v>30</v>
      </c>
      <c r="E138" s="2" t="s">
        <v>31</v>
      </c>
      <c r="F138" s="2" t="s">
        <v>15</v>
      </c>
      <c r="G138" s="2" t="s">
        <v>389</v>
      </c>
      <c r="H138" s="2" t="s">
        <v>169</v>
      </c>
      <c r="I138" s="2" t="str">
        <f>IFERROR(__xludf.DUMMYFUNCTION("GOOGLETRANSLATE(C138,""fr"",""en"")"),"This day I used an MGP advisor. This person, Stéphanie, advised me, guided for steps in order to create my account. I found a patient, who did not skimp on their explanations and time. I thank her because without her I would not have managed to do this pr"&amp;"ocess. Bravo and thank you to the MGP for the service rendered.")</f>
        <v>This day I used an MGP advisor. This person, Stéphanie, advised me, guided for steps in order to create my account. I found a patient, who did not skimp on their explanations and time. I thank her because without her I would not have managed to do this process. Bravo and thank you to the MGP for the service rendered.</v>
      </c>
    </row>
    <row r="139" ht="15.75" customHeight="1">
      <c r="A139" s="2">
        <v>1.0</v>
      </c>
      <c r="B139" s="2" t="s">
        <v>490</v>
      </c>
      <c r="C139" s="2" t="s">
        <v>491</v>
      </c>
      <c r="D139" s="2" t="s">
        <v>334</v>
      </c>
      <c r="E139" s="2" t="s">
        <v>31</v>
      </c>
      <c r="F139" s="2" t="s">
        <v>15</v>
      </c>
      <c r="G139" s="2" t="s">
        <v>492</v>
      </c>
      <c r="H139" s="2" t="s">
        <v>493</v>
      </c>
      <c r="I139" s="2" t="str">
        <f>IFERROR(__xludf.DUMMYFUNCTION("GOOGLETRANSLATE(C139,""fr"",""en"")"),"During the discussions preliminary at no time the customer service informed me of a deficiency period of 3 months on the optics and the dental or informed me that I was compatible with the deletion of this deficiency period (even Insurer group Malakoff Mé"&amp;"déric and even level of reimbursement on the optics. I therefore invite Internet users to avoid Santian for its lack of complete professionalism.")</f>
        <v>During the discussions preliminary at no time the customer service informed me of a deficiency period of 3 months on the optics and the dental or informed me that I was compatible with the deletion of this deficiency period (even Insurer group Malakoff Médéric and even level of reimbursement on the optics. I therefore invite Internet users to avoid Santian for its lack of complete professionalism.</v>
      </c>
    </row>
    <row r="140" ht="15.75" customHeight="1">
      <c r="A140" s="2">
        <v>2.0</v>
      </c>
      <c r="B140" s="2" t="s">
        <v>494</v>
      </c>
      <c r="C140" s="2" t="s">
        <v>495</v>
      </c>
      <c r="D140" s="2" t="s">
        <v>164</v>
      </c>
      <c r="E140" s="2" t="s">
        <v>14</v>
      </c>
      <c r="F140" s="2" t="s">
        <v>15</v>
      </c>
      <c r="G140" s="2" t="s">
        <v>496</v>
      </c>
      <c r="H140" s="2" t="s">
        <v>27</v>
      </c>
      <c r="I140" s="2" t="str">
        <f>IFERROR(__xludf.DUMMYFUNCTION("GOOGLETRANSLATE(C140,""fr"",""en"")"),"Hello, after 5 years of seniority with this insurance for my cars, motorcycles of all the family, victim of a burglary with break -in of my private property with vehicle steaper and no care not even a commercial, scandalous! I wonder what are we insured f"&amp;"or? I thought it was good insurance, good contact and good follow -up, I even encouraged my partner to take all his insurance at the Matmut and I realize with great naivety, that it is only a company like the others for whom only profitability has. It cos"&amp;"ts less to take a client than to compensate him. Complete termination without regret. In summary deplorable matmut if necessary.")</f>
        <v>Hello, after 5 years of seniority with this insurance for my cars, motorcycles of all the family, victim of a burglary with break -in of my private property with vehicle steaper and no care not even a commercial, scandalous! I wonder what are we insured for? I thought it was good insurance, good contact and good follow -up, I even encouraged my partner to take all his insurance at the Matmut and I realize with great naivety, that it is only a company like the others for whom only profitability has. It costs less to take a client than to compensate him. Complete termination without regret. In summary deplorable matmut if necessary.</v>
      </c>
    </row>
    <row r="141" ht="15.75" customHeight="1">
      <c r="A141" s="2">
        <v>5.0</v>
      </c>
      <c r="B141" s="2" t="s">
        <v>497</v>
      </c>
      <c r="C141" s="2" t="s">
        <v>498</v>
      </c>
      <c r="D141" s="2" t="s">
        <v>87</v>
      </c>
      <c r="E141" s="2" t="s">
        <v>14</v>
      </c>
      <c r="F141" s="2" t="s">
        <v>15</v>
      </c>
      <c r="G141" s="2" t="s">
        <v>499</v>
      </c>
      <c r="H141" s="2" t="s">
        <v>169</v>
      </c>
      <c r="I141" s="2" t="str">
        <f>IFERROR(__xludf.DUMMYFUNCTION("GOOGLETRANSLATE(C141,""fr"",""en"")"),"I am satisfied with the interface and the facilitated engagement.
The application rates are well below the walking and the satisfactory proponents")</f>
        <v>I am satisfied with the interface and the facilitated engagement.
The application rates are well below the walking and the satisfactory proponents</v>
      </c>
    </row>
    <row r="142" ht="15.75" customHeight="1">
      <c r="A142" s="2">
        <v>4.0</v>
      </c>
      <c r="B142" s="2" t="s">
        <v>500</v>
      </c>
      <c r="C142" s="2" t="s">
        <v>501</v>
      </c>
      <c r="D142" s="2" t="s">
        <v>74</v>
      </c>
      <c r="E142" s="2" t="s">
        <v>14</v>
      </c>
      <c r="F142" s="2" t="s">
        <v>15</v>
      </c>
      <c r="G142" s="2" t="s">
        <v>190</v>
      </c>
      <c r="H142" s="2" t="s">
        <v>190</v>
      </c>
      <c r="I142" s="2" t="str">
        <f>IFERROR(__xludf.DUMMYFUNCTION("GOOGLETRANSLATE(C142,""fr"",""en"")"),"I am satisfied with the prices, the relationship with my advisor, the facilitates to join an advisor for a problem, and the modernity of the GMF [Internet)")</f>
        <v>I am satisfied with the prices, the relationship with my advisor, the facilitates to join an advisor for a problem, and the modernity of the GMF [Internet)</v>
      </c>
    </row>
    <row r="143" ht="15.75" customHeight="1">
      <c r="A143" s="2">
        <v>2.0</v>
      </c>
      <c r="B143" s="2" t="s">
        <v>502</v>
      </c>
      <c r="C143" s="2" t="s">
        <v>503</v>
      </c>
      <c r="D143" s="2" t="s">
        <v>13</v>
      </c>
      <c r="E143" s="2" t="s">
        <v>14</v>
      </c>
      <c r="F143" s="2" t="s">
        <v>15</v>
      </c>
      <c r="G143" s="2" t="s">
        <v>504</v>
      </c>
      <c r="H143" s="2" t="s">
        <v>27</v>
      </c>
      <c r="I143" s="2" t="str">
        <f>IFERROR(__xludf.DUMMYFUNCTION("GOOGLETRANSLATE(C143,""fr"",""en"")"),"You can take out an offer on the phone in 5 minutes, however when it comes to terminating it is a way of the cross. My vehicle has been sold for August 2020 and I still can't terminate a scandal.")</f>
        <v>You can take out an offer on the phone in 5 minutes, however when it comes to terminating it is a way of the cross. My vehicle has been sold for August 2020 and I still can't terminate a scandal.</v>
      </c>
    </row>
    <row r="144" ht="15.75" customHeight="1">
      <c r="A144" s="2">
        <v>5.0</v>
      </c>
      <c r="B144" s="2" t="s">
        <v>505</v>
      </c>
      <c r="C144" s="2" t="s">
        <v>506</v>
      </c>
      <c r="D144" s="2" t="s">
        <v>13</v>
      </c>
      <c r="E144" s="2" t="s">
        <v>14</v>
      </c>
      <c r="F144" s="2" t="s">
        <v>15</v>
      </c>
      <c r="G144" s="2" t="s">
        <v>507</v>
      </c>
      <c r="H144" s="2" t="s">
        <v>52</v>
      </c>
      <c r="I144" s="2" t="str">
        <f>IFERROR(__xludf.DUMMYFUNCTION("GOOGLETRANSLATE(C144,""fr"",""en"")"),"Very satisfied with the prices offered and the possibility of creating your insurance pack yourself. The prices are very reasonable, waiting to see the speed of services if something happens to us!")</f>
        <v>Very satisfied with the prices offered and the possibility of creating your insurance pack yourself. The prices are very reasonable, waiting to see the speed of services if something happens to us!</v>
      </c>
    </row>
    <row r="145" ht="15.75" customHeight="1">
      <c r="A145" s="2">
        <v>3.0</v>
      </c>
      <c r="B145" s="2" t="s">
        <v>508</v>
      </c>
      <c r="C145" s="2" t="s">
        <v>509</v>
      </c>
      <c r="D145" s="2" t="s">
        <v>13</v>
      </c>
      <c r="E145" s="2" t="s">
        <v>14</v>
      </c>
      <c r="F145" s="2" t="s">
        <v>15</v>
      </c>
      <c r="G145" s="2" t="s">
        <v>510</v>
      </c>
      <c r="H145" s="2" t="s">
        <v>190</v>
      </c>
      <c r="I145" s="2" t="str">
        <f>IFERROR(__xludf.DUMMYFUNCTION("GOOGLETRANSLATE(C145,""fr"",""en"")"),"I am not satisfied with the nonexistent relationship that I have with my advice. No way to join you to ask a question. You have to go through a subject's proposal path which does not correspond to my need. I just declared a claim last Friday which was not"&amp;" taken into account since I cannot find this statement on your site")</f>
        <v>I am not satisfied with the nonexistent relationship that I have with my advice. No way to join you to ask a question. You have to go through a subject's proposal path which does not correspond to my need. I just declared a claim last Friday which was not taken into account since I cannot find this statement on your site</v>
      </c>
    </row>
    <row r="146" ht="15.75" customHeight="1">
      <c r="A146" s="2">
        <v>4.0</v>
      </c>
      <c r="B146" s="2" t="s">
        <v>511</v>
      </c>
      <c r="C146" s="2" t="s">
        <v>512</v>
      </c>
      <c r="D146" s="2" t="s">
        <v>13</v>
      </c>
      <c r="E146" s="2" t="s">
        <v>14</v>
      </c>
      <c r="F146" s="2" t="s">
        <v>15</v>
      </c>
      <c r="G146" s="2" t="s">
        <v>513</v>
      </c>
      <c r="H146" s="2" t="s">
        <v>61</v>
      </c>
      <c r="I146" s="2" t="str">
        <f>IFERROR(__xludf.DUMMYFUNCTION("GOOGLETRANSLATE(C146,""fr"",""en"")"),"Well, some small things to facilitate: add a driving to accompany, troubleshooting, loan vehicle. But on the whole. I would recommend")</f>
        <v>Well, some small things to facilitate: add a driving to accompany, troubleshooting, loan vehicle. But on the whole. I would recommend</v>
      </c>
    </row>
    <row r="147" ht="15.75" customHeight="1">
      <c r="A147" s="2">
        <v>1.0</v>
      </c>
      <c r="B147" s="2" t="s">
        <v>514</v>
      </c>
      <c r="C147" s="2" t="s">
        <v>515</v>
      </c>
      <c r="D147" s="2" t="s">
        <v>227</v>
      </c>
      <c r="E147" s="2" t="s">
        <v>65</v>
      </c>
      <c r="F147" s="2" t="s">
        <v>15</v>
      </c>
      <c r="G147" s="2" t="s">
        <v>516</v>
      </c>
      <c r="H147" s="2" t="s">
        <v>446</v>
      </c>
      <c r="I147" s="2" t="str">
        <f>IFERROR(__xludf.DUMMYFUNCTION("GOOGLETRANSLATE(C147,""fr"",""en"")"),"My daughter signed a contract a year ago. She has been on sick leave for 8 months. Allianz asks him for a modification of contract raying his conditions so that Ij. Or radiation to the fact that his contract is not two years old. Is this clause legal?")</f>
        <v>My daughter signed a contract a year ago. She has been on sick leave for 8 months. Allianz asks him for a modification of contract raying his conditions so that Ij. Or radiation to the fact that his contract is not two years old. Is this clause legal?</v>
      </c>
    </row>
    <row r="148" ht="15.75" customHeight="1">
      <c r="A148" s="2">
        <v>4.0</v>
      </c>
      <c r="B148" s="2" t="s">
        <v>517</v>
      </c>
      <c r="C148" s="2" t="s">
        <v>518</v>
      </c>
      <c r="D148" s="2" t="s">
        <v>201</v>
      </c>
      <c r="E148" s="2" t="s">
        <v>21</v>
      </c>
      <c r="F148" s="2" t="s">
        <v>15</v>
      </c>
      <c r="G148" s="2" t="s">
        <v>519</v>
      </c>
      <c r="H148" s="2" t="s">
        <v>446</v>
      </c>
      <c r="I148" s="2" t="str">
        <f>IFERROR(__xludf.DUMMYFUNCTION("GOOGLETRANSLATE(C148,""fr"",""en"")"),"Very good insurer, I highly recommend it")</f>
        <v>Very good insurer, I highly recommend it</v>
      </c>
    </row>
    <row r="149" ht="15.75" customHeight="1">
      <c r="A149" s="2">
        <v>4.0</v>
      </c>
      <c r="B149" s="2" t="s">
        <v>520</v>
      </c>
      <c r="C149" s="2" t="s">
        <v>521</v>
      </c>
      <c r="D149" s="2" t="s">
        <v>13</v>
      </c>
      <c r="E149" s="2" t="s">
        <v>14</v>
      </c>
      <c r="F149" s="2" t="s">
        <v>15</v>
      </c>
      <c r="G149" s="2" t="s">
        <v>522</v>
      </c>
      <c r="H149" s="2" t="s">
        <v>42</v>
      </c>
      <c r="I149" s="2" t="str">
        <f>IFERROR(__xludf.DUMMYFUNCTION("GOOGLETRANSLATE(C149,""fr"",""en"")"),"I am satisfied, thank you for the recording. I quickly take care of sending you my supporting documents. And I stay V-Bien on your disposal")</f>
        <v>I am satisfied, thank you for the recording. I quickly take care of sending you my supporting documents. And I stay V-Bien on your disposal</v>
      </c>
    </row>
    <row r="150" ht="15.75" customHeight="1">
      <c r="A150" s="2">
        <v>4.0</v>
      </c>
      <c r="B150" s="2" t="s">
        <v>523</v>
      </c>
      <c r="C150" s="2" t="s">
        <v>524</v>
      </c>
      <c r="D150" s="2" t="s">
        <v>13</v>
      </c>
      <c r="E150" s="2" t="s">
        <v>14</v>
      </c>
      <c r="F150" s="2" t="s">
        <v>15</v>
      </c>
      <c r="G150" s="2" t="s">
        <v>525</v>
      </c>
      <c r="H150" s="2" t="s">
        <v>433</v>
      </c>
      <c r="I150" s="2" t="str">
        <f>IFERROR(__xludf.DUMMYFUNCTION("GOOGLETRANSLATE(C150,""fr"",""en"")"),"Everything is perfect,
Easy to do quote
Now I just have to think about changing or not insurance
I hope not to be called for now!")</f>
        <v>Everything is perfect,
Easy to do quote
Now I just have to think about changing or not insurance
I hope not to be called for now!</v>
      </c>
    </row>
    <row r="151" ht="15.75" customHeight="1">
      <c r="A151" s="2">
        <v>5.0</v>
      </c>
      <c r="B151" s="2" t="s">
        <v>526</v>
      </c>
      <c r="C151" s="2" t="s">
        <v>527</v>
      </c>
      <c r="D151" s="2" t="s">
        <v>87</v>
      </c>
      <c r="E151" s="2" t="s">
        <v>14</v>
      </c>
      <c r="F151" s="2" t="s">
        <v>15</v>
      </c>
      <c r="G151" s="2" t="s">
        <v>169</v>
      </c>
      <c r="H151" s="2" t="s">
        <v>169</v>
      </c>
      <c r="I151" s="2" t="str">
        <f>IFERROR(__xludf.DUMMYFUNCTION("GOOGLETRANSLATE(C151,""fr"",""en"")"),"Very friendly and competent customer service on the phone, price lower than competition.
This is insurance, we will see later how c")</f>
        <v>Very friendly and competent customer service on the phone, price lower than competition.
This is insurance, we will see later how c</v>
      </c>
    </row>
    <row r="152" ht="15.75" customHeight="1">
      <c r="A152" s="2">
        <v>1.0</v>
      </c>
      <c r="B152" s="2" t="s">
        <v>528</v>
      </c>
      <c r="C152" s="2" t="s">
        <v>529</v>
      </c>
      <c r="D152" s="2" t="s">
        <v>36</v>
      </c>
      <c r="E152" s="2" t="s">
        <v>55</v>
      </c>
      <c r="F152" s="2" t="s">
        <v>15</v>
      </c>
      <c r="G152" s="2" t="s">
        <v>530</v>
      </c>
      <c r="H152" s="2" t="s">
        <v>42</v>
      </c>
      <c r="I152" s="2" t="str">
        <f>IFERROR(__xludf.DUMMYFUNCTION("GOOGLETRANSLATE(C152,""fr"",""en"")"),"I declare a sinister on shine/lounge window, I send two photos of the bursts and the quote of the craftsman who posed my windows, the maif, her, has her expert who makes calculations of the loss at a distance without moving according to a Bareme establish"&amp;"ed by Maif /his artist providers. Return, my quote is too expensive for them, I have to pay the difference between my quote and quote Maif, we are imposed on their service provider otherwise you pay the difference.
There is also the deductible to pay tha"&amp;"t you take your craft or theirs.
We pay fairly raising contributions to our insurance but to reimburse us a claim of less than 1000 euros there is no one juju, the less they give more they are happy,")</f>
        <v>I declare a sinister on shine/lounge window, I send two photos of the bursts and the quote of the craftsman who posed my windows, the maif, her, has her expert who makes calculations of the loss at a distance without moving according to a Bareme established by Maif /his artist providers. Return, my quote is too expensive for them, I have to pay the difference between my quote and quote Maif, we are imposed on their service provider otherwise you pay the difference.
There is also the deductible to pay that you take your craft or theirs.
We pay fairly raising contributions to our insurance but to reimburse us a claim of less than 1000 euros there is no one juju, the less they give more they are happy,</v>
      </c>
    </row>
    <row r="153" ht="15.75" customHeight="1">
      <c r="A153" s="2">
        <v>3.0</v>
      </c>
      <c r="B153" s="2" t="s">
        <v>531</v>
      </c>
      <c r="C153" s="2" t="s">
        <v>532</v>
      </c>
      <c r="D153" s="2" t="s">
        <v>237</v>
      </c>
      <c r="E153" s="2" t="s">
        <v>14</v>
      </c>
      <c r="F153" s="2" t="s">
        <v>15</v>
      </c>
      <c r="G153" s="2" t="s">
        <v>533</v>
      </c>
      <c r="H153" s="2" t="s">
        <v>76</v>
      </c>
      <c r="I153" s="2" t="str">
        <f>IFERROR(__xludf.DUMMYFUNCTION("GOOGLETRANSLATE(C153,""fr"",""en"")"),"insured at Axa for over 20 years without accident
I get struck by a car I am not in wrong and to remedy my conforming vehicle as well as my trailer I must pay 250 euro my vehicle spent technical control there are 3 months zero defect I ask that I am retu"&amp;"rned to my car and my trailer identically before accident
without having to add money the expert judge contrasts the good god and we pay")</f>
        <v>insured at Axa for over 20 years without accident
I get struck by a car I am not in wrong and to remedy my conforming vehicle as well as my trailer I must pay 250 euro my vehicle spent technical control there are 3 months zero defect I ask that I am returned to my car and my trailer identically before accident
without having to add money the expert judge contrasts the good god and we pay</v>
      </c>
    </row>
    <row r="154" ht="15.75" customHeight="1">
      <c r="A154" s="2">
        <v>3.0</v>
      </c>
      <c r="B154" s="2" t="s">
        <v>534</v>
      </c>
      <c r="C154" s="2" t="s">
        <v>535</v>
      </c>
      <c r="D154" s="2" t="s">
        <v>87</v>
      </c>
      <c r="E154" s="2" t="s">
        <v>14</v>
      </c>
      <c r="F154" s="2" t="s">
        <v>15</v>
      </c>
      <c r="G154" s="2" t="s">
        <v>536</v>
      </c>
      <c r="H154" s="2" t="s">
        <v>42</v>
      </c>
      <c r="I154" s="2" t="str">
        <f>IFERROR(__xludf.DUMMYFUNCTION("GOOGLETRANSLATE(C154,""fr"",""en"")"),"For the moment it is good, we will see if there are increases each year or if there is a disaster. Docuing the documents is simple, that's good.")</f>
        <v>For the moment it is good, we will see if there are increases each year or if there is a disaster. Docuing the documents is simple, that's good.</v>
      </c>
    </row>
    <row r="155" ht="15.75" customHeight="1">
      <c r="A155" s="2">
        <v>5.0</v>
      </c>
      <c r="B155" s="2" t="s">
        <v>537</v>
      </c>
      <c r="C155" s="2" t="s">
        <v>538</v>
      </c>
      <c r="D155" s="2" t="s">
        <v>87</v>
      </c>
      <c r="E155" s="2" t="s">
        <v>14</v>
      </c>
      <c r="F155" s="2" t="s">
        <v>15</v>
      </c>
      <c r="G155" s="2" t="s">
        <v>539</v>
      </c>
      <c r="H155" s="2" t="s">
        <v>282</v>
      </c>
      <c r="I155" s="2" t="str">
        <f>IFERROR(__xludf.DUMMYFUNCTION("GOOGLETRANSLATE(C155,""fr"",""en"")"),"Professionals. A rapid contact, a clear explanation and employees with skills as well as unbearable competitive prices
all competition.")</f>
        <v>Professionals. A rapid contact, a clear explanation and employees with skills as well as unbearable competitive prices
all competition.</v>
      </c>
    </row>
    <row r="156" ht="15.75" customHeight="1">
      <c r="A156" s="2">
        <v>1.0</v>
      </c>
      <c r="B156" s="2" t="s">
        <v>540</v>
      </c>
      <c r="C156" s="2" t="s">
        <v>541</v>
      </c>
      <c r="D156" s="2" t="s">
        <v>45</v>
      </c>
      <c r="E156" s="2" t="s">
        <v>55</v>
      </c>
      <c r="F156" s="2" t="s">
        <v>15</v>
      </c>
      <c r="G156" s="2" t="s">
        <v>542</v>
      </c>
      <c r="H156" s="2" t="s">
        <v>324</v>
      </c>
      <c r="I156" s="2" t="str">
        <f>IFERROR(__xludf.DUMMYFUNCTION("GOOGLETRANSLATE(C156,""fr"",""en"")"),"Very disappointed with Macif practices! Victim of a burglary last month, I had the sad surprise to learn that my movable property (a flight of nearly 2000 €) were not covered my home insurance. Only real estate were in the event of theft! Should we still "&amp;"know that the insurance of a main home could only cover real estate ... I denounce a lack of advice from the insurer. Indeed, the latter never presented me the option at 2 € which had to be subscribed to ensure my movable property which were dear to me. L"&amp;"iving in an apartment in the DRC, in a neighborhood where the risk of burglary is high, it is obvious that I would have subscribed to this option .. maybe a MACIF strategy to limit the reimbursements linked to flights ... unscrupulous methods!")</f>
        <v>Very disappointed with Macif practices! Victim of a burglary last month, I had the sad surprise to learn that my movable property (a flight of nearly 2000 €) were not covered my home insurance. Only real estate were in the event of theft! Should we still know that the insurance of a main home could only cover real estate ... I denounce a lack of advice from the insurer. Indeed, the latter never presented me the option at 2 € which had to be subscribed to ensure my movable property which were dear to me. Living in an apartment in the DRC, in a neighborhood where the risk of burglary is high, it is obvious that I would have subscribed to this option .. maybe a MACIF strategy to limit the reimbursements linked to flights ... unscrupulous methods!</v>
      </c>
    </row>
    <row r="157" ht="15.75" customHeight="1">
      <c r="A157" s="2">
        <v>3.0</v>
      </c>
      <c r="B157" s="2" t="s">
        <v>543</v>
      </c>
      <c r="C157" s="2" t="s">
        <v>544</v>
      </c>
      <c r="D157" s="2" t="s">
        <v>87</v>
      </c>
      <c r="E157" s="2" t="s">
        <v>14</v>
      </c>
      <c r="F157" s="2" t="s">
        <v>15</v>
      </c>
      <c r="G157" s="2" t="s">
        <v>545</v>
      </c>
      <c r="H157" s="2" t="s">
        <v>27</v>
      </c>
      <c r="I157" s="2" t="str">
        <f>IFERROR(__xludf.DUMMYFUNCTION("GOOGLETRANSLATE(C157,""fr"",""en"")"),"I find that a reminder would have been good, because I did not realize that the contract was not signed! And someone to accompany me on the site: thank you")</f>
        <v>I find that a reminder would have been good, because I did not realize that the contract was not signed! And someone to accompany me on the site: thank you</v>
      </c>
    </row>
    <row r="158" ht="15.75" customHeight="1">
      <c r="A158" s="2">
        <v>2.0</v>
      </c>
      <c r="B158" s="2" t="s">
        <v>546</v>
      </c>
      <c r="C158" s="2" t="s">
        <v>547</v>
      </c>
      <c r="D158" s="2" t="s">
        <v>87</v>
      </c>
      <c r="E158" s="2" t="s">
        <v>14</v>
      </c>
      <c r="F158" s="2" t="s">
        <v>15</v>
      </c>
      <c r="G158" s="2" t="s">
        <v>161</v>
      </c>
      <c r="H158" s="2" t="s">
        <v>47</v>
      </c>
      <c r="I158" s="2" t="str">
        <f>IFERROR(__xludf.DUMMYFUNCTION("GOOGLETRANSLATE(C158,""fr"",""en"")"),"I just started auto insurance with the olive tree: the contract does not mention the optional packs chosen (in particular the loan vehicle), the connection system to its customer area does not work (no password sent), SEPA sampling obligation: which is il"&amp;"legal since at least two payments must be proposed: only disappointments!")</f>
        <v>I just started auto insurance with the olive tree: the contract does not mention the optional packs chosen (in particular the loan vehicle), the connection system to its customer area does not work (no password sent), SEPA sampling obligation: which is illegal since at least two payments must be proposed: only disappointments!</v>
      </c>
    </row>
    <row r="159" ht="15.75" customHeight="1">
      <c r="A159" s="2">
        <v>4.0</v>
      </c>
      <c r="B159" s="2" t="s">
        <v>548</v>
      </c>
      <c r="C159" s="2" t="s">
        <v>549</v>
      </c>
      <c r="D159" s="2" t="s">
        <v>334</v>
      </c>
      <c r="E159" s="2" t="s">
        <v>31</v>
      </c>
      <c r="F159" s="2" t="s">
        <v>15</v>
      </c>
      <c r="G159" s="2" t="s">
        <v>550</v>
      </c>
      <c r="H159" s="2" t="s">
        <v>42</v>
      </c>
      <c r="I159" s="2" t="str">
        <f>IFERROR(__xludf.DUMMYFUNCTION("GOOGLETRANSLATE(C159,""fr"",""en"")"),"The contact (Emeline) that I had with my insurance is made very clearly and gave my satisfaction.
To date, I have received only answers favorable to my requests.
I really hope it lasts like that for a long time.
")</f>
        <v>The contact (Emeline) that I had with my insurance is made very clearly and gave my satisfaction.
To date, I have received only answers favorable to my requests.
I really hope it lasts like that for a long time.
</v>
      </c>
    </row>
    <row r="160" ht="15.75" customHeight="1">
      <c r="A160" s="2">
        <v>2.0</v>
      </c>
      <c r="B160" s="2" t="s">
        <v>551</v>
      </c>
      <c r="C160" s="2" t="s">
        <v>552</v>
      </c>
      <c r="D160" s="2" t="s">
        <v>120</v>
      </c>
      <c r="E160" s="2" t="s">
        <v>14</v>
      </c>
      <c r="F160" s="2" t="s">
        <v>15</v>
      </c>
      <c r="G160" s="2" t="s">
        <v>553</v>
      </c>
      <c r="H160" s="2" t="s">
        <v>344</v>
      </c>
      <c r="I160" s="2" t="str">
        <f>IFERROR(__xludf.DUMMYFUNCTION("GOOGLETRANSLATE(C160,""fr"",""en"")"),"It is good insurance for those who do not declare any claim (including those not responsible!). It is unacceptable")</f>
        <v>It is good insurance for those who do not declare any claim (including those not responsible!). It is unacceptable</v>
      </c>
    </row>
    <row r="161" ht="15.75" customHeight="1">
      <c r="A161" s="2">
        <v>3.0</v>
      </c>
      <c r="B161" s="2" t="s">
        <v>554</v>
      </c>
      <c r="C161" s="2" t="s">
        <v>555</v>
      </c>
      <c r="D161" s="2" t="s">
        <v>50</v>
      </c>
      <c r="E161" s="2" t="s">
        <v>21</v>
      </c>
      <c r="F161" s="2" t="s">
        <v>15</v>
      </c>
      <c r="G161" s="2" t="s">
        <v>396</v>
      </c>
      <c r="H161" s="2" t="s">
        <v>209</v>
      </c>
      <c r="I161" s="2" t="str">
        <f>IFERROR(__xludf.DUMMYFUNCTION("GOOGLETRANSLATE(C161,""fr"",""en"")"),"I still only had this insurance for my motorcycles. I am very satisfied with it. Both at the price level and at the quality of the responses provided when I needed it.")</f>
        <v>I still only had this insurance for my motorcycles. I am very satisfied with it. Both at the price level and at the quality of the responses provided when I needed it.</v>
      </c>
    </row>
    <row r="162" ht="15.75" customHeight="1">
      <c r="A162" s="2">
        <v>4.0</v>
      </c>
      <c r="B162" s="2" t="s">
        <v>556</v>
      </c>
      <c r="C162" s="2" t="s">
        <v>557</v>
      </c>
      <c r="D162" s="2" t="s">
        <v>558</v>
      </c>
      <c r="E162" s="2" t="s">
        <v>31</v>
      </c>
      <c r="F162" s="2" t="s">
        <v>15</v>
      </c>
      <c r="G162" s="2" t="s">
        <v>559</v>
      </c>
      <c r="H162" s="2" t="s">
        <v>179</v>
      </c>
      <c r="I162" s="2" t="str">
        <f>IFERROR(__xludf.DUMMYFUNCTION("GOOGLETRANSLATE(C162,""fr"",""en"")"),"Super insurance. Super welcome on the phone. Application and super website with sending invoices through this. Very fast reimbursement. I laure off")</f>
        <v>Super insurance. Super welcome on the phone. Application and super website with sending invoices through this. Very fast reimbursement. I laure off</v>
      </c>
    </row>
    <row r="163" ht="15.75" customHeight="1">
      <c r="A163" s="2">
        <v>2.0</v>
      </c>
      <c r="B163" s="2" t="s">
        <v>560</v>
      </c>
      <c r="C163" s="2" t="s">
        <v>561</v>
      </c>
      <c r="D163" s="2" t="s">
        <v>330</v>
      </c>
      <c r="E163" s="2" t="s">
        <v>31</v>
      </c>
      <c r="F163" s="2" t="s">
        <v>15</v>
      </c>
      <c r="G163" s="2" t="s">
        <v>562</v>
      </c>
      <c r="H163" s="2" t="s">
        <v>89</v>
      </c>
      <c r="I163" s="2" t="str">
        <f>IFERROR(__xludf.DUMMYFUNCTION("GOOGLETRANSLATE(C163,""fr"",""en"")"),"Mutual to avoid. My mother -in -law 88 years old and with a small retirement had to wait on 02/12/2019 to be set by 680 euros following an accident of 08/01/2018 or almost 2 years. She had a new accident on 07/02/2019 and the MGEN still owes her in the 50"&amp;"0 euros. We do not stop sending mail mails on their site and calling them. We are reminded of us we promise but nothing happens. Too many interlocutors who are not aware who ask you 10 times the same information and the same documents that we refer. It lo"&amp;"oks like this structure does everything so as not to pay.")</f>
        <v>Mutual to avoid. My mother -in -law 88 years old and with a small retirement had to wait on 02/12/2019 to be set by 680 euros following an accident of 08/01/2018 or almost 2 years. She had a new accident on 07/02/2019 and the MGEN still owes her in the 500 euros. We do not stop sending mail mails on their site and calling them. We are reminded of us we promise but nothing happens. Too many interlocutors who are not aware who ask you 10 times the same information and the same documents that we refer. It looks like this structure does everything so as not to pay.</v>
      </c>
    </row>
    <row r="164" ht="15.75" customHeight="1">
      <c r="A164" s="2">
        <v>3.0</v>
      </c>
      <c r="B164" s="2" t="s">
        <v>563</v>
      </c>
      <c r="C164" s="2" t="s">
        <v>564</v>
      </c>
      <c r="D164" s="2" t="s">
        <v>50</v>
      </c>
      <c r="E164" s="2" t="s">
        <v>21</v>
      </c>
      <c r="F164" s="2" t="s">
        <v>15</v>
      </c>
      <c r="G164" s="2" t="s">
        <v>565</v>
      </c>
      <c r="H164" s="2" t="s">
        <v>190</v>
      </c>
      <c r="I164" s="2" t="str">
        <f>IFERROR(__xludf.DUMMYFUNCTION("GOOGLETRANSLATE(C164,""fr"",""en"")"),"I am satisfied with the prices, hoping that if there is a problem it happens as well almost the subscription. And that the formality is so easy.")</f>
        <v>I am satisfied with the prices, hoping that if there is a problem it happens as well almost the subscription. And that the formality is so easy.</v>
      </c>
    </row>
    <row r="165" ht="15.75" customHeight="1">
      <c r="A165" s="2">
        <v>5.0</v>
      </c>
      <c r="B165" s="2" t="s">
        <v>566</v>
      </c>
      <c r="C165" s="2" t="s">
        <v>567</v>
      </c>
      <c r="D165" s="2" t="s">
        <v>50</v>
      </c>
      <c r="E165" s="2" t="s">
        <v>21</v>
      </c>
      <c r="F165" s="2" t="s">
        <v>15</v>
      </c>
      <c r="G165" s="2" t="s">
        <v>504</v>
      </c>
      <c r="H165" s="2" t="s">
        <v>27</v>
      </c>
      <c r="I165" s="2" t="str">
        <f>IFERROR(__xludf.DUMMYFUNCTION("GOOGLETRANSLATE(C165,""fr"",""en"")"),"I am satisfied with insurance in terms of guarantees and price and your website AI accessible to all people and clear I would recommend your insurance to my circle of friends")</f>
        <v>I am satisfied with insurance in terms of guarantees and price and your website AI accessible to all people and clear I would recommend your insurance to my circle of friends</v>
      </c>
    </row>
    <row r="166" ht="15.75" customHeight="1">
      <c r="A166" s="2">
        <v>5.0</v>
      </c>
      <c r="B166" s="2" t="s">
        <v>568</v>
      </c>
      <c r="C166" s="2" t="s">
        <v>569</v>
      </c>
      <c r="D166" s="2" t="s">
        <v>13</v>
      </c>
      <c r="E166" s="2" t="s">
        <v>14</v>
      </c>
      <c r="F166" s="2" t="s">
        <v>15</v>
      </c>
      <c r="G166" s="2" t="s">
        <v>570</v>
      </c>
      <c r="H166" s="2" t="s">
        <v>42</v>
      </c>
      <c r="I166" s="2" t="str">
        <f>IFERROR(__xludf.DUMMYFUNCTION("GOOGLETRANSLATE(C166,""fr"",""en"")"),"I am satisfied with this service so far and I hope it will be so easy to use in the event of a problem or if you need your help. I hope there will be no need to use it. I hope youdrive will reduce my monthly cost.")</f>
        <v>I am satisfied with this service so far and I hope it will be so easy to use in the event of a problem or if you need your help. I hope there will be no need to use it. I hope youdrive will reduce my monthly cost.</v>
      </c>
    </row>
    <row r="167" ht="15.75" customHeight="1">
      <c r="A167" s="2">
        <v>3.0</v>
      </c>
      <c r="B167" s="2" t="s">
        <v>571</v>
      </c>
      <c r="C167" s="2" t="s">
        <v>572</v>
      </c>
      <c r="D167" s="2" t="s">
        <v>50</v>
      </c>
      <c r="E167" s="2" t="s">
        <v>21</v>
      </c>
      <c r="F167" s="2" t="s">
        <v>15</v>
      </c>
      <c r="G167" s="2" t="s">
        <v>573</v>
      </c>
      <c r="H167" s="2" t="s">
        <v>209</v>
      </c>
      <c r="I167" s="2" t="str">
        <f>IFERROR(__xludf.DUMMYFUNCTION("GOOGLETRANSLATE(C167,""fr"",""en"")"),"Well I recommend. Affordable price.
Super great good.
To see later
Look forward to seeing if it's as good afterwards.
I recommend my entourage")</f>
        <v>Well I recommend. Affordable price.
Super great good.
To see later
Look forward to seeing if it's as good afterwards.
I recommend my entourage</v>
      </c>
    </row>
    <row r="168" ht="15.75" customHeight="1">
      <c r="A168" s="2">
        <v>1.0</v>
      </c>
      <c r="B168" s="2" t="s">
        <v>574</v>
      </c>
      <c r="C168" s="2" t="s">
        <v>575</v>
      </c>
      <c r="D168" s="2" t="s">
        <v>156</v>
      </c>
      <c r="E168" s="2" t="s">
        <v>31</v>
      </c>
      <c r="F168" s="2" t="s">
        <v>15</v>
      </c>
      <c r="G168" s="2" t="s">
        <v>576</v>
      </c>
      <c r="H168" s="2" t="s">
        <v>81</v>
      </c>
      <c r="I168" s="2" t="str">
        <f>IFERROR(__xludf.DUMMYFUNCTION("GOOGLETRANSLATE(C168,""fr"",""en"")"),"I called for a request for urgent care, I was told that the response time following a quote was 15 days, I wanted to ask other questions, I was hung up on the nose , forced to wait another 10 minutes to have another person, just as pleasant.
I find that "&amp;"in view of the price of this complementary, there is much to improve.")</f>
        <v>I called for a request for urgent care, I was told that the response time following a quote was 15 days, I wanted to ask other questions, I was hung up on the nose , forced to wait another 10 minutes to have another person, just as pleasant.
I find that in view of the price of this complementary, there is much to improve.</v>
      </c>
    </row>
    <row r="169" ht="15.75" customHeight="1">
      <c r="A169" s="2">
        <v>4.0</v>
      </c>
      <c r="B169" s="2" t="s">
        <v>577</v>
      </c>
      <c r="C169" s="2" t="s">
        <v>578</v>
      </c>
      <c r="D169" s="2" t="s">
        <v>50</v>
      </c>
      <c r="E169" s="2" t="s">
        <v>21</v>
      </c>
      <c r="F169" s="2" t="s">
        <v>15</v>
      </c>
      <c r="G169" s="2" t="s">
        <v>403</v>
      </c>
      <c r="H169" s="2" t="s">
        <v>42</v>
      </c>
      <c r="I169" s="2" t="str">
        <f>IFERROR(__xludf.DUMMYFUNCTION("GOOGLETRANSLATE(C169,""fr"",""en"")"),"The price is very correct
The website is practical and fast.
I am satisfied with the offer offered by April.
In addition April is Johann Zarco's partner that I am every weekend.
")</f>
        <v>The price is very correct
The website is practical and fast.
I am satisfied with the offer offered by April.
In addition April is Johann Zarco's partner that I am every weekend.
</v>
      </c>
    </row>
    <row r="170" ht="15.75" customHeight="1">
      <c r="A170" s="2">
        <v>1.0</v>
      </c>
      <c r="B170" s="2" t="s">
        <v>579</v>
      </c>
      <c r="C170" s="2" t="s">
        <v>580</v>
      </c>
      <c r="D170" s="2" t="s">
        <v>581</v>
      </c>
      <c r="E170" s="2" t="s">
        <v>31</v>
      </c>
      <c r="F170" s="2" t="s">
        <v>15</v>
      </c>
      <c r="G170" s="2" t="s">
        <v>582</v>
      </c>
      <c r="H170" s="2" t="s">
        <v>209</v>
      </c>
      <c r="I170" s="2" t="str">
        <f>IFERROR(__xludf.DUMMYFUNCTION("GOOGLETRANSLATE(C170,""fr"",""en"")"),"A very bad mutual already to call them is very complicated it never answers once you have them on the phone to make a quote on a pair of glasses ah no we do not find that person there. take they know but for the rest it is worth nothing I do not recommend"&amp;" it")</f>
        <v>A very bad mutual already to call them is very complicated it never answers once you have them on the phone to make a quote on a pair of glasses ah no we do not find that person there. take they know but for the rest it is worth nothing I do not recommend it</v>
      </c>
    </row>
    <row r="171" ht="15.75" customHeight="1">
      <c r="A171" s="2">
        <v>5.0</v>
      </c>
      <c r="B171" s="2" t="s">
        <v>583</v>
      </c>
      <c r="C171" s="2" t="s">
        <v>584</v>
      </c>
      <c r="D171" s="2" t="s">
        <v>13</v>
      </c>
      <c r="E171" s="2" t="s">
        <v>14</v>
      </c>
      <c r="F171" s="2" t="s">
        <v>15</v>
      </c>
      <c r="G171" s="2" t="s">
        <v>585</v>
      </c>
      <c r="H171" s="2" t="s">
        <v>42</v>
      </c>
      <c r="I171" s="2" t="str">
        <f>IFERROR(__xludf.DUMMYFUNCTION("GOOGLETRANSLATE(C171,""fr"",""en"")"),"The serenity pack is a formula that
Allows to ensure my new vehicle that has not been driving for several years I am considered again young driver and this considerably increases the prices of the coup this formal is really ideal for benefiting from reas"&amp;"onable prices thank you direct insurance")</f>
        <v>The serenity pack is a formula that
Allows to ensure my new vehicle that has not been driving for several years I am considered again young driver and this considerably increases the prices of the coup this formal is really ideal for benefiting from reasonable prices thank you direct insurance</v>
      </c>
    </row>
    <row r="172" ht="15.75" customHeight="1">
      <c r="A172" s="2">
        <v>1.0</v>
      </c>
      <c r="B172" s="2" t="s">
        <v>586</v>
      </c>
      <c r="C172" s="2" t="s">
        <v>587</v>
      </c>
      <c r="D172" s="2" t="s">
        <v>45</v>
      </c>
      <c r="E172" s="2" t="s">
        <v>65</v>
      </c>
      <c r="F172" s="2" t="s">
        <v>15</v>
      </c>
      <c r="G172" s="2" t="s">
        <v>588</v>
      </c>
      <c r="H172" s="2" t="s">
        <v>589</v>
      </c>
      <c r="I172" s="2" t="str">
        <f>IFERROR(__xludf.DUMMYFUNCTION("GOOGLETRANSLATE(C172,""fr"",""en"")"),"Another insurance that goes around not to reimburse")</f>
        <v>Another insurance that goes around not to reimburse</v>
      </c>
    </row>
    <row r="173" ht="15.75" customHeight="1">
      <c r="A173" s="2">
        <v>4.0</v>
      </c>
      <c r="B173" s="2" t="s">
        <v>590</v>
      </c>
      <c r="C173" s="2" t="s">
        <v>591</v>
      </c>
      <c r="D173" s="2" t="s">
        <v>13</v>
      </c>
      <c r="E173" s="2" t="s">
        <v>14</v>
      </c>
      <c r="F173" s="2" t="s">
        <v>15</v>
      </c>
      <c r="G173" s="2" t="s">
        <v>592</v>
      </c>
      <c r="H173" s="2" t="s">
        <v>61</v>
      </c>
      <c r="I173" s="2" t="str">
        <f>IFERROR(__xludf.DUMMYFUNCTION("GOOGLETRANSLATE(C173,""fr"",""en"")"),"Management and implementation of somewhat laborious contracts, with errors of mentions and strikes on one of the contracts subscribed. No less than four calls and four different interlocutors and advisers to have the errors change in the phone. Not too re"&amp;"assured for my start at Direct Insurance.")</f>
        <v>Management and implementation of somewhat laborious contracts, with errors of mentions and strikes on one of the contracts subscribed. No less than four calls and four different interlocutors and advisers to have the errors change in the phone. Not too reassured for my start at Direct Insurance.</v>
      </c>
    </row>
    <row r="174" ht="15.75" customHeight="1">
      <c r="A174" s="2">
        <v>3.0</v>
      </c>
      <c r="B174" s="2" t="s">
        <v>593</v>
      </c>
      <c r="C174" s="2" t="s">
        <v>594</v>
      </c>
      <c r="D174" s="2" t="s">
        <v>13</v>
      </c>
      <c r="E174" s="2" t="s">
        <v>14</v>
      </c>
      <c r="F174" s="2" t="s">
        <v>15</v>
      </c>
      <c r="G174" s="2" t="s">
        <v>595</v>
      </c>
      <c r="H174" s="2" t="s">
        <v>433</v>
      </c>
      <c r="I174" s="2" t="str">
        <f>IFERROR(__xludf.DUMMYFUNCTION("GOOGLETRANSLATE(C174,""fr"",""en"")"),"The prices are correct, I am waiting to see the franchises it does not appear during the entry of the information, I hope to find it in the quote ....")</f>
        <v>The prices are correct, I am waiting to see the franchises it does not appear during the entry of the information, I hope to find it in the quote ....</v>
      </c>
    </row>
    <row r="175" ht="15.75" customHeight="1">
      <c r="A175" s="2">
        <v>5.0</v>
      </c>
      <c r="B175" s="2" t="s">
        <v>596</v>
      </c>
      <c r="C175" s="2" t="s">
        <v>597</v>
      </c>
      <c r="D175" s="2" t="s">
        <v>201</v>
      </c>
      <c r="E175" s="2" t="s">
        <v>21</v>
      </c>
      <c r="F175" s="2" t="s">
        <v>15</v>
      </c>
      <c r="G175" s="2" t="s">
        <v>42</v>
      </c>
      <c r="H175" s="2" t="s">
        <v>42</v>
      </c>
      <c r="I175" s="2" t="str">
        <f>IFERROR(__xludf.DUMMYFUNCTION("GOOGLETRANSLATE(C175,""fr"",""en"")"),"Satisfied simple and quick I would recommend you happy very quickly good day reasonable price reachable at all times thank you for everything soon good day")</f>
        <v>Satisfied simple and quick I would recommend you happy very quickly good day reasonable price reachable at all times thank you for everything soon good day</v>
      </c>
    </row>
    <row r="176" ht="15.75" customHeight="1">
      <c r="A176" s="2">
        <v>1.0</v>
      </c>
      <c r="B176" s="2" t="s">
        <v>598</v>
      </c>
      <c r="C176" s="2" t="s">
        <v>599</v>
      </c>
      <c r="D176" s="2" t="s">
        <v>13</v>
      </c>
      <c r="E176" s="2" t="s">
        <v>14</v>
      </c>
      <c r="F176" s="2" t="s">
        <v>15</v>
      </c>
      <c r="G176" s="2" t="s">
        <v>600</v>
      </c>
      <c r="H176" s="2" t="s">
        <v>324</v>
      </c>
      <c r="I176" s="2" t="str">
        <f>IFERROR(__xludf.DUMMYFUNCTION("GOOGLETRANSLATE(C176,""fr"",""en"")"),"Poor insurance refuses to make sure but I take 90 euros for file fees and only 20 days of insurance 90 euro is not nothing!")</f>
        <v>Poor insurance refuses to make sure but I take 90 euros for file fees and only 20 days of insurance 90 euro is not nothing!</v>
      </c>
    </row>
    <row r="177" ht="15.75" customHeight="1">
      <c r="A177" s="2">
        <v>2.0</v>
      </c>
      <c r="B177" s="2" t="s">
        <v>601</v>
      </c>
      <c r="C177" s="2" t="s">
        <v>602</v>
      </c>
      <c r="D177" s="2" t="s">
        <v>319</v>
      </c>
      <c r="E177" s="2" t="s">
        <v>14</v>
      </c>
      <c r="F177" s="2" t="s">
        <v>15</v>
      </c>
      <c r="G177" s="2" t="s">
        <v>603</v>
      </c>
      <c r="H177" s="2" t="s">
        <v>150</v>
      </c>
      <c r="I177" s="2" t="str">
        <f>IFERROR(__xludf.DUMMYFUNCTION("GOOGLETRANSLATE(C177,""fr"",""en"")"),"TO FLEE
Ugoli customer service
in particular at the service of payments
Unable to apply a change of rib
It suits them
 refused payment
Full payment request
We see the vice of this company
1st year completed
departure next month")</f>
        <v>TO FLEE
Ugoli customer service
in particular at the service of payments
Unable to apply a change of rib
It suits them
 refused payment
Full payment request
We see the vice of this company
1st year completed
departure next month</v>
      </c>
    </row>
    <row r="178" ht="15.75" customHeight="1">
      <c r="A178" s="2">
        <v>1.0</v>
      </c>
      <c r="B178" s="2" t="s">
        <v>604</v>
      </c>
      <c r="C178" s="2" t="s">
        <v>605</v>
      </c>
      <c r="D178" s="2" t="s">
        <v>36</v>
      </c>
      <c r="E178" s="2" t="s">
        <v>14</v>
      </c>
      <c r="F178" s="2" t="s">
        <v>15</v>
      </c>
      <c r="G178" s="2" t="s">
        <v>606</v>
      </c>
      <c r="H178" s="2" t="s">
        <v>607</v>
      </c>
      <c r="I178" s="2" t="str">
        <f>IFERROR(__xludf.DUMMYFUNCTION("GOOGLETRANSLATE(C178,""fr"",""en"")"),"No one to pay no problem the day you have a horrible phone management problem take people from high tells each of the different things and suddenly no real response they make the procedural time.")</f>
        <v>No one to pay no problem the day you have a horrible phone management problem take people from high tells each of the different things and suddenly no real response they make the procedural time.</v>
      </c>
    </row>
    <row r="179" ht="15.75" customHeight="1">
      <c r="A179" s="2">
        <v>5.0</v>
      </c>
      <c r="B179" s="2" t="s">
        <v>608</v>
      </c>
      <c r="C179" s="2" t="s">
        <v>609</v>
      </c>
      <c r="D179" s="2" t="s">
        <v>87</v>
      </c>
      <c r="E179" s="2" t="s">
        <v>14</v>
      </c>
      <c r="F179" s="2" t="s">
        <v>15</v>
      </c>
      <c r="G179" s="2" t="s">
        <v>610</v>
      </c>
      <c r="H179" s="2" t="s">
        <v>190</v>
      </c>
      <c r="I179" s="2" t="str">
        <f>IFERROR(__xludf.DUMMYFUNCTION("GOOGLETRANSLATE(C179,""fr"",""en"")"),"Since my two subscriptions for my two vehicles, I am 100%satisfied.
The site is easy to use and above all very friendly.
Best regards.")</f>
        <v>Since my two subscriptions for my two vehicles, I am 100%satisfied.
The site is easy to use and above all very friendly.
Best regards.</v>
      </c>
    </row>
    <row r="180" ht="15.75" customHeight="1">
      <c r="A180" s="2">
        <v>5.0</v>
      </c>
      <c r="B180" s="2" t="s">
        <v>611</v>
      </c>
      <c r="C180" s="2" t="s">
        <v>612</v>
      </c>
      <c r="D180" s="2" t="s">
        <v>13</v>
      </c>
      <c r="E180" s="2" t="s">
        <v>14</v>
      </c>
      <c r="F180" s="2" t="s">
        <v>15</v>
      </c>
      <c r="G180" s="2" t="s">
        <v>613</v>
      </c>
      <c r="H180" s="2" t="s">
        <v>52</v>
      </c>
      <c r="I180" s="2" t="str">
        <f>IFERROR(__xludf.DUMMYFUNCTION("GOOGLETRANSLATE(C180,""fr"",""en"")"),"Very satisfied with the service.
Speed ​​and ease of membership.
Very competitive price and guarantees.
Good ergonomics / site interface for membership
")</f>
        <v>Very satisfied with the service.
Speed ​​and ease of membership.
Very competitive price and guarantees.
Good ergonomics / site interface for membership
</v>
      </c>
    </row>
    <row r="181" ht="15.75" customHeight="1">
      <c r="A181" s="2">
        <v>4.0</v>
      </c>
      <c r="B181" s="2" t="s">
        <v>614</v>
      </c>
      <c r="C181" s="2" t="s">
        <v>615</v>
      </c>
      <c r="D181" s="2" t="s">
        <v>30</v>
      </c>
      <c r="E181" s="2" t="s">
        <v>31</v>
      </c>
      <c r="F181" s="2" t="s">
        <v>15</v>
      </c>
      <c r="G181" s="2" t="s">
        <v>61</v>
      </c>
      <c r="H181" s="2" t="s">
        <v>61</v>
      </c>
      <c r="I181" s="2" t="str">
        <f>IFERROR(__xludf.DUMMYFUNCTION("GOOGLETRANSLATE(C181,""fr"",""en"")"),"Hello,
I no longer count the years that we are me and my wife in this mutual, but for the moment we are almost satisfied with it.
Our age helping, it would be desirable for certain troubles linked to our ages a better reimbursement for dental care a"&amp;"nd prostheses.")</f>
        <v>Hello,
I no longer count the years that we are me and my wife in this mutual, but for the moment we are almost satisfied with it.
Our age helping, it would be desirable for certain troubles linked to our ages a better reimbursement for dental care and prostheses.</v>
      </c>
    </row>
    <row r="182" ht="15.75" customHeight="1">
      <c r="A182" s="2">
        <v>3.0</v>
      </c>
      <c r="B182" s="2" t="s">
        <v>616</v>
      </c>
      <c r="C182" s="2" t="s">
        <v>617</v>
      </c>
      <c r="D182" s="2" t="s">
        <v>87</v>
      </c>
      <c r="E182" s="2" t="s">
        <v>14</v>
      </c>
      <c r="F182" s="2" t="s">
        <v>15</v>
      </c>
      <c r="G182" s="2" t="s">
        <v>618</v>
      </c>
      <c r="H182" s="2" t="s">
        <v>209</v>
      </c>
      <c r="I182" s="2" t="str">
        <f>IFERROR(__xludf.DUMMYFUNCTION("GOOGLETRANSLATE(C182,""fr"",""en"")"),"Satisfied with the telephone interview for the implementation of my subscription.
The advisor was pleasant and very explicit.
After an insurance comparison with the mm guarantee you were the cheapest.")</f>
        <v>Satisfied with the telephone interview for the implementation of my subscription.
The advisor was pleasant and very explicit.
After an insurance comparison with the mm guarantee you were the cheapest.</v>
      </c>
    </row>
    <row r="183" ht="15.75" customHeight="1">
      <c r="A183" s="2">
        <v>1.0</v>
      </c>
      <c r="B183" s="2" t="s">
        <v>619</v>
      </c>
      <c r="C183" s="2" t="s">
        <v>620</v>
      </c>
      <c r="D183" s="2" t="s">
        <v>13</v>
      </c>
      <c r="E183" s="2" t="s">
        <v>14</v>
      </c>
      <c r="F183" s="2" t="s">
        <v>15</v>
      </c>
      <c r="G183" s="2" t="s">
        <v>621</v>
      </c>
      <c r="H183" s="2" t="s">
        <v>76</v>
      </c>
      <c r="I183" s="2" t="str">
        <f>IFERROR(__xludf.DUMMYFUNCTION("GOOGLETRANSLATE(C183,""fr"",""en"")"),"I thought this insurance company was not expensive but after going to the GMF, I realized that he was al -opposite what I thought. In addition if you are the victim of an AVP even as a victim, you are sure to be losing on all points. I strongly advise aga"&amp;"inst this company despite the prices at first. You will be losing in the end.")</f>
        <v>I thought this insurance company was not expensive but after going to the GMF, I realized that he was al -opposite what I thought. In addition if you are the victim of an AVP even as a victim, you are sure to be losing on all points. I strongly advise against this company despite the prices at first. You will be losing in the end.</v>
      </c>
    </row>
    <row r="184" ht="15.75" customHeight="1">
      <c r="A184" s="2">
        <v>1.0</v>
      </c>
      <c r="B184" s="2" t="s">
        <v>622</v>
      </c>
      <c r="C184" s="2" t="s">
        <v>623</v>
      </c>
      <c r="D184" s="2" t="s">
        <v>271</v>
      </c>
      <c r="E184" s="2" t="s">
        <v>55</v>
      </c>
      <c r="F184" s="2" t="s">
        <v>15</v>
      </c>
      <c r="G184" s="2" t="s">
        <v>624</v>
      </c>
      <c r="H184" s="2" t="s">
        <v>625</v>
      </c>
      <c r="I184" s="2" t="str">
        <f>IFERROR(__xludf.DUMMYFUNCTION("GOOGLETRANSLATE(C184,""fr"",""en"")"),"Client for several years, good driver without ever liable disaster. Insurance any risk without deductible with privilege customer card, I am flying my car and the most nobody.
I am learned the value clause with new unwritten on the contract therefore 8 d"&amp;"ays of loan and not one more day. It is not even they who tell me it is global assistance
I remind them to tell them that the car was found in a wreckage state (it is the police who affirms it) I receive a letter after having warned an expert who after s"&amp;"eeing the car without a door or a brief carpet anymore and who Request the keys to check the break -in (seek the error) finally disappointed limit is me the criminal while I am an impacted victim in my daily life
No communication except by email to send "&amp;"40 documents, and I am told about making the keys electronically with Renault you never know and in addition the 2 keys for a little that a mute is pathetic we believe
I know there are procedures but there is a way of doing it is pitiful to treat these c"&amp;"ustomers like that especially in a moment of disarray")</f>
        <v>Client for several years, good driver without ever liable disaster. Insurance any risk without deductible with privilege customer card, I am flying my car and the most nobody.
I am learned the value clause with new unwritten on the contract therefore 8 days of loan and not one more day. It is not even they who tell me it is global assistance
I remind them to tell them that the car was found in a wreckage state (it is the police who affirms it) I receive a letter after having warned an expert who after seeing the car without a door or a brief carpet anymore and who Request the keys to check the break -in (seek the error) finally disappointed limit is me the criminal while I am an impacted victim in my daily life
No communication except by email to send 40 documents, and I am told about making the keys electronically with Renault you never know and in addition the 2 keys for a little that a mute is pathetic we believe
I know there are procedures but there is a way of doing it is pitiful to treat these customers like that especially in a moment of disarray</v>
      </c>
    </row>
    <row r="185" ht="15.75" customHeight="1">
      <c r="A185" s="2">
        <v>1.0</v>
      </c>
      <c r="B185" s="2" t="s">
        <v>626</v>
      </c>
      <c r="C185" s="2" t="s">
        <v>627</v>
      </c>
      <c r="D185" s="2" t="s">
        <v>237</v>
      </c>
      <c r="E185" s="2" t="s">
        <v>14</v>
      </c>
      <c r="F185" s="2" t="s">
        <v>15</v>
      </c>
      <c r="G185" s="2" t="s">
        <v>628</v>
      </c>
      <c r="H185" s="2" t="s">
        <v>480</v>
      </c>
      <c r="I185" s="2" t="str">
        <f>IFERROR(__xludf.DUMMYFUNCTION("GOOGLETRANSLATE(C185,""fr"",""en"")"),"15% increase over 2 years! without accident with 50% bonus")</f>
        <v>15% increase over 2 years! without accident with 50% bonus</v>
      </c>
    </row>
    <row r="186" ht="15.75" customHeight="1">
      <c r="A186" s="2">
        <v>2.0</v>
      </c>
      <c r="B186" s="2" t="s">
        <v>629</v>
      </c>
      <c r="C186" s="2" t="s">
        <v>630</v>
      </c>
      <c r="D186" s="2" t="s">
        <v>237</v>
      </c>
      <c r="E186" s="2" t="s">
        <v>55</v>
      </c>
      <c r="F186" s="2" t="s">
        <v>15</v>
      </c>
      <c r="G186" s="2" t="s">
        <v>631</v>
      </c>
      <c r="H186" s="2" t="s">
        <v>213</v>
      </c>
      <c r="I186" s="2" t="str">
        <f>IFERROR(__xludf.DUMMYFUNCTION("GOOGLETRANSLATE(C186,""fr"",""en"")"),"Following water damage for over 1 month insurance compensated except that it was the owner to do the work learned by legal system since still not reimbursed kitchen elements because an expert having not seen them but attestation as he suggested Except he "&amp;"changed his mind and pretending that it was false except that witness and he did not know it, not checking if still leak or not, pt that not paid enough to bend down and open a tap and we pay it .axa telling me that reimbursement of my new kitchen but I d"&amp;"id not receive anything and that is already 1 year old.")</f>
        <v>Following water damage for over 1 month insurance compensated except that it was the owner to do the work learned by legal system since still not reimbursed kitchen elements because an expert having not seen them but attestation as he suggested Except he changed his mind and pretending that it was false except that witness and he did not know it, not checking if still leak or not, pt that not paid enough to bend down and open a tap and we pay it .axa telling me that reimbursement of my new kitchen but I did not receive anything and that is already 1 year old.</v>
      </c>
    </row>
    <row r="187" ht="15.75" customHeight="1">
      <c r="A187" s="2">
        <v>1.0</v>
      </c>
      <c r="B187" s="2" t="s">
        <v>632</v>
      </c>
      <c r="C187" s="2" t="s">
        <v>633</v>
      </c>
      <c r="D187" s="2" t="s">
        <v>13</v>
      </c>
      <c r="E187" s="2" t="s">
        <v>14</v>
      </c>
      <c r="F187" s="2" t="s">
        <v>15</v>
      </c>
      <c r="G187" s="2" t="s">
        <v>436</v>
      </c>
      <c r="H187" s="2" t="s">
        <v>42</v>
      </c>
      <c r="I187" s="2" t="str">
        <f>IFERROR(__xludf.DUMMYFUNCTION("GOOGLETRANSLATE(C187,""fr"",""en"")"),"Good dear
The price should be lowered
I just want that will go
Compared to the sample
Good day thank you very much go life
Goodbye
")</f>
        <v>Good dear
The price should be lowered
I just want that will go
Compared to the sample
Good day thank you very much go life
Goodbye
</v>
      </c>
    </row>
    <row r="188" ht="15.75" customHeight="1">
      <c r="A188" s="2">
        <v>2.0</v>
      </c>
      <c r="B188" s="2" t="s">
        <v>634</v>
      </c>
      <c r="C188" s="2" t="s">
        <v>635</v>
      </c>
      <c r="D188" s="2" t="s">
        <v>92</v>
      </c>
      <c r="E188" s="2" t="s">
        <v>31</v>
      </c>
      <c r="F188" s="2" t="s">
        <v>15</v>
      </c>
      <c r="G188" s="2" t="s">
        <v>636</v>
      </c>
      <c r="H188" s="2" t="s">
        <v>76</v>
      </c>
      <c r="I188" s="2" t="str">
        <f>IFERROR(__xludf.DUMMYFUNCTION("GOOGLETRANSLATE(C188,""fr"",""en"")"),"To avoid absolutely: I subscribe in 2018 with good dental coverage. I carry out care in Slovakia so as not to be destroyed by French teeth pullers. April refuses to reimburse on the ground that it does not reimburse care abroad. Strange position (we do no"&amp;"t see his interest) and especially contrary to the law: it is an EU country and the Luxembourg Court held that medical care entered the free movement of goods. There follows a dialogue of deaf and above all a refusal to communicate to me the coordinates o"&amp;"f the mediator (not crazy the wasp). In progress because I am tenacious but if you are less than me flee this pharmacy. Yet there is even worse! that is to say!
I even give my contact details for those who wish: evgueniesokolof@gmail.com")</f>
        <v>To avoid absolutely: I subscribe in 2018 with good dental coverage. I carry out care in Slovakia so as not to be destroyed by French teeth pullers. April refuses to reimburse on the ground that it does not reimburse care abroad. Strange position (we do not see his interest) and especially contrary to the law: it is an EU country and the Luxembourg Court held that medical care entered the free movement of goods. There follows a dialogue of deaf and above all a refusal to communicate to me the coordinates of the mediator (not crazy the wasp). In progress because I am tenacious but if you are less than me flee this pharmacy. Yet there is even worse! that is to say!
I even give my contact details for those who wish: evgueniesokolof@gmail.com</v>
      </c>
    </row>
    <row r="189" ht="15.75" customHeight="1">
      <c r="A189" s="2">
        <v>3.0</v>
      </c>
      <c r="B189" s="2" t="s">
        <v>637</v>
      </c>
      <c r="C189" s="2" t="s">
        <v>638</v>
      </c>
      <c r="D189" s="2" t="s">
        <v>13</v>
      </c>
      <c r="E189" s="2" t="s">
        <v>14</v>
      </c>
      <c r="F189" s="2" t="s">
        <v>15</v>
      </c>
      <c r="G189" s="2" t="s">
        <v>639</v>
      </c>
      <c r="H189" s="2" t="s">
        <v>433</v>
      </c>
      <c r="I189" s="2" t="str">
        <f>IFERROR(__xludf.DUMMYFUNCTION("GOOGLETRANSLATE(C189,""fr"",""en"")"),"I am satisfied
Super telephone reception attentive. Suitable price. Meets the seeker's expectation. Attractive price honest proposal. Have a good day")</f>
        <v>I am satisfied
Super telephone reception attentive. Suitable price. Meets the seeker's expectation. Attractive price honest proposal. Have a good day</v>
      </c>
    </row>
    <row r="190" ht="15.75" customHeight="1">
      <c r="A190" s="2">
        <v>4.0</v>
      </c>
      <c r="B190" s="2" t="s">
        <v>640</v>
      </c>
      <c r="C190" s="2" t="s">
        <v>641</v>
      </c>
      <c r="D190" s="2" t="s">
        <v>334</v>
      </c>
      <c r="E190" s="2" t="s">
        <v>31</v>
      </c>
      <c r="F190" s="2" t="s">
        <v>15</v>
      </c>
      <c r="G190" s="2" t="s">
        <v>642</v>
      </c>
      <c r="H190" s="2" t="s">
        <v>169</v>
      </c>
      <c r="I190" s="2" t="str">
        <f>IFERROR(__xludf.DUMMYFUNCTION("GOOGLETRANSLATE(C190,""fr"",""en"")"),"I just had Abo de Santiane online which despite technical incidents as to the sound was very pleasant and courteous.
Thank you for the reception and availability of ABO")</f>
        <v>I just had Abo de Santiane online which despite technical incidents as to the sound was very pleasant and courteous.
Thank you for the reception and availability of ABO</v>
      </c>
    </row>
    <row r="191" ht="15.75" customHeight="1">
      <c r="A191" s="2">
        <v>2.0</v>
      </c>
      <c r="B191" s="2" t="s">
        <v>643</v>
      </c>
      <c r="C191" s="2" t="s">
        <v>644</v>
      </c>
      <c r="D191" s="2" t="s">
        <v>227</v>
      </c>
      <c r="E191" s="2" t="s">
        <v>14</v>
      </c>
      <c r="F191" s="2" t="s">
        <v>15</v>
      </c>
      <c r="G191" s="2" t="s">
        <v>645</v>
      </c>
      <c r="H191" s="2" t="s">
        <v>158</v>
      </c>
      <c r="I191" s="2" t="str">
        <f>IFERROR(__xludf.DUMMYFUNCTION("GOOGLETRANSLATE(C191,""fr"",""en"")"),"Decree for it for 3 weeks that I send emails and very difficult to reach by phone I contact them for several things and big gallery (disaster, green card, and payment prime 3 times for refund) and no follow -up")</f>
        <v>Decree for it for 3 weeks that I send emails and very difficult to reach by phone I contact them for several things and big gallery (disaster, green card, and payment prime 3 times for refund) and no follow -up</v>
      </c>
    </row>
    <row r="192" ht="15.75" customHeight="1">
      <c r="A192" s="2">
        <v>2.0</v>
      </c>
      <c r="B192" s="2" t="s">
        <v>646</v>
      </c>
      <c r="C192" s="2" t="s">
        <v>647</v>
      </c>
      <c r="D192" s="2" t="s">
        <v>92</v>
      </c>
      <c r="E192" s="2" t="s">
        <v>232</v>
      </c>
      <c r="F192" s="2" t="s">
        <v>15</v>
      </c>
      <c r="G192" s="2" t="s">
        <v>648</v>
      </c>
      <c r="H192" s="2" t="s">
        <v>493</v>
      </c>
      <c r="I192" s="2" t="str">
        <f>IFERROR(__xludf.DUMMYFUNCTION("GOOGLETRANSLATE(C192,""fr"",""en"")"),"Hello
I have April for the assurance of two of my loans. Overnight and without warning they added an adhesion to an ""April Association"". Besides, they apply this additional cost to each of my loans when one can only join an association once. They refus"&amp;"e to disaffiliate you from the association when it is a right.
A priori they did this on all their members.
As for the care I cannot judge because I never had to use it.")</f>
        <v>Hello
I have April for the assurance of two of my loans. Overnight and without warning they added an adhesion to an "April Association". Besides, they apply this additional cost to each of my loans when one can only join an association once. They refuse to disaffiliate you from the association when it is a right.
A priori they did this on all their members.
As for the care I cannot judge because I never had to use it.</v>
      </c>
    </row>
    <row r="193" ht="15.75" customHeight="1">
      <c r="A193" s="2">
        <v>3.0</v>
      </c>
      <c r="B193" s="2" t="s">
        <v>649</v>
      </c>
      <c r="C193" s="2" t="s">
        <v>650</v>
      </c>
      <c r="D193" s="2" t="s">
        <v>87</v>
      </c>
      <c r="E193" s="2" t="s">
        <v>14</v>
      </c>
      <c r="F193" s="2" t="s">
        <v>15</v>
      </c>
      <c r="G193" s="2" t="s">
        <v>651</v>
      </c>
      <c r="H193" s="2" t="s">
        <v>209</v>
      </c>
      <c r="I193" s="2" t="str">
        <f>IFERROR(__xludf.DUMMYFUNCTION("GOOGLETRANSLATE(C193,""fr"",""en"")"),"Good telephone contact, simple to subscribe. The site interface is fun and easy to use. Obviously the only point to work remains the price.")</f>
        <v>Good telephone contact, simple to subscribe. The site interface is fun and easy to use. Obviously the only point to work remains the price.</v>
      </c>
    </row>
    <row r="194" ht="15.75" customHeight="1">
      <c r="A194" s="2">
        <v>3.0</v>
      </c>
      <c r="B194" s="2" t="s">
        <v>652</v>
      </c>
      <c r="C194" s="2" t="s">
        <v>653</v>
      </c>
      <c r="D194" s="2" t="s">
        <v>13</v>
      </c>
      <c r="E194" s="2" t="s">
        <v>14</v>
      </c>
      <c r="F194" s="2" t="s">
        <v>15</v>
      </c>
      <c r="G194" s="2" t="s">
        <v>573</v>
      </c>
      <c r="H194" s="2" t="s">
        <v>209</v>
      </c>
      <c r="I194" s="2" t="str">
        <f>IFERROR(__xludf.DUMMYFUNCTION("GOOGLETRANSLATE(C194,""fr"",""en"")"),"Too much time lost to contact assistance repair it's been 15 minutes since I wait and always the same message
Not everyone can use a smartphone")</f>
        <v>Too much time lost to contact assistance repair it's been 15 minutes since I wait and always the same message
Not everyone can use a smartphone</v>
      </c>
    </row>
    <row r="195" ht="15.75" customHeight="1">
      <c r="A195" s="2">
        <v>1.0</v>
      </c>
      <c r="B195" s="2" t="s">
        <v>654</v>
      </c>
      <c r="C195" s="2" t="s">
        <v>655</v>
      </c>
      <c r="D195" s="2" t="s">
        <v>156</v>
      </c>
      <c r="E195" s="2" t="s">
        <v>31</v>
      </c>
      <c r="F195" s="2" t="s">
        <v>15</v>
      </c>
      <c r="G195" s="2" t="s">
        <v>242</v>
      </c>
      <c r="H195" s="2" t="s">
        <v>61</v>
      </c>
      <c r="I195" s="2" t="str">
        <f>IFERROR(__xludf.DUMMYFUNCTION("GOOGLETRANSLATE(C195,""fr"",""en"")"),"Good evening,
For a few months I have received samples from mecer of € 475 instead of € 39 we are only 2 ..
I called them they tell me it's a mistake but nothing changes
Mutual zero! And dear")</f>
        <v>Good evening,
For a few months I have received samples from mecer of € 475 instead of € 39 we are only 2 ..
I called them they tell me it's a mistake but nothing changes
Mutual zero! And dear</v>
      </c>
    </row>
    <row r="196" ht="15.75" customHeight="1">
      <c r="A196" s="2">
        <v>1.0</v>
      </c>
      <c r="B196" s="2" t="s">
        <v>656</v>
      </c>
      <c r="C196" s="2" t="s">
        <v>657</v>
      </c>
      <c r="D196" s="2" t="s">
        <v>13</v>
      </c>
      <c r="E196" s="2" t="s">
        <v>55</v>
      </c>
      <c r="F196" s="2" t="s">
        <v>15</v>
      </c>
      <c r="G196" s="2" t="s">
        <v>658</v>
      </c>
      <c r="H196" s="2" t="s">
        <v>186</v>
      </c>
      <c r="I196" s="2" t="str">
        <f>IFERROR(__xludf.DUMMYFUNCTION("GOOGLETRANSLATE(C196,""fr"",""en"")"),"And still that a star is already too much !!! They manipulate and lie to customers to encourage them to subscribe!
When subscribing to my home insurance, I had been certified that I could be monthly from the second year (Cat screen capture at the time in"&amp;" support !!!)
Having just received my new schedule, I call the service in order to set up the monthly payment. And there surprise: impossible! The monthly payment can in no case be set up by the software ... yet whether by phone or chat, the advisers had"&amp;" certified me that the payment was annual in the 1st year and then monthly from the 2nd. In reality it is just a misleading commercial practice to bait you! It's just unacceptable !!!!
Then increase of more than € 30 of the subscription without warning.
"&amp;"
We were released this speech for home insurance but also for car insurance by telling us that the payment was annual the 1st year because it was an old vehicle, but monthly payment from the second year. The contract has not matched but we once again fear"&amp;" lying.
In any case, we have anticipated and terminated our 3 insurances.
I had asked to be contacted by a manager, but I always wait. I really hate to feel manipulated !!!! It is shameful to treat customers in this way just to encourage them to conclud"&amp;"e.
We think they are the cheapest, but in reality it is false! I found 200 € cheaper on car insurance and 50 € cheaper on home insurance!
Thank you direct assurance because with your lies, you allowed me to save money! Just for that, I put you 5 stars !"&amp;"!!!!!")</f>
        <v>And still that a star is already too much !!! They manipulate and lie to customers to encourage them to subscribe!
When subscribing to my home insurance, I had been certified that I could be monthly from the second year (Cat screen capture at the time in support !!!)
Having just received my new schedule, I call the service in order to set up the monthly payment. And there surprise: impossible! The monthly payment can in no case be set up by the software ... yet whether by phone or chat, the advisers had certified me that the payment was annual in the 1st year and then monthly from the 2nd. In reality it is just a misleading commercial practice to bait you! It's just unacceptable !!!!
Then increase of more than € 30 of the subscription without warning.
We were released this speech for home insurance but also for car insurance by telling us that the payment was annual the 1st year because it was an old vehicle, but monthly payment from the second year. The contract has not matched but we once again fear lying.
In any case, we have anticipated and terminated our 3 insurances.
I had asked to be contacted by a manager, but I always wait. I really hate to feel manipulated !!!! It is shameful to treat customers in this way just to encourage them to conclude.
We think they are the cheapest, but in reality it is false! I found 200 € cheaper on car insurance and 50 € cheaper on home insurance!
Thank you direct assurance because with your lies, you allowed me to save money! Just for that, I put you 5 stars !!!!!!</v>
      </c>
    </row>
    <row r="197" ht="15.75" customHeight="1">
      <c r="A197" s="2">
        <v>4.0</v>
      </c>
      <c r="B197" s="2" t="s">
        <v>659</v>
      </c>
      <c r="C197" s="2" t="s">
        <v>660</v>
      </c>
      <c r="D197" s="2" t="s">
        <v>13</v>
      </c>
      <c r="E197" s="2" t="s">
        <v>14</v>
      </c>
      <c r="F197" s="2" t="s">
        <v>15</v>
      </c>
      <c r="G197" s="2" t="s">
        <v>661</v>
      </c>
      <c r="H197" s="2" t="s">
        <v>61</v>
      </c>
      <c r="I197" s="2" t="str">
        <f>IFERROR(__xludf.DUMMYFUNCTION("GOOGLETRANSLATE(C197,""fr"",""en"")"),"I am satisfied with the service and the reception reserved by your collaborators.; Having training as a trainer trainer. Employees at telephone reception are those who represent the company.
Cordially
Bernard Raphael")</f>
        <v>I am satisfied with the service and the reception reserved by your collaborators.; Having training as a trainer trainer. Employees at telephone reception are those who represent the company.
Cordially
Bernard Raphael</v>
      </c>
    </row>
    <row r="198" ht="15.75" customHeight="1">
      <c r="A198" s="2">
        <v>2.0</v>
      </c>
      <c r="B198" s="2" t="s">
        <v>662</v>
      </c>
      <c r="C198" s="2" t="s">
        <v>663</v>
      </c>
      <c r="D198" s="2" t="s">
        <v>36</v>
      </c>
      <c r="E198" s="2" t="s">
        <v>14</v>
      </c>
      <c r="F198" s="2" t="s">
        <v>15</v>
      </c>
      <c r="G198" s="2" t="s">
        <v>664</v>
      </c>
      <c r="H198" s="2" t="s">
        <v>433</v>
      </c>
      <c r="I198" s="2" t="str">
        <f>IFERROR(__xludf.DUMMYFUNCTION("GOOGLETRANSLATE(C198,""fr"",""en"")"),"MAIF is high -end insurance; It is not competitive the prices are very high but in the event of an incident you can be sure of their professional response, they will not seek not to reimburse by all means like most insurance ...")</f>
        <v>MAIF is high -end insurance; It is not competitive the prices are very high but in the event of an incident you can be sure of their professional response, they will not seek not to reimburse by all means like most insurance ...</v>
      </c>
    </row>
    <row r="199" ht="15.75" customHeight="1">
      <c r="A199" s="2">
        <v>3.0</v>
      </c>
      <c r="B199" s="2" t="s">
        <v>665</v>
      </c>
      <c r="C199" s="2" t="s">
        <v>666</v>
      </c>
      <c r="D199" s="2" t="s">
        <v>87</v>
      </c>
      <c r="E199" s="2" t="s">
        <v>14</v>
      </c>
      <c r="F199" s="2" t="s">
        <v>15</v>
      </c>
      <c r="G199" s="2" t="s">
        <v>667</v>
      </c>
      <c r="H199" s="2" t="s">
        <v>169</v>
      </c>
      <c r="I199" s="2" t="str">
        <f>IFERROR(__xludf.DUMMYFUNCTION("GOOGLETRANSLATE(C199,""fr"",""en"")"),"I could not have the 10% sponsorship as I went through a comparator site.
On my account I did not manage to make a quote or to be recalled.")</f>
        <v>I could not have the 10% sponsorship as I went through a comparator site.
On my account I did not manage to make a quote or to be recalled.</v>
      </c>
    </row>
    <row r="200" ht="15.75" customHeight="1">
      <c r="A200" s="2">
        <v>5.0</v>
      </c>
      <c r="B200" s="2" t="s">
        <v>668</v>
      </c>
      <c r="C200" s="2" t="s">
        <v>669</v>
      </c>
      <c r="D200" s="2" t="s">
        <v>50</v>
      </c>
      <c r="E200" s="2" t="s">
        <v>21</v>
      </c>
      <c r="F200" s="2" t="s">
        <v>15</v>
      </c>
      <c r="G200" s="2" t="s">
        <v>670</v>
      </c>
      <c r="H200" s="2" t="s">
        <v>209</v>
      </c>
      <c r="I200" s="2" t="str">
        <f>IFERROR(__xludf.DUMMYFUNCTION("GOOGLETRANSLATE(C200,""fr"",""en"")"),"I am satisfied with the service, the prices suit me.
Simple and practical I recommend.
With them for several years nothing to say for the moment.")</f>
        <v>I am satisfied with the service, the prices suit me.
Simple and practical I recommend.
With them for several years nothing to say for the moment.</v>
      </c>
    </row>
    <row r="201" ht="15.75" customHeight="1">
      <c r="A201" s="2">
        <v>4.0</v>
      </c>
      <c r="B201" s="2" t="s">
        <v>671</v>
      </c>
      <c r="C201" s="2" t="s">
        <v>672</v>
      </c>
      <c r="D201" s="2" t="s">
        <v>87</v>
      </c>
      <c r="E201" s="2" t="s">
        <v>14</v>
      </c>
      <c r="F201" s="2" t="s">
        <v>15</v>
      </c>
      <c r="G201" s="2" t="s">
        <v>51</v>
      </c>
      <c r="H201" s="2" t="s">
        <v>52</v>
      </c>
      <c r="I201" s="2" t="str">
        <f>IFERROR(__xludf.DUMMYFUNCTION("GOOGLETRANSLATE(C201,""fr"",""en"")"),"I am satisfied with the price is the service of the efficiency of the service so I strongly recommend the Olivier Insurance to everyone they are very correct")</f>
        <v>I am satisfied with the price is the service of the efficiency of the service so I strongly recommend the Olivier Insurance to everyone they are very correct</v>
      </c>
    </row>
    <row r="202" ht="15.75" customHeight="1">
      <c r="A202" s="2">
        <v>3.0</v>
      </c>
      <c r="B202" s="2" t="s">
        <v>673</v>
      </c>
      <c r="C202" s="2" t="s">
        <v>674</v>
      </c>
      <c r="D202" s="2" t="s">
        <v>70</v>
      </c>
      <c r="E202" s="2" t="s">
        <v>31</v>
      </c>
      <c r="F202" s="2" t="s">
        <v>15</v>
      </c>
      <c r="G202" s="2" t="s">
        <v>675</v>
      </c>
      <c r="H202" s="2" t="s">
        <v>446</v>
      </c>
      <c r="I202" s="2" t="str">
        <f>IFERROR(__xludf.DUMMYFUNCTION("GOOGLETRANSLATE(C202,""fr"",""en"")"),"I was able to terminate my contract without problems thanks to the help of Youness, I thank him for his professionalism")</f>
        <v>I was able to terminate my contract without problems thanks to the help of Youness, I thank him for his professionalism</v>
      </c>
    </row>
    <row r="203" ht="15.75" customHeight="1">
      <c r="A203" s="2">
        <v>4.0</v>
      </c>
      <c r="B203" s="2" t="s">
        <v>676</v>
      </c>
      <c r="C203" s="2" t="s">
        <v>677</v>
      </c>
      <c r="D203" s="2" t="s">
        <v>13</v>
      </c>
      <c r="E203" s="2" t="s">
        <v>14</v>
      </c>
      <c r="F203" s="2" t="s">
        <v>15</v>
      </c>
      <c r="G203" s="2" t="s">
        <v>253</v>
      </c>
      <c r="H203" s="2" t="s">
        <v>27</v>
      </c>
      <c r="I203" s="2" t="str">
        <f>IFERROR(__xludf.DUMMYFUNCTION("GOOGLETRANSLATE(C203,""fr"",""en"")"),"I am satisfied with the online service. It is clearly explained and quick to record. Subscription proposed by default seems to me well targeted. Thank you")</f>
        <v>I am satisfied with the online service. It is clearly explained and quick to record. Subscription proposed by default seems to me well targeted. Thank you</v>
      </c>
    </row>
    <row r="204" ht="15.75" customHeight="1">
      <c r="A204" s="2">
        <v>1.0</v>
      </c>
      <c r="B204" s="2" t="s">
        <v>678</v>
      </c>
      <c r="C204" s="2" t="s">
        <v>679</v>
      </c>
      <c r="D204" s="2" t="s">
        <v>237</v>
      </c>
      <c r="E204" s="2" t="s">
        <v>65</v>
      </c>
      <c r="F204" s="2" t="s">
        <v>15</v>
      </c>
      <c r="G204" s="2" t="s">
        <v>680</v>
      </c>
      <c r="H204" s="2" t="s">
        <v>209</v>
      </c>
      <c r="I204" s="2" t="str">
        <f>IFERROR(__xludf.DUMMYFUNCTION("GOOGLETRANSLATE(C204,""fr"",""en"")"),"My wife having returned to category 2 permanent disability for lymphoblastic acute leukemia, we sent the documents to AXA for all IPT causes, a doctor advice did not see it so not consulted and decided that it was not corresponded To a permanent disabilit"&amp;"y, child it is very strong he can consult without seeing the AXA customers, I especially think that it is organized between AXA and the doctor that automatic refusals, I suspected by seeing the opinions here for 1 month Since we are not the only ones.
Th"&amp;"eir scale is absolutely impossible to calculate and take advantage of this situation to refuse compensation, however during signatures with an advisor it is so invalidity you will be compensated but avoid specifying that it does not depend on the scale of"&amp;" social security.
In addition, she has complications of arthritis and great difficulties with her hands and legs but that obviously they did not have to read the report of the Gustave Roussy hospital.")</f>
        <v>My wife having returned to category 2 permanent disability for lymphoblastic acute leukemia, we sent the documents to AXA for all IPT causes, a doctor advice did not see it so not consulted and decided that it was not corresponded To a permanent disability, child it is very strong he can consult without seeing the AXA customers, I especially think that it is organized between AXA and the doctor that automatic refusals, I suspected by seeing the opinions here for 1 month Since we are not the only ones.
Their scale is absolutely impossible to calculate and take advantage of this situation to refuse compensation, however during signatures with an advisor it is so invalidity you will be compensated but avoid specifying that it does not depend on the scale of social security.
In addition, she has complications of arthritis and great difficulties with her hands and legs but that obviously they did not have to read the report of the Gustave Roussy hospital.</v>
      </c>
    </row>
    <row r="205" ht="15.75" customHeight="1">
      <c r="A205" s="2">
        <v>5.0</v>
      </c>
      <c r="B205" s="2" t="s">
        <v>681</v>
      </c>
      <c r="C205" s="2" t="s">
        <v>682</v>
      </c>
      <c r="D205" s="2" t="s">
        <v>13</v>
      </c>
      <c r="E205" s="2" t="s">
        <v>14</v>
      </c>
      <c r="F205" s="2" t="s">
        <v>15</v>
      </c>
      <c r="G205" s="2" t="s">
        <v>683</v>
      </c>
      <c r="H205" s="2" t="s">
        <v>42</v>
      </c>
      <c r="I205" s="2" t="str">
        <f>IFERROR(__xludf.DUMMYFUNCTION("GOOGLETRANSLATE(C205,""fr"",""en"")"),"I am satisfied and I hate that the necessary is done with my current insurer
If you have other questions do not hesitate to contact me")</f>
        <v>I am satisfied and I hate that the necessary is done with my current insurer
If you have other questions do not hesitate to contact me</v>
      </c>
    </row>
    <row r="206" ht="15.75" customHeight="1">
      <c r="A206" s="2">
        <v>1.0</v>
      </c>
      <c r="B206" s="2" t="s">
        <v>684</v>
      </c>
      <c r="C206" s="2" t="s">
        <v>685</v>
      </c>
      <c r="D206" s="2" t="s">
        <v>686</v>
      </c>
      <c r="E206" s="2" t="s">
        <v>65</v>
      </c>
      <c r="F206" s="2" t="s">
        <v>15</v>
      </c>
      <c r="G206" s="2" t="s">
        <v>687</v>
      </c>
      <c r="H206" s="2" t="s">
        <v>76</v>
      </c>
      <c r="I206" s="2" t="str">
        <f>IFERROR(__xludf.DUMMYFUNCTION("GOOGLETRANSLATE(C206,""fr"",""en"")"),"Not all, taking money and the rest goes well after")</f>
        <v>Not all, taking money and the rest goes well after</v>
      </c>
    </row>
    <row r="207" ht="15.75" customHeight="1">
      <c r="A207" s="2">
        <v>1.0</v>
      </c>
      <c r="B207" s="2" t="s">
        <v>688</v>
      </c>
      <c r="C207" s="2" t="s">
        <v>689</v>
      </c>
      <c r="D207" s="2" t="s">
        <v>120</v>
      </c>
      <c r="E207" s="2" t="s">
        <v>14</v>
      </c>
      <c r="F207" s="2" t="s">
        <v>15</v>
      </c>
      <c r="G207" s="2" t="s">
        <v>194</v>
      </c>
      <c r="H207" s="2" t="s">
        <v>195</v>
      </c>
      <c r="I207" s="2" t="str">
        <f>IFERROR(__xludf.DUMMYFUNCTION("GOOGLETRANSLATE(C207,""fr"",""en"")"),"To flee, they do everything not to reimburse you in the event of a claim, after a year of exchanges with them following the theft of my vehicle, we refuse to compensate me.")</f>
        <v>To flee, they do everything not to reimburse you in the event of a claim, after a year of exchanges with them following the theft of my vehicle, we refuse to compensate me.</v>
      </c>
    </row>
    <row r="208" ht="15.75" customHeight="1">
      <c r="A208" s="2">
        <v>4.0</v>
      </c>
      <c r="B208" s="2" t="s">
        <v>690</v>
      </c>
      <c r="C208" s="2" t="s">
        <v>691</v>
      </c>
      <c r="D208" s="2" t="s">
        <v>87</v>
      </c>
      <c r="E208" s="2" t="s">
        <v>14</v>
      </c>
      <c r="F208" s="2" t="s">
        <v>15</v>
      </c>
      <c r="G208" s="2" t="s">
        <v>692</v>
      </c>
      <c r="H208" s="2" t="s">
        <v>42</v>
      </c>
      <c r="I208" s="2" t="str">
        <f>IFERROR(__xludf.DUMMYFUNCTION("GOOGLETRANSLATE(C208,""fr"",""en"")"),"Very satisfied with the telephone service and good advice.
Attractive price for young driver
Easy effectiveness and easy online service of access")</f>
        <v>Very satisfied with the telephone service and good advice.
Attractive price for young driver
Easy effectiveness and easy online service of access</v>
      </c>
    </row>
    <row r="209" ht="15.75" customHeight="1">
      <c r="A209" s="2">
        <v>4.0</v>
      </c>
      <c r="B209" s="2" t="s">
        <v>693</v>
      </c>
      <c r="C209" s="2" t="s">
        <v>694</v>
      </c>
      <c r="D209" s="2" t="s">
        <v>87</v>
      </c>
      <c r="E209" s="2" t="s">
        <v>14</v>
      </c>
      <c r="F209" s="2" t="s">
        <v>15</v>
      </c>
      <c r="G209" s="2" t="s">
        <v>695</v>
      </c>
      <c r="H209" s="2" t="s">
        <v>190</v>
      </c>
      <c r="I209" s="2" t="str">
        <f>IFERROR(__xludf.DUMMYFUNCTION("GOOGLETRANSLATE(C209,""fr"",""en"")"),"I am satisfied with the price and the service
I recommend to all young drivers for a first insurance is really good.
Thank you to the contacts that know how to explain")</f>
        <v>I am satisfied with the price and the service
I recommend to all young drivers for a first insurance is really good.
Thank you to the contacts that know how to explain</v>
      </c>
    </row>
    <row r="210" ht="15.75" customHeight="1">
      <c r="A210" s="2">
        <v>1.0</v>
      </c>
      <c r="B210" s="2" t="s">
        <v>696</v>
      </c>
      <c r="C210" s="2" t="s">
        <v>697</v>
      </c>
      <c r="D210" s="2" t="s">
        <v>64</v>
      </c>
      <c r="E210" s="2" t="s">
        <v>65</v>
      </c>
      <c r="F210" s="2" t="s">
        <v>15</v>
      </c>
      <c r="G210" s="2" t="s">
        <v>698</v>
      </c>
      <c r="H210" s="2" t="s">
        <v>699</v>
      </c>
      <c r="I210" s="2" t="str">
        <f>IFERROR(__xludf.DUMMYFUNCTION("GOOGLETRANSLATE(C210,""fr"",""en"")"),"Planning to flee! Paper mail sent that they have never been said to be received do not put online forms if you do not treat mail afterwards! I've been waiting for my additional compensation for three months, it's unacceptable ....
Each time my we are ask"&amp;"ed to add parts by email which lengthens the deadlines it is great anything this foresight of the unheard of for my part !!!!!!!! Above the market their website never works !!!!!!!!")</f>
        <v>Planning to flee! Paper mail sent that they have never been said to be received do not put online forms if you do not treat mail afterwards! I've been waiting for my additional compensation for three months, it's unacceptable ....
Each time my we are asked to add parts by email which lengthens the deadlines it is great anything this foresight of the unheard of for my part !!!!!!!! Above the market their website never works !!!!!!!!</v>
      </c>
    </row>
    <row r="211" ht="15.75" customHeight="1">
      <c r="A211" s="2">
        <v>1.0</v>
      </c>
      <c r="B211" s="2" t="s">
        <v>700</v>
      </c>
      <c r="C211" s="2" t="s">
        <v>701</v>
      </c>
      <c r="D211" s="2" t="s">
        <v>74</v>
      </c>
      <c r="E211" s="2" t="s">
        <v>14</v>
      </c>
      <c r="F211" s="2" t="s">
        <v>15</v>
      </c>
      <c r="G211" s="2" t="s">
        <v>702</v>
      </c>
      <c r="H211" s="2" t="s">
        <v>450</v>
      </c>
      <c r="I211" s="2" t="str">
        <f>IFERROR(__xludf.DUMMYFUNCTION("GOOGLETRANSLATE(C211,""fr"",""en"")"),"5 months after the flight of my vehicle: the claim file is still not processed.
Inadmissible! !
'We answer you before the weekend' ... for 5 months.")</f>
        <v>5 months after the flight of my vehicle: the claim file is still not processed.
Inadmissible! !
'We answer you before the weekend' ... for 5 months.</v>
      </c>
    </row>
    <row r="212" ht="15.75" customHeight="1">
      <c r="A212" s="2">
        <v>4.0</v>
      </c>
      <c r="B212" s="2" t="s">
        <v>703</v>
      </c>
      <c r="C212" s="2" t="s">
        <v>704</v>
      </c>
      <c r="D212" s="2" t="s">
        <v>201</v>
      </c>
      <c r="E212" s="2" t="s">
        <v>21</v>
      </c>
      <c r="F212" s="2" t="s">
        <v>15</v>
      </c>
      <c r="G212" s="2" t="s">
        <v>683</v>
      </c>
      <c r="H212" s="2" t="s">
        <v>42</v>
      </c>
      <c r="I212" s="2" t="str">
        <f>IFERROR(__xludf.DUMMYFUNCTION("GOOGLETRANSLATE(C212,""fr"",""en"")"),"I recommend AMV for my CAN-AM insurance.
It is really very practical and easy online to be able to modify your contract once a year for the winter season where I do not drive.")</f>
        <v>I recommend AMV for my CAN-AM insurance.
It is really very practical and easy online to be able to modify your contract once a year for the winter season where I do not drive.</v>
      </c>
    </row>
    <row r="213" ht="15.75" customHeight="1">
      <c r="A213" s="2">
        <v>3.0</v>
      </c>
      <c r="B213" s="2" t="s">
        <v>705</v>
      </c>
      <c r="C213" s="2" t="s">
        <v>706</v>
      </c>
      <c r="D213" s="2" t="s">
        <v>74</v>
      </c>
      <c r="E213" s="2" t="s">
        <v>14</v>
      </c>
      <c r="F213" s="2" t="s">
        <v>15</v>
      </c>
      <c r="G213" s="2" t="s">
        <v>707</v>
      </c>
      <c r="H213" s="2" t="s">
        <v>190</v>
      </c>
      <c r="I213" s="2" t="str">
        <f>IFERROR(__xludf.DUMMYFUNCTION("GOOGLETRANSLATE(C213,""fr"",""en"")"),"I am satisfied at the moment the GMF seems to me to be a fairly interesting insurance in terms of price and conditions. I have been at GMF for many years")</f>
        <v>I am satisfied at the moment the GMF seems to me to be a fairly interesting insurance in terms of price and conditions. I have been at GMF for many years</v>
      </c>
    </row>
    <row r="214" ht="15.75" customHeight="1">
      <c r="A214" s="2">
        <v>5.0</v>
      </c>
      <c r="B214" s="2" t="s">
        <v>708</v>
      </c>
      <c r="C214" s="2" t="s">
        <v>709</v>
      </c>
      <c r="D214" s="2" t="s">
        <v>87</v>
      </c>
      <c r="E214" s="2" t="s">
        <v>14</v>
      </c>
      <c r="F214" s="2" t="s">
        <v>15</v>
      </c>
      <c r="G214" s="2" t="s">
        <v>618</v>
      </c>
      <c r="H214" s="2" t="s">
        <v>209</v>
      </c>
      <c r="I214" s="2" t="str">
        <f>IFERROR(__xludf.DUMMYFUNCTION("GOOGLETRANSLATE(C214,""fr"",""en"")")," Very satisfied with the telephone reception, as well as the request service, the prices are very attractive compared to other insurers for the guarantees subscribed")</f>
        <v> Very satisfied with the telephone reception, as well as the request service, the prices are very attractive compared to other insurers for the guarantees subscribed</v>
      </c>
    </row>
    <row r="215" ht="15.75" customHeight="1">
      <c r="A215" s="2">
        <v>1.0</v>
      </c>
      <c r="B215" s="2" t="s">
        <v>710</v>
      </c>
      <c r="C215" s="2" t="s">
        <v>711</v>
      </c>
      <c r="D215" s="2" t="s">
        <v>277</v>
      </c>
      <c r="E215" s="2" t="s">
        <v>55</v>
      </c>
      <c r="F215" s="2" t="s">
        <v>15</v>
      </c>
      <c r="G215" s="2" t="s">
        <v>712</v>
      </c>
      <c r="H215" s="2" t="s">
        <v>433</v>
      </c>
      <c r="I215" s="2" t="str">
        <f>IFERROR(__xludf.DUMMYFUNCTION("GOOGLETRANSLATE(C215,""fr"",""en"")"),"Hello, I strongly advise against this insurance because I had a disaster (water damage) on 09/09/2019 and today on 05/06/2020 I still fight to be compensation more:
The expert mandated by Pacifia figure of the paint on plastering breaking and humid and"&amp;" does not turn a disaster piece as well as breaking tiles during repair (pipe under the tiles)
When I ask for a counter expertise I am told that it will be my costs.
When I make a complaint letter I am not answered. (received by Pacifia on 03/09/202"&amp;"0)
When I make an email to my manager, this one returns the ball to the expertise company, but being the customer of the expertise company I do not see why I would make them complaints.
""Insurance"" to flee")</f>
        <v>Hello, I strongly advise against this insurance because I had a disaster (water damage) on 09/09/2019 and today on 05/06/2020 I still fight to be compensation more:
The expert mandated by Pacifia figure of the paint on plastering breaking and humid and does not turn a disaster piece as well as breaking tiles during repair (pipe under the tiles)
When I ask for a counter expertise I am told that it will be my costs.
When I make a complaint letter I am not answered. (received by Pacifia on 03/09/2020)
When I make an email to my manager, this one returns the ball to the expertise company, but being the customer of the expertise company I do not see why I would make them complaints.
"Insurance" to flee</v>
      </c>
    </row>
    <row r="216" ht="15.75" customHeight="1">
      <c r="A216" s="2">
        <v>1.0</v>
      </c>
      <c r="B216" s="2" t="s">
        <v>713</v>
      </c>
      <c r="C216" s="2" t="s">
        <v>714</v>
      </c>
      <c r="D216" s="2" t="s">
        <v>70</v>
      </c>
      <c r="E216" s="2" t="s">
        <v>31</v>
      </c>
      <c r="F216" s="2" t="s">
        <v>15</v>
      </c>
      <c r="G216" s="2" t="s">
        <v>169</v>
      </c>
      <c r="H216" s="2" t="s">
        <v>42</v>
      </c>
      <c r="I216" s="2" t="str">
        <f>IFERROR(__xludf.DUMMYFUNCTION("GOOGLETRANSLATE(C216,""fr"",""en"")"),"I totally advise against this mutual. I have subscribed to it through broker. Since my subscription is 1 month I have never been reimbursed for my medical services when Social Security has done it for its game. Do not give any info on reimbursement times."&amp;" Lose my documents and asked me for the same. And above all requests to present invoices with each service while my teletransmission is activated. Trapped for 1 year with them I am very very disappointed.")</f>
        <v>I totally advise against this mutual. I have subscribed to it through broker. Since my subscription is 1 month I have never been reimbursed for my medical services when Social Security has done it for its game. Do not give any info on reimbursement times. Lose my documents and asked me for the same. And above all requests to present invoices with each service while my teletransmission is activated. Trapped for 1 year with them I am very very disappointed.</v>
      </c>
    </row>
    <row r="217" ht="15.75" customHeight="1">
      <c r="A217" s="2">
        <v>1.0</v>
      </c>
      <c r="B217" s="2" t="s">
        <v>715</v>
      </c>
      <c r="C217" s="2" t="s">
        <v>716</v>
      </c>
      <c r="D217" s="2" t="s">
        <v>375</v>
      </c>
      <c r="E217" s="2" t="s">
        <v>65</v>
      </c>
      <c r="F217" s="2" t="s">
        <v>15</v>
      </c>
      <c r="G217" s="2" t="s">
        <v>717</v>
      </c>
      <c r="H217" s="2" t="s">
        <v>718</v>
      </c>
      <c r="I217" s="2" t="str">
        <f>IFERROR(__xludf.DUMMYFUNCTION("GOOGLETRANSLATE(C217,""fr"",""en"")"),"Catastrophic provident compensation management. Currently more than 4 months of delay, and no response from customer service. We walk you with each call.")</f>
        <v>Catastrophic provident compensation management. Currently more than 4 months of delay, and no response from customer service. We walk you with each call.</v>
      </c>
    </row>
    <row r="218" ht="15.75" customHeight="1">
      <c r="A218" s="2">
        <v>1.0</v>
      </c>
      <c r="B218" s="2" t="s">
        <v>719</v>
      </c>
      <c r="C218" s="2" t="s">
        <v>720</v>
      </c>
      <c r="D218" s="2" t="s">
        <v>87</v>
      </c>
      <c r="E218" s="2" t="s">
        <v>14</v>
      </c>
      <c r="F218" s="2" t="s">
        <v>15</v>
      </c>
      <c r="G218" s="2" t="s">
        <v>721</v>
      </c>
      <c r="H218" s="2" t="s">
        <v>324</v>
      </c>
      <c r="I218" s="2" t="str">
        <f>IFERROR(__xludf.DUMMYFUNCTION("GOOGLETRANSLATE(C218,""fr"",""en"")"),"The Olivier Assurances to be fleeing absolutely: AGUICHER rate the first year then increase of 44 and 38 percent on my 2 vehicles the following year ... In addition if you did not like to type on 1 then 2 then ...! !! And wait in the company of heady musi"&amp;"c !!! Too bad the bride was beautiful too beautiful maybe !!!")</f>
        <v>The Olivier Assurances to be fleeing absolutely: AGUICHER rate the first year then increase of 44 and 38 percent on my 2 vehicles the following year ... In addition if you did not like to type on 1 then 2 then ...! !! And wait in the company of heady music !!! Too bad the bride was beautiful too beautiful maybe !!!</v>
      </c>
    </row>
    <row r="219" ht="15.75" customHeight="1">
      <c r="A219" s="2">
        <v>3.0</v>
      </c>
      <c r="C219" s="2" t="s">
        <v>722</v>
      </c>
      <c r="D219" s="2" t="s">
        <v>723</v>
      </c>
      <c r="E219" s="2" t="s">
        <v>65</v>
      </c>
      <c r="F219" s="2" t="s">
        <v>15</v>
      </c>
      <c r="G219" s="2" t="s">
        <v>724</v>
      </c>
      <c r="H219" s="2" t="s">
        <v>718</v>
      </c>
      <c r="I219" s="2" t="str">
        <f>IFERROR(__xludf.DUMMYFUNCTION("GOOGLETRANSLATE(C219,""fr"",""en"")"),"Intervention deleted at the request of the Internet user.")</f>
        <v>Intervention deleted at the request of the Internet user.</v>
      </c>
    </row>
    <row r="220" ht="15.75" customHeight="1">
      <c r="A220" s="2">
        <v>4.0</v>
      </c>
      <c r="B220" s="2" t="s">
        <v>725</v>
      </c>
      <c r="C220" s="2" t="s">
        <v>726</v>
      </c>
      <c r="D220" s="2" t="s">
        <v>70</v>
      </c>
      <c r="E220" s="2" t="s">
        <v>31</v>
      </c>
      <c r="F220" s="2" t="s">
        <v>15</v>
      </c>
      <c r="G220" s="2" t="s">
        <v>727</v>
      </c>
      <c r="H220" s="2" t="s">
        <v>625</v>
      </c>
      <c r="I220" s="2" t="str">
        <f>IFERROR(__xludf.DUMMYFUNCTION("GOOGLETRANSLATE(C220,""fr"",""en"")"),"I have contracted this insurance through a broker and I have nothing to say they are impeccable I have a direct number to call my advisor and I am satisfied with their optician partnersir in addition I have an adherent space which makes it easier for me")</f>
        <v>I have contracted this insurance through a broker and I have nothing to say they are impeccable I have a direct number to call my advisor and I am satisfied with their optician partnersir in addition I have an adherent space which makes it easier for me</v>
      </c>
    </row>
    <row r="221" ht="15.75" customHeight="1">
      <c r="A221" s="2">
        <v>2.0</v>
      </c>
      <c r="B221" s="2" t="s">
        <v>728</v>
      </c>
      <c r="C221" s="2" t="s">
        <v>729</v>
      </c>
      <c r="D221" s="2" t="s">
        <v>13</v>
      </c>
      <c r="E221" s="2" t="s">
        <v>14</v>
      </c>
      <c r="F221" s="2" t="s">
        <v>15</v>
      </c>
      <c r="G221" s="2" t="s">
        <v>730</v>
      </c>
      <c r="H221" s="2" t="s">
        <v>61</v>
      </c>
      <c r="I221" s="2" t="str">
        <f>IFERROR(__xludf.DUMMYFUNCTION("GOOGLETRANSLATE(C221,""fr"",""en"")"),"I do not recommend this insurance at all, I was wrong with a premium statement and they never wanted to take the 2nd raising, suddenly they terminated my")</f>
        <v>I do not recommend this insurance at all, I was wrong with a premium statement and they never wanted to take the 2nd raising, suddenly they terminated my</v>
      </c>
    </row>
    <row r="222" ht="15.75" customHeight="1">
      <c r="A222" s="2">
        <v>4.0</v>
      </c>
      <c r="B222" s="2" t="s">
        <v>731</v>
      </c>
      <c r="C222" s="2" t="s">
        <v>732</v>
      </c>
      <c r="D222" s="2" t="s">
        <v>13</v>
      </c>
      <c r="E222" s="2" t="s">
        <v>14</v>
      </c>
      <c r="F222" s="2" t="s">
        <v>15</v>
      </c>
      <c r="G222" s="2" t="s">
        <v>733</v>
      </c>
      <c r="H222" s="2" t="s">
        <v>42</v>
      </c>
      <c r="I222" s="2" t="str">
        <f>IFERROR(__xludf.DUMMYFUNCTION("GOOGLETRANSLATE(C222,""fr"",""en"")"),"I am satisfied with the service The price suits me simple and easy explained. Pleasant on the phone. Very fast it's really satisfactory thank you.")</f>
        <v>I am satisfied with the service The price suits me simple and easy explained. Pleasant on the phone. Very fast it's really satisfactory thank you.</v>
      </c>
    </row>
    <row r="223" ht="15.75" customHeight="1">
      <c r="A223" s="2">
        <v>4.0</v>
      </c>
      <c r="B223" s="2" t="s">
        <v>734</v>
      </c>
      <c r="C223" s="2" t="s">
        <v>735</v>
      </c>
      <c r="D223" s="2" t="s">
        <v>334</v>
      </c>
      <c r="E223" s="2" t="s">
        <v>31</v>
      </c>
      <c r="F223" s="2" t="s">
        <v>15</v>
      </c>
      <c r="G223" s="2" t="s">
        <v>26</v>
      </c>
      <c r="H223" s="2" t="s">
        <v>27</v>
      </c>
      <c r="I223" s="2" t="str">
        <f>IFERROR(__xludf.DUMMYFUNCTION("GOOGLETRANSLATE(C223,""fr"",""en"")"),"Having had telephone contact with Emeline, the latter was very professional, very attentive, I recommend this mutual insurance company to anyone who would have doubts.")</f>
        <v>Having had telephone contact with Emeline, the latter was very professional, very attentive, I recommend this mutual insurance company to anyone who would have doubts.</v>
      </c>
    </row>
    <row r="224" ht="15.75" customHeight="1">
      <c r="A224" s="2">
        <v>1.0</v>
      </c>
      <c r="B224" s="2" t="s">
        <v>736</v>
      </c>
      <c r="C224" s="2" t="s">
        <v>737</v>
      </c>
      <c r="D224" s="2" t="s">
        <v>156</v>
      </c>
      <c r="E224" s="2" t="s">
        <v>31</v>
      </c>
      <c r="F224" s="2" t="s">
        <v>15</v>
      </c>
      <c r="G224" s="2" t="s">
        <v>738</v>
      </c>
      <c r="H224" s="2" t="s">
        <v>103</v>
      </c>
      <c r="I224" s="2" t="str">
        <f>IFERROR(__xludf.DUMMYFUNCTION("GOOGLETRANSLATE(C224,""fr"",""en"")"),"Service complaint No competence on 10 calls 10 different versions.
 3 weeks late in our emails. I miss documents. This will be treated quickly I pass and the best.
5 months to reimburse a third -party ambulance third party.
And final bouquet transfers "&amp;"made on an identifier name without name.
A word of advice if you can run away from this mutual.
")</f>
        <v>Service complaint No competence on 10 calls 10 different versions.
 3 weeks late in our emails. I miss documents. This will be treated quickly I pass and the best.
5 months to reimburse a third -party ambulance third party.
And final bouquet transfers made on an identifier name without name.
A word of advice if you can run away from this mutual.
</v>
      </c>
    </row>
    <row r="225" ht="15.75" customHeight="1">
      <c r="A225" s="2">
        <v>5.0</v>
      </c>
      <c r="B225" s="2" t="s">
        <v>739</v>
      </c>
      <c r="C225" s="2" t="s">
        <v>740</v>
      </c>
      <c r="D225" s="2" t="s">
        <v>13</v>
      </c>
      <c r="E225" s="2" t="s">
        <v>14</v>
      </c>
      <c r="F225" s="2" t="s">
        <v>15</v>
      </c>
      <c r="G225" s="2" t="s">
        <v>741</v>
      </c>
      <c r="H225" s="2" t="s">
        <v>61</v>
      </c>
      <c r="I225" s="2" t="str">
        <f>IFERROR(__xludf.DUMMYFUNCTION("GOOGLETRANSLATE(C225,""fr"",""en"")"),"I am satisfied with my insurance, the price is not excessive, the answers are fast I have not yet had to use their repairs but I was told excellent news")</f>
        <v>I am satisfied with my insurance, the price is not excessive, the answers are fast I have not yet had to use their repairs but I was told excellent news</v>
      </c>
    </row>
    <row r="226" ht="15.75" customHeight="1">
      <c r="A226" s="2">
        <v>4.0</v>
      </c>
      <c r="B226" s="2" t="s">
        <v>742</v>
      </c>
      <c r="C226" s="2" t="s">
        <v>743</v>
      </c>
      <c r="D226" s="2" t="s">
        <v>87</v>
      </c>
      <c r="E226" s="2" t="s">
        <v>14</v>
      </c>
      <c r="F226" s="2" t="s">
        <v>15</v>
      </c>
      <c r="G226" s="2" t="s">
        <v>744</v>
      </c>
      <c r="H226" s="2" t="s">
        <v>110</v>
      </c>
      <c r="I226" s="2" t="str">
        <f>IFERROR(__xludf.DUMMYFUNCTION("GOOGLETRANSLATE(C226,""fr"",""en"")"),"I just subscribed. Nice person on the phone takes the time to answer questions. interesting price. satisfied for the moment. See to ensure a second vehicle.")</f>
        <v>I just subscribed. Nice person on the phone takes the time to answer questions. interesting price. satisfied for the moment. See to ensure a second vehicle.</v>
      </c>
    </row>
    <row r="227" ht="15.75" customHeight="1">
      <c r="A227" s="2">
        <v>5.0</v>
      </c>
      <c r="B227" s="2" t="s">
        <v>745</v>
      </c>
      <c r="C227" s="2" t="s">
        <v>746</v>
      </c>
      <c r="D227" s="2" t="s">
        <v>87</v>
      </c>
      <c r="E227" s="2" t="s">
        <v>14</v>
      </c>
      <c r="F227" s="2" t="s">
        <v>15</v>
      </c>
      <c r="G227" s="2" t="s">
        <v>747</v>
      </c>
      <c r="H227" s="2" t="s">
        <v>110</v>
      </c>
      <c r="I227" s="2" t="str">
        <f>IFERROR(__xludf.DUMMYFUNCTION("GOOGLETRANSLATE(C227,""fr"",""en"")"),"The prices are attractive
Top advisor
Speed
I subscribed to this insurance I had a quick response with a very friendly advisor who detailed all the offers and also advisor to me")</f>
        <v>The prices are attractive
Top advisor
Speed
I subscribed to this insurance I had a quick response with a very friendly advisor who detailed all the offers and also advisor to me</v>
      </c>
    </row>
    <row r="228" ht="15.75" customHeight="1">
      <c r="A228" s="2">
        <v>1.0</v>
      </c>
      <c r="B228" s="2" t="s">
        <v>748</v>
      </c>
      <c r="C228" s="2" t="s">
        <v>749</v>
      </c>
      <c r="D228" s="2" t="s">
        <v>36</v>
      </c>
      <c r="E228" s="2" t="s">
        <v>14</v>
      </c>
      <c r="F228" s="2" t="s">
        <v>15</v>
      </c>
      <c r="G228" s="2" t="s">
        <v>750</v>
      </c>
      <c r="H228" s="2" t="s">
        <v>751</v>
      </c>
      <c r="I228" s="2" t="str">
        <f>IFERROR(__xludf.DUMMYFUNCTION("GOOGLETRANSLATE(C228,""fr"",""en"")"),"Insured at Maif for many years with a maximum bonus, one of our vehicles, parked in a public parking, is hung on the right back by another vehicle.
The driver had left her contact details to establish an observation.
An expert, an expertise firm based i"&amp;"n Fréjus, was mandated by the MAIF and refused any compensation concerning the damaged wing by the shock pretending that this wing had undergone a shock previously.
So I ask myself the following question: do you have to have a brand new vehicle without t"&amp;"he slightest bump or scratch to hope to be compensated by Maif?
We specify that the state of the wing before the claim actually presented a deformation but without common measure with its state following the claim.
Our case is undoubtedly not isolated a"&amp;"nd this type of practice is unworthy and disrespectful towards its mutualist members.")</f>
        <v>Insured at Maif for many years with a maximum bonus, one of our vehicles, parked in a public parking, is hung on the right back by another vehicle.
The driver had left her contact details to establish an observation.
An expert, an expertise firm based in Fréjus, was mandated by the MAIF and refused any compensation concerning the damaged wing by the shock pretending that this wing had undergone a shock previously.
So I ask myself the following question: do you have to have a brand new vehicle without the slightest bump or scratch to hope to be compensated by Maif?
We specify that the state of the wing before the claim actually presented a deformation but without common measure with its state following the claim.
Our case is undoubtedly not isolated and this type of practice is unworthy and disrespectful towards its mutualist members.</v>
      </c>
    </row>
    <row r="229" ht="15.75" customHeight="1">
      <c r="A229" s="2">
        <v>1.0</v>
      </c>
      <c r="B229" s="2" t="s">
        <v>752</v>
      </c>
      <c r="C229" s="2" t="s">
        <v>753</v>
      </c>
      <c r="D229" s="2" t="s">
        <v>581</v>
      </c>
      <c r="E229" s="2" t="s">
        <v>31</v>
      </c>
      <c r="F229" s="2" t="s">
        <v>15</v>
      </c>
      <c r="G229" s="2" t="s">
        <v>754</v>
      </c>
      <c r="H229" s="2" t="s">
        <v>209</v>
      </c>
      <c r="I229" s="2" t="str">
        <f>IFERROR(__xludf.DUMMYFUNCTION("GOOGLETRANSLATE(C229,""fr"",""en"")"),"To flee, no refund, still waiting for my quote since March
I ""advance the costs I wonder if this mutual really exists .. Despite the calls the emails without return from them, I decided to blocked the sets ...
")</f>
        <v>To flee, no refund, still waiting for my quote since March
I "advance the costs I wonder if this mutual really exists .. Despite the calls the emails without return from them, I decided to blocked the sets ...
</v>
      </c>
    </row>
    <row r="230" ht="15.75" customHeight="1">
      <c r="A230" s="2">
        <v>2.0</v>
      </c>
      <c r="B230" s="2" t="s">
        <v>755</v>
      </c>
      <c r="C230" s="2" t="s">
        <v>756</v>
      </c>
      <c r="D230" s="2" t="s">
        <v>237</v>
      </c>
      <c r="E230" s="2" t="s">
        <v>14</v>
      </c>
      <c r="F230" s="2" t="s">
        <v>15</v>
      </c>
      <c r="G230" s="2" t="s">
        <v>757</v>
      </c>
      <c r="H230" s="2" t="s">
        <v>302</v>
      </c>
      <c r="I230" s="2" t="str">
        <f>IFERROR(__xludf.DUMMYFUNCTION("GOOGLETRANSLATE(C230,""fr"",""en"")"),"They seem to be an annoying habit of terminating your contract for a reason that no one understands: ""Our technical policy leads us to end your contract
insurance ""
And after that very difficult to find another insurer because you are asked if you hav"&amp;"e had an insurance termination, obviously that makes very bad effect .... why have you been terminated by your insurer there must be a serious problem .....
Thank you Axa")</f>
        <v>They seem to be an annoying habit of terminating your contract for a reason that no one understands: "Our technical policy leads us to end your contract
insurance "
And after that very difficult to find another insurer because you are asked if you have had an insurance termination, obviously that makes very bad effect .... why have you been terminated by your insurer there must be a serious problem .....
Thank you Axa</v>
      </c>
    </row>
    <row r="231" ht="15.75" customHeight="1">
      <c r="A231" s="2">
        <v>3.0</v>
      </c>
      <c r="B231" s="2" t="s">
        <v>758</v>
      </c>
      <c r="C231" s="2" t="s">
        <v>759</v>
      </c>
      <c r="D231" s="2" t="s">
        <v>201</v>
      </c>
      <c r="E231" s="2" t="s">
        <v>21</v>
      </c>
      <c r="F231" s="2" t="s">
        <v>15</v>
      </c>
      <c r="G231" s="2" t="s">
        <v>760</v>
      </c>
      <c r="H231" s="2" t="s">
        <v>761</v>
      </c>
      <c r="I231" s="2" t="str">
        <f>IFERROR(__xludf.DUMMYFUNCTION("GOOGLETRANSLATE(C231,""fr"",""en"")"),"4 contracts at AMV for several years, today I am looking for a broker. The reason? Customer service so inexagible and ineffective (direct friendship consequence) and a website that does not meet my expectation of simple autonomous management of my contrac"&amp;"ts.
Note that I am satisfied with the treatment of the non -responsible disaster that I had in motorbikes in 12106.")</f>
        <v>4 contracts at AMV for several years, today I am looking for a broker. The reason? Customer service so inexagible and ineffective (direct friendship consequence) and a website that does not meet my expectation of simple autonomous management of my contracts.
Note that I am satisfied with the treatment of the non -responsible disaster that I had in motorbikes in 12106.</v>
      </c>
    </row>
    <row r="232" ht="15.75" customHeight="1">
      <c r="A232" s="2">
        <v>5.0</v>
      </c>
      <c r="B232" s="2" t="s">
        <v>762</v>
      </c>
      <c r="C232" s="2" t="s">
        <v>763</v>
      </c>
      <c r="D232" s="2" t="s">
        <v>87</v>
      </c>
      <c r="E232" s="2" t="s">
        <v>14</v>
      </c>
      <c r="F232" s="2" t="s">
        <v>15</v>
      </c>
      <c r="G232" s="2" t="s">
        <v>764</v>
      </c>
      <c r="H232" s="2" t="s">
        <v>110</v>
      </c>
      <c r="I232" s="2" t="str">
        <f>IFERROR(__xludf.DUMMYFUNCTION("GOOGLETRANSLATE(C232,""fr"",""en"")"),"Very correct price for the moment everything is really good the welcome listen to it, to see in time but yes I highly recommend, especially since my son is also at the olive assurance is perfect, he wanted me sponsored me Unfortunately this did not work b"&amp;"ecause we would not have passed directly by them, so from the comparators we started the quote but yet since we met validation concerns we directly contacted an advisor, she found the Preceding quote but we took up everything at zero, despite everything n"&amp;"o taking into account the sponsorship code all the same, too bad on this point.")</f>
        <v>Very correct price for the moment everything is really good the welcome listen to it, to see in time but yes I highly recommend, especially since my son is also at the olive assurance is perfect, he wanted me sponsored me Unfortunately this did not work because we would not have passed directly by them, so from the comparators we started the quote but yet since we met validation concerns we directly contacted an advisor, she found the Preceding quote but we took up everything at zero, despite everything no taking into account the sponsorship code all the same, too bad on this point.</v>
      </c>
    </row>
    <row r="233" ht="15.75" customHeight="1">
      <c r="A233" s="2">
        <v>1.0</v>
      </c>
      <c r="B233" s="2" t="s">
        <v>765</v>
      </c>
      <c r="C233" s="2" t="s">
        <v>766</v>
      </c>
      <c r="D233" s="2" t="s">
        <v>406</v>
      </c>
      <c r="E233" s="2" t="s">
        <v>65</v>
      </c>
      <c r="F233" s="2" t="s">
        <v>15</v>
      </c>
      <c r="G233" s="2" t="s">
        <v>767</v>
      </c>
      <c r="H233" s="2" t="s">
        <v>81</v>
      </c>
      <c r="I233" s="2" t="str">
        <f>IFERROR(__xludf.DUMMYFUNCTION("GOOGLETRANSLATE(C233,""fr"",""en"")"),"The big one. My mother has subscribed 5 View insurance contracts via her post office advisor. When he died in August, we met the post office financial advisor. He told us that we had to contact CNP. We wrote CNP to the address appearing on the surveys of "&amp;"my mother in December 2016. It's been 3 and a half months. Despite the recommended letters, the CNP has a deaf ear. On this day we received the information concerning 3 contracts. If we were not persistent and capable of writing and claiming the insurer w"&amp;"ould certainly keep this money for him")</f>
        <v>The big one. My mother has subscribed 5 View insurance contracts via her post office advisor. When he died in August, we met the post office financial advisor. He told us that we had to contact CNP. We wrote CNP to the address appearing on the surveys of my mother in December 2016. It's been 3 and a half months. Despite the recommended letters, the CNP has a deaf ear. On this day we received the information concerning 3 contracts. If we were not persistent and capable of writing and claiming the insurer would certainly keep this money for him</v>
      </c>
    </row>
    <row r="234" ht="15.75" customHeight="1">
      <c r="A234" s="2">
        <v>1.0</v>
      </c>
      <c r="B234" s="2" t="s">
        <v>768</v>
      </c>
      <c r="C234" s="2" t="s">
        <v>769</v>
      </c>
      <c r="D234" s="2" t="s">
        <v>581</v>
      </c>
      <c r="E234" s="2" t="s">
        <v>31</v>
      </c>
      <c r="F234" s="2" t="s">
        <v>15</v>
      </c>
      <c r="G234" s="2" t="s">
        <v>770</v>
      </c>
      <c r="H234" s="2" t="s">
        <v>27</v>
      </c>
      <c r="I234" s="2" t="str">
        <f>IFERROR(__xludf.DUMMYFUNCTION("GOOGLETRANSLATE(C234,""fr"",""en"")"),"If you want to avoid becoming nervous to avoid farting a lead from getting crazy then avoid this insurance !!! I am on the verge of naire I can't wait to no longer have a commitment to start from this insurance !!! To flee to flee to flee to flee !!!!! ??"&amp;"????????")</f>
        <v>If you want to avoid becoming nervous to avoid farting a lead from getting crazy then avoid this insurance !!! I am on the verge of naire I can't wait to no longer have a commitment to start from this insurance !!! To flee to flee to flee to flee !!!!! ??????????</v>
      </c>
    </row>
    <row r="235" ht="15.75" customHeight="1">
      <c r="A235" s="2">
        <v>4.0</v>
      </c>
      <c r="B235" s="2" t="s">
        <v>771</v>
      </c>
      <c r="C235" s="2" t="s">
        <v>772</v>
      </c>
      <c r="D235" s="2" t="s">
        <v>13</v>
      </c>
      <c r="E235" s="2" t="s">
        <v>14</v>
      </c>
      <c r="F235" s="2" t="s">
        <v>15</v>
      </c>
      <c r="G235" s="2" t="s">
        <v>733</v>
      </c>
      <c r="H235" s="2" t="s">
        <v>42</v>
      </c>
      <c r="I235" s="2" t="str">
        <f>IFERROR(__xludf.DUMMYFUNCTION("GOOGLETRANSLATE(C235,""fr"",""en"")"),"I am satisfied with the service. Fast and very fluid.
I was able to generate my insurance very quickly thanks to the guidance.
I recommend because it is very ergonomic")</f>
        <v>I am satisfied with the service. Fast and very fluid.
I was able to generate my insurance very quickly thanks to the guidance.
I recommend because it is very ergonomic</v>
      </c>
    </row>
    <row r="236" ht="15.75" customHeight="1">
      <c r="A236" s="2">
        <v>3.0</v>
      </c>
      <c r="B236" s="2" t="s">
        <v>773</v>
      </c>
      <c r="C236" s="2" t="s">
        <v>774</v>
      </c>
      <c r="D236" s="2" t="s">
        <v>231</v>
      </c>
      <c r="E236" s="2" t="s">
        <v>288</v>
      </c>
      <c r="F236" s="2" t="s">
        <v>15</v>
      </c>
      <c r="G236" s="2" t="s">
        <v>775</v>
      </c>
      <c r="H236" s="2" t="s">
        <v>776</v>
      </c>
      <c r="I236" s="2" t="str">
        <f>IFERROR(__xludf.DUMMYFUNCTION("GOOGLETRANSLATE(C236,""fr"",""en"")"),"Bjr my great aunt died on September 15, 2016 Several Cardif VIES insurance contracts, of which I am heritaire up to 1/8 I had to be in charge of the succession of the contacts so that he is getting closer to 18 months after the Death all the documents wer"&amp;"e sent to them in AR and nothing is paid it is scandalous this way of proceeding as much as the notary has to pay all the sums due to the taxes on these life insurance and I even joined the mail the inheritance devolution of way that cardif is really all "&amp;"of the documents but money is still not paid to this day
Given the amounts of premium they made themselves enough money on our back, it is a total of the 2 contracts of 13,6521.21 euros
We have contacted a lawyer and insurance control services
Contract"&amp;" number 1821568 and 1624057
I hope to quickly have your news")</f>
        <v>Bjr my great aunt died on September 15, 2016 Several Cardif VIES insurance contracts, of which I am heritaire up to 1/8 I had to be in charge of the succession of the contacts so that he is getting closer to 18 months after the Death all the documents were sent to them in AR and nothing is paid it is scandalous this way of proceeding as much as the notary has to pay all the sums due to the taxes on these life insurance and I even joined the mail the inheritance devolution of way that cardif is really all of the documents but money is still not paid to this day
Given the amounts of premium they made themselves enough money on our back, it is a total of the 2 contracts of 13,6521.21 euros
We have contacted a lawyer and insurance control services
Contract number 1821568 and 1624057
I hope to quickly have your news</v>
      </c>
    </row>
    <row r="237" ht="15.75" customHeight="1">
      <c r="A237" s="2">
        <v>1.0</v>
      </c>
      <c r="B237" s="2" t="s">
        <v>777</v>
      </c>
      <c r="C237" s="2" t="s">
        <v>778</v>
      </c>
      <c r="D237" s="2" t="s">
        <v>193</v>
      </c>
      <c r="E237" s="2" t="s">
        <v>65</v>
      </c>
      <c r="F237" s="2" t="s">
        <v>15</v>
      </c>
      <c r="G237" s="2" t="s">
        <v>779</v>
      </c>
      <c r="H237" s="2" t="s">
        <v>179</v>
      </c>
      <c r="I237" s="2" t="str">
        <f>IFERROR(__xludf.DUMMYFUNCTION("GOOGLETRANSLATE(C237,""fr"",""en"")"),"I have to pay the school of my children, and I always wait for the payment of the education annuity, no indicated the files
Humanis is a shame
")</f>
        <v>I have to pay the school of my children, and I always wait for the payment of the education annuity, no indicated the files
Humanis is a shame
</v>
      </c>
    </row>
    <row r="238" ht="15.75" customHeight="1">
      <c r="A238" s="2">
        <v>1.0</v>
      </c>
      <c r="B238" s="2" t="s">
        <v>780</v>
      </c>
      <c r="C238" s="2" t="s">
        <v>781</v>
      </c>
      <c r="D238" s="2" t="s">
        <v>13</v>
      </c>
      <c r="E238" s="2" t="s">
        <v>14</v>
      </c>
      <c r="F238" s="2" t="s">
        <v>15</v>
      </c>
      <c r="G238" s="2" t="s">
        <v>730</v>
      </c>
      <c r="H238" s="2" t="s">
        <v>61</v>
      </c>
      <c r="I238" s="2" t="str">
        <f>IFERROR(__xludf.DUMMYFUNCTION("GOOGLETRANSLATE(C238,""fr"",""en"")"),"Hello
I tell you about my own experience and the experiences of people around me ....
Just there is no way to put 0 star ...
We make you believe at the beginning that it is my dear, in reality your insurance price does not evolve over the years ..."&amp;".
Online service, the day you would have a problem or sinister, it's a disaster, each advisor tells you his story, he hangs up on the nose .... Online .... we can't do anything ...
to flee ..... seriously")</f>
        <v>Hello
I tell you about my own experience and the experiences of people around me ....
Just there is no way to put 0 star ...
We make you believe at the beginning that it is my dear, in reality your insurance price does not evolve over the years ....
Online service, the day you would have a problem or sinister, it's a disaster, each advisor tells you his story, he hangs up on the nose .... Online .... we can't do anything ...
to flee ..... seriously</v>
      </c>
    </row>
    <row r="239" ht="15.75" customHeight="1">
      <c r="A239" s="2">
        <v>2.0</v>
      </c>
      <c r="B239" s="2" t="s">
        <v>782</v>
      </c>
      <c r="C239" s="2" t="s">
        <v>783</v>
      </c>
      <c r="D239" s="2" t="s">
        <v>79</v>
      </c>
      <c r="E239" s="2" t="s">
        <v>14</v>
      </c>
      <c r="F239" s="2" t="s">
        <v>15</v>
      </c>
      <c r="G239" s="2" t="s">
        <v>784</v>
      </c>
      <c r="H239" s="2" t="s">
        <v>195</v>
      </c>
      <c r="I239" s="2" t="str">
        <f>IFERROR(__xludf.DUMMYFUNCTION("GOOGLETRANSLATE(C239,""fr"",""en"")"),"It is an insurance with a lack of extreme professionalism No tact of respect by hanging up on the nose do not know how to open emails and attachments do not know how to warn you if a paper is missing a lot your access to the site like that and in addition"&amp;" Of that cuts you off the insurance without warning you I do not recommend this insurance they are at the limit of ..... I was driving without insurance, he had cut it to me while all the papers because supposedly He couldn't open the attachments that I h"&amp;"ad sent well I was never informed.")</f>
        <v>It is an insurance with a lack of extreme professionalism No tact of respect by hanging up on the nose do not know how to open emails and attachments do not know how to warn you if a paper is missing a lot your access to the site like that and in addition Of that cuts you off the insurance without warning you I do not recommend this insurance they are at the limit of ..... I was driving without insurance, he had cut it to me while all the papers because supposedly He couldn't open the attachments that I had sent well I was never informed.</v>
      </c>
    </row>
    <row r="240" ht="15.75" customHeight="1">
      <c r="A240" s="2">
        <v>4.0</v>
      </c>
      <c r="B240" s="2" t="s">
        <v>785</v>
      </c>
      <c r="C240" s="2" t="s">
        <v>786</v>
      </c>
      <c r="D240" s="2" t="s">
        <v>13</v>
      </c>
      <c r="E240" s="2" t="s">
        <v>14</v>
      </c>
      <c r="F240" s="2" t="s">
        <v>15</v>
      </c>
      <c r="G240" s="2" t="s">
        <v>787</v>
      </c>
      <c r="H240" s="2" t="s">
        <v>52</v>
      </c>
      <c r="I240" s="2" t="str">
        <f>IFERROR(__xludf.DUMMYFUNCTION("GOOGLETRANSLATE(C240,""fr"",""en"")"),"I am satisfied with the price and the service, I am already a home insurance customer and I highly recommend direct insurance to all my loved ones and all my friends and work colleagues")</f>
        <v>I am satisfied with the price and the service, I am already a home insurance customer and I highly recommend direct insurance to all my loved ones and all my friends and work colleagues</v>
      </c>
    </row>
    <row r="241" ht="15.75" customHeight="1">
      <c r="A241" s="2">
        <v>5.0</v>
      </c>
      <c r="B241" s="2" t="s">
        <v>788</v>
      </c>
      <c r="C241" s="2" t="s">
        <v>789</v>
      </c>
      <c r="D241" s="2" t="s">
        <v>87</v>
      </c>
      <c r="E241" s="2" t="s">
        <v>14</v>
      </c>
      <c r="F241" s="2" t="s">
        <v>15</v>
      </c>
      <c r="G241" s="2" t="s">
        <v>169</v>
      </c>
      <c r="H241" s="2" t="s">
        <v>169</v>
      </c>
      <c r="I241" s="2" t="str">
        <f>IFERROR(__xludf.DUMMYFUNCTION("GOOGLETRANSLATE(C241,""fr"",""en"")"),"I am satisfied with the service. E The price suits me, this is the cheapest that I find thanks to your service I find cheaper than in the other insurance thank you")</f>
        <v>I am satisfied with the service. E The price suits me, this is the cheapest that I find thanks to your service I find cheaper than in the other insurance thank you</v>
      </c>
    </row>
    <row r="242" ht="15.75" customHeight="1">
      <c r="A242" s="2">
        <v>1.0</v>
      </c>
      <c r="B242" s="2" t="s">
        <v>790</v>
      </c>
      <c r="C242" s="2" t="s">
        <v>791</v>
      </c>
      <c r="D242" s="2" t="s">
        <v>45</v>
      </c>
      <c r="E242" s="2" t="s">
        <v>14</v>
      </c>
      <c r="F242" s="2" t="s">
        <v>15</v>
      </c>
      <c r="G242" s="2" t="s">
        <v>792</v>
      </c>
      <c r="H242" s="2" t="s">
        <v>150</v>
      </c>
      <c r="I242" s="2" t="str">
        <f>IFERROR(__xludf.DUMMYFUNCTION("GOOGLETRANSLATE(C242,""fr"",""en"")"),"I pick up an almond after the other of 35car the vignette dates from March 31
person to be neither the nor customer service to date
")</f>
        <v>I pick up an almond after the other of 35car the vignette dates from March 31
person to be neither the nor customer service to date
</v>
      </c>
    </row>
    <row r="243" ht="15.75" customHeight="1">
      <c r="A243" s="2">
        <v>1.0</v>
      </c>
      <c r="B243" s="2" t="s">
        <v>793</v>
      </c>
      <c r="C243" s="2" t="s">
        <v>794</v>
      </c>
      <c r="D243" s="2" t="s">
        <v>795</v>
      </c>
      <c r="E243" s="2" t="s">
        <v>246</v>
      </c>
      <c r="F243" s="2" t="s">
        <v>15</v>
      </c>
      <c r="G243" s="2" t="s">
        <v>796</v>
      </c>
      <c r="H243" s="2" t="s">
        <v>67</v>
      </c>
      <c r="I243" s="2" t="str">
        <f>IFERROR(__xludf.DUMMYFUNCTION("GOOGLETRANSLATE(C243,""fr"",""en"")"),"I asked to terminate before the anniversary of my contract by specifying that I agree to settle compensation because I really tired of this insurance and well he replied that I could not leave the Anniversary date even if I pay compensation. Debiles of de"&amp;"biles and it is really to take people for IMBECILES ladies gentlemen flee this insurance there are many better")</f>
        <v>I asked to terminate before the anniversary of my contract by specifying that I agree to settle compensation because I really tired of this insurance and well he replied that I could not leave the Anniversary date even if I pay compensation. Debiles of debiles and it is really to take people for IMBECILES ladies gentlemen flee this insurance there are many better</v>
      </c>
    </row>
    <row r="244" ht="15.75" customHeight="1">
      <c r="A244" s="2">
        <v>1.0</v>
      </c>
      <c r="B244" s="2" t="s">
        <v>797</v>
      </c>
      <c r="C244" s="2" t="s">
        <v>798</v>
      </c>
      <c r="D244" s="2" t="s">
        <v>13</v>
      </c>
      <c r="E244" s="2" t="s">
        <v>14</v>
      </c>
      <c r="F244" s="2" t="s">
        <v>15</v>
      </c>
      <c r="G244" s="2" t="s">
        <v>799</v>
      </c>
      <c r="H244" s="2" t="s">
        <v>61</v>
      </c>
      <c r="I244" s="2" t="str">
        <f>IFERROR(__xludf.DUMMYFUNCTION("GOOGLETRANSLATE(C244,""fr"",""en"")"),"I am satisfied with your service as well as the prices that are practiced.
The speed of your after -sales service is also pleasant and allows a certain comfort.")</f>
        <v>I am satisfied with your service as well as the prices that are practiced.
The speed of your after -sales service is also pleasant and allows a certain comfort.</v>
      </c>
    </row>
    <row r="245" ht="15.75" customHeight="1">
      <c r="A245" s="2">
        <v>1.0</v>
      </c>
      <c r="B245" s="2" t="s">
        <v>800</v>
      </c>
      <c r="C245" s="2" t="s">
        <v>801</v>
      </c>
      <c r="D245" s="2" t="s">
        <v>375</v>
      </c>
      <c r="E245" s="2" t="s">
        <v>65</v>
      </c>
      <c r="F245" s="2" t="s">
        <v>15</v>
      </c>
      <c r="G245" s="2" t="s">
        <v>802</v>
      </c>
      <c r="H245" s="2" t="s">
        <v>589</v>
      </c>
      <c r="I245" s="2" t="str">
        <f>IFERROR(__xludf.DUMMYFUNCTION("GOOGLETRANSLATE(C245,""fr"",""en"")"),"The claims and reimbursements are very long, they require supporting documents and drag the reimbursements.")</f>
        <v>The claims and reimbursements are very long, they require supporting documents and drag the reimbursements.</v>
      </c>
    </row>
    <row r="246" ht="15.75" customHeight="1">
      <c r="A246" s="2">
        <v>1.0</v>
      </c>
      <c r="B246" s="2" t="s">
        <v>803</v>
      </c>
      <c r="C246" s="2" t="s">
        <v>804</v>
      </c>
      <c r="D246" s="2" t="s">
        <v>277</v>
      </c>
      <c r="E246" s="2" t="s">
        <v>55</v>
      </c>
      <c r="F246" s="2" t="s">
        <v>15</v>
      </c>
      <c r="G246" s="2" t="s">
        <v>805</v>
      </c>
      <c r="H246" s="2" t="s">
        <v>52</v>
      </c>
      <c r="I246" s="2" t="str">
        <f>IFERROR(__xludf.DUMMYFUNCTION("GOOGLETRANSLATE(C246,""fr"",""en"")"),"Hello
One of my solar collectors has been damaged by frost. I took the solar panel insurance option but they refuse to take care of this disaster on the grounds that I have not declared my solar panels.
If you have had the same problem or if you know th"&amp;"e workings of their contracts, thank you for letting me know.
")</f>
        <v>Hello
One of my solar collectors has been damaged by frost. I took the solar panel insurance option but they refuse to take care of this disaster on the grounds that I have not declared my solar panels.
If you have had the same problem or if you know the workings of their contracts, thank you for letting me know.
</v>
      </c>
    </row>
    <row r="247" ht="15.75" customHeight="1">
      <c r="A247" s="2">
        <v>2.0</v>
      </c>
      <c r="B247" s="2" t="s">
        <v>806</v>
      </c>
      <c r="C247" s="2" t="s">
        <v>807</v>
      </c>
      <c r="D247" s="2" t="s">
        <v>13</v>
      </c>
      <c r="E247" s="2" t="s">
        <v>14</v>
      </c>
      <c r="F247" s="2" t="s">
        <v>15</v>
      </c>
      <c r="G247" s="2" t="s">
        <v>808</v>
      </c>
      <c r="H247" s="2" t="s">
        <v>110</v>
      </c>
      <c r="I247" s="2" t="str">
        <f>IFERROR(__xludf.DUMMYFUNCTION("GOOGLETRANSLATE(C247,""fr"",""en"")"),"I am not yet assured.
I just bought my first car and looking for an insurance company that can meet my needs. I am a foreign student, with a foreign driving license")</f>
        <v>I am not yet assured.
I just bought my first car and looking for an insurance company that can meet my needs. I am a foreign student, with a foreign driving license</v>
      </c>
    </row>
    <row r="248" ht="15.75" customHeight="1">
      <c r="A248" s="2">
        <v>1.0</v>
      </c>
      <c r="B248" s="2" t="s">
        <v>809</v>
      </c>
      <c r="C248" s="2" t="s">
        <v>810</v>
      </c>
      <c r="D248" s="2" t="s">
        <v>36</v>
      </c>
      <c r="E248" s="2" t="s">
        <v>55</v>
      </c>
      <c r="F248" s="2" t="s">
        <v>15</v>
      </c>
      <c r="G248" s="2" t="s">
        <v>811</v>
      </c>
      <c r="H248" s="2" t="s">
        <v>213</v>
      </c>
      <c r="I248" s="2" t="str">
        <f>IFERROR(__xludf.DUMMYFUNCTION("GOOGLETRANSLATE(C248,""fr"",""en"")"),"VERY DISAPPOINTED!!! Victim of a door break -in in the middle of the day and supposedly ensuring by the MAIF.
He calls it the serenity contract !!!
Support and evidence that you will provide will never be taken into account.
The expert does not even mo"&amp;"ve. A replacement quote by the locksmith hugged Maif. Too expensive.
The expert mandates a company to estimate the repair cost with wood or resin glue.
There is no question of replacing identically but of patching up your door and built at a lower cost."&amp;"
The structure is damaged by the break -in but also by the locksmith who attacked the door to the wood chisel and at the foot of the doe. The expert will negotiate with you a few hundred euros to silence and resign you. Successive managers will note your"&amp;" comments in your file but that will not go further.
Although they are committed to providing you with an answer and following the file, we are disappointed. I have been a member for more than 20 years - is the concern of the Maif group is no longer to k"&amp;"eep its commitments.
The meaning and quality of the service are lost.")</f>
        <v>VERY DISAPPOINTED!!! Victim of a door break -in in the middle of the day and supposedly ensuring by the MAIF.
He calls it the serenity contract !!!
Support and evidence that you will provide will never be taken into account.
The expert does not even move. A replacement quote by the locksmith hugged Maif. Too expensive.
The expert mandates a company to estimate the repair cost with wood or resin glue.
There is no question of replacing identically but of patching up your door and built at a lower cost.
The structure is damaged by the break -in but also by the locksmith who attacked the door to the wood chisel and at the foot of the doe. The expert will negotiate with you a few hundred euros to silence and resign you. Successive managers will note your comments in your file but that will not go further.
Although they are committed to providing you with an answer and following the file, we are disappointed. I have been a member for more than 20 years - is the concern of the Maif group is no longer to keep its commitments.
The meaning and quality of the service are lost.</v>
      </c>
    </row>
    <row r="249" ht="15.75" customHeight="1">
      <c r="A249" s="2">
        <v>5.0</v>
      </c>
      <c r="B249" s="2" t="s">
        <v>812</v>
      </c>
      <c r="C249" s="2" t="s">
        <v>813</v>
      </c>
      <c r="D249" s="2" t="s">
        <v>87</v>
      </c>
      <c r="E249" s="2" t="s">
        <v>14</v>
      </c>
      <c r="F249" s="2" t="s">
        <v>15</v>
      </c>
      <c r="G249" s="2" t="s">
        <v>814</v>
      </c>
      <c r="H249" s="2" t="s">
        <v>103</v>
      </c>
      <c r="I249" s="2" t="str">
        <f>IFERROR(__xludf.DUMMYFUNCTION("GOOGLETRANSLATE(C249,""fr"",""en"")"),"No complaints, insurance with very good warranties guaranteed/price, listening customer service, easy -to -carry out procedures")</f>
        <v>No complaints, insurance with very good warranties guaranteed/price, listening customer service, easy -to -carry out procedures</v>
      </c>
    </row>
    <row r="250" ht="15.75" customHeight="1">
      <c r="A250" s="2">
        <v>4.0</v>
      </c>
      <c r="B250" s="2" t="s">
        <v>815</v>
      </c>
      <c r="C250" s="2" t="s">
        <v>816</v>
      </c>
      <c r="D250" s="2" t="s">
        <v>87</v>
      </c>
      <c r="E250" s="2" t="s">
        <v>14</v>
      </c>
      <c r="F250" s="2" t="s">
        <v>15</v>
      </c>
      <c r="G250" s="2" t="s">
        <v>256</v>
      </c>
      <c r="H250" s="2" t="s">
        <v>52</v>
      </c>
      <c r="I250" s="2" t="str">
        <f>IFERROR(__xludf.DUMMYFUNCTION("GOOGLETRANSLATE(C250,""fr"",""en"")"),"I never had a claim so I can't give an objective opinion.
The prices are well placed in relation to the competition it is for this reason that I chose ""the olive tree""")</f>
        <v>I never had a claim so I can't give an objective opinion.
The prices are well placed in relation to the competition it is for this reason that I chose "the olive tree"</v>
      </c>
    </row>
    <row r="251" ht="15.75" customHeight="1">
      <c r="A251" s="2">
        <v>2.0</v>
      </c>
      <c r="B251" s="2" t="s">
        <v>817</v>
      </c>
      <c r="C251" s="2" t="s">
        <v>818</v>
      </c>
      <c r="D251" s="2" t="s">
        <v>13</v>
      </c>
      <c r="E251" s="2" t="s">
        <v>14</v>
      </c>
      <c r="F251" s="2" t="s">
        <v>15</v>
      </c>
      <c r="G251" s="2" t="s">
        <v>819</v>
      </c>
      <c r="H251" s="2" t="s">
        <v>61</v>
      </c>
      <c r="I251" s="2" t="str">
        <f>IFERROR(__xludf.DUMMYFUNCTION("GOOGLETRANSLATE(C251,""fr"",""en"")"),"Not satisfied with the advice, not satisfied with the price, not satisfied. I leave insurance for my car and I will also leave for the home")</f>
        <v>Not satisfied with the advice, not satisfied with the price, not satisfied. I leave insurance for my car and I will also leave for the home</v>
      </c>
    </row>
    <row r="252" ht="15.75" customHeight="1">
      <c r="A252" s="2">
        <v>1.0</v>
      </c>
      <c r="B252" s="2" t="s">
        <v>820</v>
      </c>
      <c r="C252" s="2" t="s">
        <v>821</v>
      </c>
      <c r="D252" s="2" t="s">
        <v>231</v>
      </c>
      <c r="E252" s="2" t="s">
        <v>232</v>
      </c>
      <c r="F252" s="2" t="s">
        <v>15</v>
      </c>
      <c r="G252" s="2" t="s">
        <v>761</v>
      </c>
      <c r="H252" s="2" t="s">
        <v>761</v>
      </c>
      <c r="I252" s="2" t="str">
        <f>IFERROR(__xludf.DUMMYFUNCTION("GOOGLETRANSLATE(C252,""fr"",""en"")"),"No response from them after 15 days despite a recommend.
I think that if we do not pay on time we are terminated
But in the other direction ???
Ah you may have to contact the upper authorities")</f>
        <v>No response from them after 15 days despite a recommend.
I think that if we do not pay on time we are terminated
But in the other direction ???
Ah you may have to contact the upper authorities</v>
      </c>
    </row>
    <row r="253" ht="15.75" customHeight="1">
      <c r="A253" s="2">
        <v>1.0</v>
      </c>
      <c r="B253" s="2" t="s">
        <v>822</v>
      </c>
      <c r="C253" s="2" t="s">
        <v>823</v>
      </c>
      <c r="D253" s="2" t="s">
        <v>36</v>
      </c>
      <c r="E253" s="2" t="s">
        <v>14</v>
      </c>
      <c r="F253" s="2" t="s">
        <v>15</v>
      </c>
      <c r="G253" s="2" t="s">
        <v>824</v>
      </c>
      <c r="H253" s="2" t="s">
        <v>761</v>
      </c>
      <c r="I253" s="2" t="str">
        <f>IFERROR(__xludf.DUMMYFUNCTION("GOOGLETRANSLATE(C253,""fr"",""en"")"),"I am extremely dissatisfied with this insurer who is proclaimed militant mutualist. We have everything to gain confidence, the last advertising slogan of the Maïf indicates me. This insurer plays on strong words, militant, mutualist and confidence to bett"&amp;"er deceive.")</f>
        <v>I am extremely dissatisfied with this insurer who is proclaimed militant mutualist. We have everything to gain confidence, the last advertising slogan of the Maïf indicates me. This insurer plays on strong words, militant, mutualist and confidence to better deceive.</v>
      </c>
    </row>
    <row r="254" ht="15.75" customHeight="1">
      <c r="A254" s="2">
        <v>4.0</v>
      </c>
      <c r="B254" s="2" t="s">
        <v>825</v>
      </c>
      <c r="C254" s="2" t="s">
        <v>826</v>
      </c>
      <c r="D254" s="2" t="s">
        <v>30</v>
      </c>
      <c r="E254" s="2" t="s">
        <v>31</v>
      </c>
      <c r="F254" s="2" t="s">
        <v>15</v>
      </c>
      <c r="G254" s="2" t="s">
        <v>827</v>
      </c>
      <c r="H254" s="2" t="s">
        <v>190</v>
      </c>
      <c r="I254" s="2" t="str">
        <f>IFERROR(__xludf.DUMMYFUNCTION("GOOGLETRANSLATE(C254,""fr"",""en"")"),"Serious mutual, satisfied, nothing to report, pleasant person at the phone, thank you for your welcome and your recall
Cordially
Mrs Cathy Boissonnade")</f>
        <v>Serious mutual, satisfied, nothing to report, pleasant person at the phone, thank you for your welcome and your recall
Cordially
Mrs Cathy Boissonnade</v>
      </c>
    </row>
    <row r="255" ht="15.75" customHeight="1">
      <c r="A255" s="2">
        <v>4.0</v>
      </c>
      <c r="B255" s="2" t="s">
        <v>828</v>
      </c>
      <c r="C255" s="2" t="s">
        <v>829</v>
      </c>
      <c r="D255" s="2" t="s">
        <v>13</v>
      </c>
      <c r="E255" s="2" t="s">
        <v>14</v>
      </c>
      <c r="F255" s="2" t="s">
        <v>15</v>
      </c>
      <c r="G255" s="2" t="s">
        <v>379</v>
      </c>
      <c r="H255" s="2" t="s">
        <v>42</v>
      </c>
      <c r="I255" s="2" t="str">
        <f>IFERROR(__xludf.DUMMYFUNCTION("GOOGLETRANSLATE(C255,""fr"",""en"")"),"I am satisfied with your service if it is untimely pop ups in fullness concerns satisfaction
The prices are interesting and competitive")</f>
        <v>I am satisfied with your service if it is untimely pop ups in fullness concerns satisfaction
The prices are interesting and competitive</v>
      </c>
    </row>
    <row r="256" ht="15.75" customHeight="1">
      <c r="A256" s="2">
        <v>5.0</v>
      </c>
      <c r="B256" s="2" t="s">
        <v>830</v>
      </c>
      <c r="C256" s="2" t="s">
        <v>831</v>
      </c>
      <c r="D256" s="2" t="s">
        <v>832</v>
      </c>
      <c r="E256" s="2" t="s">
        <v>232</v>
      </c>
      <c r="F256" s="2" t="s">
        <v>15</v>
      </c>
      <c r="G256" s="2" t="s">
        <v>833</v>
      </c>
      <c r="H256" s="2" t="s">
        <v>110</v>
      </c>
      <c r="I256" s="2" t="str">
        <f>IFERROR(__xludf.DUMMYFUNCTION("GOOGLETRANSLATE(C256,""fr"",""en"")"),"Pleasant and reassuring telephone contact. The proposal seems honest, the procedures relatively simple. We bet that my satisfaction last over time!")</f>
        <v>Pleasant and reassuring telephone contact. The proposal seems honest, the procedures relatively simple. We bet that my satisfaction last over time!</v>
      </c>
    </row>
    <row r="257" ht="15.75" customHeight="1">
      <c r="A257" s="2">
        <v>4.0</v>
      </c>
      <c r="B257" s="2" t="s">
        <v>834</v>
      </c>
      <c r="C257" s="2" t="s">
        <v>835</v>
      </c>
      <c r="D257" s="2" t="s">
        <v>201</v>
      </c>
      <c r="E257" s="2" t="s">
        <v>21</v>
      </c>
      <c r="F257" s="2" t="s">
        <v>15</v>
      </c>
      <c r="G257" s="2" t="s">
        <v>836</v>
      </c>
      <c r="H257" s="2" t="s">
        <v>179</v>
      </c>
      <c r="I257" s="2" t="str">
        <f>IFERROR(__xludf.DUMMYFUNCTION("GOOGLETRANSLATE(C257,""fr"",""en"")"),"Very responsive nobody leaves you unanswered to your question, they can even call you following your email to explain if we do not find or we do not understand")</f>
        <v>Very responsive nobody leaves you unanswered to your question, they can even call you following your email to explain if we do not find or we do not understand</v>
      </c>
    </row>
    <row r="258" ht="15.75" customHeight="1">
      <c r="A258" s="2">
        <v>4.0</v>
      </c>
      <c r="B258" s="2" t="s">
        <v>837</v>
      </c>
      <c r="C258" s="2" t="s">
        <v>838</v>
      </c>
      <c r="D258" s="2" t="s">
        <v>87</v>
      </c>
      <c r="E258" s="2" t="s">
        <v>14</v>
      </c>
      <c r="F258" s="2" t="s">
        <v>15</v>
      </c>
      <c r="G258" s="2" t="s">
        <v>839</v>
      </c>
      <c r="H258" s="2" t="s">
        <v>110</v>
      </c>
      <c r="I258" s="2" t="str">
        <f>IFERROR(__xludf.DUMMYFUNCTION("GOOGLETRANSLATE(C258,""fr"",""en"")"),"Simple service to implement, interesting price hoping to have never to try your reimbursement services for accidents in the future")</f>
        <v>Simple service to implement, interesting price hoping to have never to try your reimbursement services for accidents in the future</v>
      </c>
    </row>
    <row r="259" ht="15.75" customHeight="1">
      <c r="A259" s="2">
        <v>4.0</v>
      </c>
      <c r="B259" s="2" t="s">
        <v>840</v>
      </c>
      <c r="C259" s="2" t="s">
        <v>841</v>
      </c>
      <c r="D259" s="2" t="s">
        <v>13</v>
      </c>
      <c r="E259" s="2" t="s">
        <v>14</v>
      </c>
      <c r="F259" s="2" t="s">
        <v>15</v>
      </c>
      <c r="G259" s="2" t="s">
        <v>842</v>
      </c>
      <c r="H259" s="2" t="s">
        <v>190</v>
      </c>
      <c r="I259" s="2" t="str">
        <f>IFERROR(__xludf.DUMMYFUNCTION("GOOGLETRANSLATE(C259,""fr"",""en"")"),"Some elements are missing and deserves more information. It is quite clear overall. Can be lower than elsewhere. To see in practice reactivity")</f>
        <v>Some elements are missing and deserves more information. It is quite clear overall. Can be lower than elsewhere. To see in practice reactivity</v>
      </c>
    </row>
    <row r="260" ht="15.75" customHeight="1">
      <c r="A260" s="2">
        <v>3.0</v>
      </c>
      <c r="B260" s="2" t="s">
        <v>843</v>
      </c>
      <c r="C260" s="2" t="s">
        <v>844</v>
      </c>
      <c r="D260" s="2" t="s">
        <v>45</v>
      </c>
      <c r="E260" s="2" t="s">
        <v>14</v>
      </c>
      <c r="F260" s="2" t="s">
        <v>15</v>
      </c>
      <c r="G260" s="2" t="s">
        <v>845</v>
      </c>
      <c r="H260" s="2" t="s">
        <v>67</v>
      </c>
      <c r="I260" s="2" t="str">
        <f>IFERROR(__xludf.DUMMYFUNCTION("GOOGLETRANSLATE(C260,""fr"",""en"")"),"Hello, Suite permit suspension for excess speed, I bought a scooter to go to work (15km). The Macif did not wish to make sure despite 26 years of license without any responsible accident! A balance of more than 8 points on my license. Lavable and unworthy"&amp;" of insurance which claims, in its pubs, to be present especially during the bad blows of life. I changed my insurance: confidence is lost forever.")</f>
        <v>Hello, Suite permit suspension for excess speed, I bought a scooter to go to work (15km). The Macif did not wish to make sure despite 26 years of license without any responsible accident! A balance of more than 8 points on my license. Lavable and unworthy of insurance which claims, in its pubs, to be present especially during the bad blows of life. I changed my insurance: confidence is lost forever.</v>
      </c>
    </row>
    <row r="261" ht="15.75" customHeight="1">
      <c r="A261" s="2">
        <v>4.0</v>
      </c>
      <c r="B261" s="2" t="s">
        <v>846</v>
      </c>
      <c r="C261" s="2" t="s">
        <v>847</v>
      </c>
      <c r="D261" s="2" t="s">
        <v>13</v>
      </c>
      <c r="E261" s="2" t="s">
        <v>14</v>
      </c>
      <c r="F261" s="2" t="s">
        <v>15</v>
      </c>
      <c r="G261" s="2" t="s">
        <v>396</v>
      </c>
      <c r="H261" s="2" t="s">
        <v>209</v>
      </c>
      <c r="I261" s="2" t="str">
        <f>IFERROR(__xludf.DUMMYFUNCTION("GOOGLETRANSLATE(C261,""fr"",""en"")"),"Satisfied since the first contract. They can easily be reached. Complete and easy -to -use personal space. Simple, fast and efficient if necessary.")</f>
        <v>Satisfied since the first contract. They can easily be reached. Complete and easy -to -use personal space. Simple, fast and efficient if necessary.</v>
      </c>
    </row>
    <row r="262" ht="15.75" customHeight="1">
      <c r="A262" s="2">
        <v>2.0</v>
      </c>
      <c r="B262" s="2" t="s">
        <v>848</v>
      </c>
      <c r="C262" s="2" t="s">
        <v>849</v>
      </c>
      <c r="D262" s="2" t="s">
        <v>79</v>
      </c>
      <c r="E262" s="2" t="s">
        <v>14</v>
      </c>
      <c r="F262" s="2" t="s">
        <v>15</v>
      </c>
      <c r="G262" s="2" t="s">
        <v>850</v>
      </c>
      <c r="H262" s="2" t="s">
        <v>851</v>
      </c>
      <c r="I262" s="2" t="str">
        <f>IFERROR(__xludf.DUMMYFUNCTION("GOOGLETRANSLATE(C262,""fr"",""en"")"),"Hello client number 247224
I have subscribed to internet insurance and they need a contract number for me, it is a cancellation I have paid 146 € for insurance for 2 months excluding they do not want to reimburse me for x reasons. To flee
")</f>
        <v>Hello client number 247224
I have subscribed to internet insurance and they need a contract number for me, it is a cancellation I have paid 146 € for insurance for 2 months excluding they do not want to reimburse me for x reasons. To flee
</v>
      </c>
    </row>
    <row r="263" ht="15.75" customHeight="1">
      <c r="A263" s="2">
        <v>5.0</v>
      </c>
      <c r="B263" s="2" t="s">
        <v>852</v>
      </c>
      <c r="C263" s="2" t="s">
        <v>853</v>
      </c>
      <c r="D263" s="2" t="s">
        <v>164</v>
      </c>
      <c r="E263" s="2" t="s">
        <v>14</v>
      </c>
      <c r="F263" s="2" t="s">
        <v>15</v>
      </c>
      <c r="G263" s="2" t="s">
        <v>854</v>
      </c>
      <c r="H263" s="2" t="s">
        <v>473</v>
      </c>
      <c r="I263" s="2" t="str">
        <f>IFERROR(__xludf.DUMMYFUNCTION("GOOGLETRANSLATE(C263,""fr"",""en"")"),"Insured for 8 years at the Matmut. Always unbeatable on prices. After having an accident with a boar, I could noticed the quality of the Matmut; Direct management and change of all parts, even the rim striped by the mud guard fell on it. Really very happy"&amp;" with this insurance. I recommend.")</f>
        <v>Insured for 8 years at the Matmut. Always unbeatable on prices. After having an accident with a boar, I could noticed the quality of the Matmut; Direct management and change of all parts, even the rim striped by the mud guard fell on it. Really very happy with this insurance. I recommend.</v>
      </c>
    </row>
    <row r="264" ht="15.75" customHeight="1">
      <c r="A264" s="2">
        <v>2.0</v>
      </c>
      <c r="B264" s="2" t="s">
        <v>855</v>
      </c>
      <c r="C264" s="2" t="s">
        <v>856</v>
      </c>
      <c r="D264" s="2" t="s">
        <v>87</v>
      </c>
      <c r="E264" s="2" t="s">
        <v>14</v>
      </c>
      <c r="F264" s="2" t="s">
        <v>15</v>
      </c>
      <c r="G264" s="2" t="s">
        <v>857</v>
      </c>
      <c r="H264" s="2" t="s">
        <v>89</v>
      </c>
      <c r="I264" s="2" t="str">
        <f>IFERROR(__xludf.DUMMYFUNCTION("GOOGLETRANSLATE(C264,""fr"",""en"")"),"Poor claims service, no professionalism. I have a law in progress 2019226531, management is a disaster, considerable delay and unpleasant reception")</f>
        <v>Poor claims service, no professionalism. I have a law in progress 2019226531, management is a disaster, considerable delay and unpleasant reception</v>
      </c>
    </row>
    <row r="265" ht="15.75" customHeight="1">
      <c r="A265" s="2">
        <v>3.0</v>
      </c>
      <c r="B265" s="2" t="s">
        <v>858</v>
      </c>
      <c r="C265" s="2" t="s">
        <v>859</v>
      </c>
      <c r="D265" s="2" t="s">
        <v>164</v>
      </c>
      <c r="E265" s="2" t="s">
        <v>55</v>
      </c>
      <c r="F265" s="2" t="s">
        <v>15</v>
      </c>
      <c r="G265" s="2" t="s">
        <v>860</v>
      </c>
      <c r="H265" s="2" t="s">
        <v>861</v>
      </c>
      <c r="I265" s="2" t="str">
        <f>IFERROR(__xludf.DUMMYFUNCTION("GOOGLETRANSLATE(C265,""fr"",""en"")"),"We were robbed and during the surprise declaration the contract we signed is not the one in progress: the advisor made us sign a lower contract in warranty. Results compensation capped at 1000 euros in the event of a flight offered while our real contract"&amp;" guaranteed us a ceiling at 10,000 euros! This error is notified black on white on their internal document but nothing to do! It will be almost a year and since then he has been struggling to courier in Courier, no understanding, that contempt, they are b"&amp;"ad times, treacherous, sly, deceitful, we have used the mediator, the case is still in progress ... insurance to avoid, to flee absolutely !!! The matmut she assures that slab !!!!!")</f>
        <v>We were robbed and during the surprise declaration the contract we signed is not the one in progress: the advisor made us sign a lower contract in warranty. Results compensation capped at 1000 euros in the event of a flight offered while our real contract guaranteed us a ceiling at 10,000 euros! This error is notified black on white on their internal document but nothing to do! It will be almost a year and since then he has been struggling to courier in Courier, no understanding, that contempt, they are bad times, treacherous, sly, deceitful, we have used the mediator, the case is still in progress ... insurance to avoid, to flee absolutely !!! The matmut she assures that slab !!!!!</v>
      </c>
    </row>
    <row r="266" ht="15.75" customHeight="1">
      <c r="A266" s="2">
        <v>4.0</v>
      </c>
      <c r="B266" s="2" t="s">
        <v>862</v>
      </c>
      <c r="C266" s="2" t="s">
        <v>863</v>
      </c>
      <c r="D266" s="2" t="s">
        <v>87</v>
      </c>
      <c r="E266" s="2" t="s">
        <v>14</v>
      </c>
      <c r="F266" s="2" t="s">
        <v>15</v>
      </c>
      <c r="G266" s="2" t="s">
        <v>864</v>
      </c>
      <c r="H266" s="2" t="s">
        <v>169</v>
      </c>
      <c r="I266" s="2" t="str">
        <f>IFERROR(__xludf.DUMMYFUNCTION("GOOGLETRANSLATE(C266,""fr"",""en"")"),"Satisfied with my Telephonic Exchange because I was well informed. It was clear and designed, very well explained. Pleasant person and listening, everything has been well explained.")</f>
        <v>Satisfied with my Telephonic Exchange because I was well informed. It was clear and designed, very well explained. Pleasant person and listening, everything has been well explained.</v>
      </c>
    </row>
    <row r="267" ht="15.75" customHeight="1">
      <c r="A267" s="2">
        <v>3.0</v>
      </c>
      <c r="B267" s="2" t="s">
        <v>865</v>
      </c>
      <c r="C267" s="2" t="s">
        <v>866</v>
      </c>
      <c r="D267" s="2" t="s">
        <v>13</v>
      </c>
      <c r="E267" s="2" t="s">
        <v>14</v>
      </c>
      <c r="F267" s="2" t="s">
        <v>15</v>
      </c>
      <c r="G267" s="2" t="s">
        <v>867</v>
      </c>
      <c r="H267" s="2" t="s">
        <v>42</v>
      </c>
      <c r="I267" s="2" t="str">
        <f>IFERROR(__xludf.DUMMYFUNCTION("GOOGLETRANSLATE(C267,""fr"",""en"")"),"Well I am satisfied with the service
By cons pay 2 months in advance is difficult to and the sum
Is important for the rest it is competitive and rapude")</f>
        <v>Well I am satisfied with the service
By cons pay 2 months in advance is difficult to and the sum
Is important for the rest it is competitive and rapude</v>
      </c>
    </row>
    <row r="268" ht="15.75" customHeight="1">
      <c r="A268" s="2">
        <v>5.0</v>
      </c>
      <c r="B268" s="2" t="s">
        <v>868</v>
      </c>
      <c r="C268" s="2" t="s">
        <v>869</v>
      </c>
      <c r="D268" s="2" t="s">
        <v>74</v>
      </c>
      <c r="E268" s="2" t="s">
        <v>14</v>
      </c>
      <c r="F268" s="2" t="s">
        <v>15</v>
      </c>
      <c r="G268" s="2" t="s">
        <v>550</v>
      </c>
      <c r="H268" s="2" t="s">
        <v>42</v>
      </c>
      <c r="I268" s="2" t="str">
        <f>IFERROR(__xludf.DUMMYFUNCTION("GOOGLETRANSLATE(C268,""fr"",""en"")"),"Good value for money, customer service is reliable and attentive and responsive.
Speed ​​of receipt of supporting documents.
I am very satisfied with this agency.")</f>
        <v>Good value for money, customer service is reliable and attentive and responsive.
Speed ​​of receipt of supporting documents.
I am very satisfied with this agency.</v>
      </c>
    </row>
    <row r="269" ht="15.75" customHeight="1">
      <c r="A269" s="2">
        <v>1.0</v>
      </c>
      <c r="B269" s="2" t="s">
        <v>870</v>
      </c>
      <c r="C269" s="2" t="s">
        <v>871</v>
      </c>
      <c r="D269" s="2" t="s">
        <v>156</v>
      </c>
      <c r="E269" s="2" t="s">
        <v>31</v>
      </c>
      <c r="F269" s="2" t="s">
        <v>15</v>
      </c>
      <c r="G269" s="2" t="s">
        <v>872</v>
      </c>
      <c r="H269" s="2" t="s">
        <v>209</v>
      </c>
      <c r="I269" s="2" t="str">
        <f>IFERROR(__xludf.DUMMYFUNCTION("GOOGLETRANSLATE(C269,""fr"",""en"")"),"I am nice, if it was possible, I would put the note of 0 !!!!! flee this mutual !!!!!!!!!! ..... !!")</f>
        <v>I am nice, if it was possible, I would put the note of 0 !!!!! flee this mutual !!!!!!!!!! ..... !!</v>
      </c>
    </row>
    <row r="270" ht="15.75" customHeight="1">
      <c r="A270" s="2">
        <v>4.0</v>
      </c>
      <c r="B270" s="2" t="s">
        <v>873</v>
      </c>
      <c r="C270" s="2" t="s">
        <v>874</v>
      </c>
      <c r="D270" s="2" t="s">
        <v>237</v>
      </c>
      <c r="E270" s="2" t="s">
        <v>14</v>
      </c>
      <c r="F270" s="2" t="s">
        <v>15</v>
      </c>
      <c r="G270" s="2" t="s">
        <v>875</v>
      </c>
      <c r="H270" s="2" t="s">
        <v>61</v>
      </c>
      <c r="I270" s="2" t="str">
        <f>IFERROR(__xludf.DUMMYFUNCTION("GOOGLETRANSLATE(C270,""fr"",""en"")"),"Glad to have chosen Axa Insurance
Good relationship with AXA advisers. I highly recommend AXA.
Recently registered and no worries at the moment.")</f>
        <v>Glad to have chosen Axa Insurance
Good relationship with AXA advisers. I highly recommend AXA.
Recently registered and no worries at the moment.</v>
      </c>
    </row>
    <row r="271" ht="15.75" customHeight="1">
      <c r="A271" s="2">
        <v>4.0</v>
      </c>
      <c r="B271" s="2" t="s">
        <v>876</v>
      </c>
      <c r="C271" s="2" t="s">
        <v>877</v>
      </c>
      <c r="D271" s="2" t="s">
        <v>13</v>
      </c>
      <c r="E271" s="2" t="s">
        <v>14</v>
      </c>
      <c r="F271" s="2" t="s">
        <v>15</v>
      </c>
      <c r="G271" s="2" t="s">
        <v>585</v>
      </c>
      <c r="H271" s="2" t="s">
        <v>42</v>
      </c>
      <c r="I271" s="2" t="str">
        <f>IFERROR(__xludf.DUMMYFUNCTION("GOOGLETRANSLATE(C271,""fr"",""en"")"),"I remain quite satisfied even if I expected at a better price.
The site is practical for taking car insurance with you.
Have a good day")</f>
        <v>I remain quite satisfied even if I expected at a better price.
The site is practical for taking car insurance with you.
Have a good day</v>
      </c>
    </row>
    <row r="272" ht="15.75" customHeight="1">
      <c r="A272" s="2">
        <v>5.0</v>
      </c>
      <c r="B272" s="2" t="s">
        <v>878</v>
      </c>
      <c r="C272" s="2" t="s">
        <v>879</v>
      </c>
      <c r="D272" s="2" t="s">
        <v>87</v>
      </c>
      <c r="E272" s="2" t="s">
        <v>14</v>
      </c>
      <c r="F272" s="2" t="s">
        <v>15</v>
      </c>
      <c r="G272" s="2" t="s">
        <v>396</v>
      </c>
      <c r="H272" s="2" t="s">
        <v>209</v>
      </c>
      <c r="I272" s="2" t="str">
        <f>IFERROR(__xludf.DUMMYFUNCTION("GOOGLETRANSLATE(C272,""fr"",""en"")"),"For a start of adventures by your side, everything is very good.
Whether price, phone advisor, and site interface, nothing to say so far.
Cordially,")</f>
        <v>For a start of adventures by your side, everything is very good.
Whether price, phone advisor, and site interface, nothing to say so far.
Cordially,</v>
      </c>
    </row>
    <row r="273" ht="15.75" customHeight="1">
      <c r="A273" s="2">
        <v>3.0</v>
      </c>
      <c r="B273" s="2" t="s">
        <v>880</v>
      </c>
      <c r="C273" s="2" t="s">
        <v>881</v>
      </c>
      <c r="D273" s="2" t="s">
        <v>30</v>
      </c>
      <c r="E273" s="2" t="s">
        <v>31</v>
      </c>
      <c r="F273" s="2" t="s">
        <v>15</v>
      </c>
      <c r="G273" s="2" t="s">
        <v>882</v>
      </c>
      <c r="H273" s="2" t="s">
        <v>33</v>
      </c>
      <c r="I273" s="2" t="str">
        <f>IFERROR(__xludf.DUMMYFUNCTION("GOOGLETRANSLATE(C273,""fr"",""en"")"),"It is not the best regarding the amount of reimbursements but however they are very responsive and always available ........................")</f>
        <v>It is not the best regarding the amount of reimbursements but however they are very responsive and always available ........................</v>
      </c>
    </row>
    <row r="274" ht="15.75" customHeight="1">
      <c r="A274" s="2">
        <v>1.0</v>
      </c>
      <c r="B274" s="2" t="s">
        <v>883</v>
      </c>
      <c r="C274" s="2" t="s">
        <v>884</v>
      </c>
      <c r="D274" s="2" t="s">
        <v>885</v>
      </c>
      <c r="E274" s="2" t="s">
        <v>246</v>
      </c>
      <c r="F274" s="2" t="s">
        <v>15</v>
      </c>
      <c r="G274" s="2" t="s">
        <v>839</v>
      </c>
      <c r="H274" s="2" t="s">
        <v>110</v>
      </c>
      <c r="I274" s="2" t="str">
        <f>IFERROR(__xludf.DUMMYFUNCTION("GOOGLETRANSLATE(C274,""fr"",""en"")"),"Insurance to flee!
Landy insurance, deplorable customer service when it does not suit them. Do not take care of anything while we pay insurance to be able to be reimbursed later!
Insurance to banish !!!")</f>
        <v>Insurance to flee!
Landy insurance, deplorable customer service when it does not suit them. Do not take care of anything while we pay insurance to be able to be reimbursed later!
Insurance to banish !!!</v>
      </c>
    </row>
    <row r="275" ht="15.75" customHeight="1">
      <c r="A275" s="2">
        <v>2.0</v>
      </c>
      <c r="B275" s="2" t="s">
        <v>886</v>
      </c>
      <c r="C275" s="2" t="s">
        <v>887</v>
      </c>
      <c r="D275" s="2" t="s">
        <v>120</v>
      </c>
      <c r="E275" s="2" t="s">
        <v>14</v>
      </c>
      <c r="F275" s="2" t="s">
        <v>15</v>
      </c>
      <c r="G275" s="2" t="s">
        <v>888</v>
      </c>
      <c r="H275" s="2" t="s">
        <v>103</v>
      </c>
      <c r="I275" s="2" t="str">
        <f>IFERROR(__xludf.DUMMYFUNCTION("GOOGLETRANSLATE(C275,""fr"",""en"")"),"3 non -responsible minor claims lead to a refusal of insurance for new vehicle without prior alert, after having been a customer for 33 years !!! Inadmissible behavior !!!")</f>
        <v>3 non -responsible minor claims lead to a refusal of insurance for new vehicle without prior alert, after having been a customer for 33 years !!! Inadmissible behavior !!!</v>
      </c>
    </row>
    <row r="276" ht="15.75" customHeight="1">
      <c r="A276" s="2">
        <v>4.0</v>
      </c>
      <c r="B276" s="2" t="s">
        <v>889</v>
      </c>
      <c r="C276" s="2" t="s">
        <v>890</v>
      </c>
      <c r="D276" s="2" t="s">
        <v>87</v>
      </c>
      <c r="E276" s="2" t="s">
        <v>14</v>
      </c>
      <c r="F276" s="2" t="s">
        <v>15</v>
      </c>
      <c r="G276" s="2" t="s">
        <v>233</v>
      </c>
      <c r="H276" s="2" t="s">
        <v>234</v>
      </c>
      <c r="I276" s="2" t="str">
        <f>IFERROR(__xludf.DUMMYFUNCTION("GOOGLETRANSLATE(C276,""fr"",""en"")"),"Customer for 3 years, I found this insurance after a search on a comparator. Pleasantly surprised, listening to, available and responsive. A little long when I resolve my disaster. I am rather very satisfied with this insurance, which I recommend.")</f>
        <v>Customer for 3 years, I found this insurance after a search on a comparator. Pleasantly surprised, listening to, available and responsive. A little long when I resolve my disaster. I am rather very satisfied with this insurance, which I recommend.</v>
      </c>
    </row>
    <row r="277" ht="15.75" customHeight="1">
      <c r="A277" s="2">
        <v>4.0</v>
      </c>
      <c r="B277" s="2" t="s">
        <v>891</v>
      </c>
      <c r="C277" s="2" t="s">
        <v>892</v>
      </c>
      <c r="D277" s="2" t="s">
        <v>87</v>
      </c>
      <c r="E277" s="2" t="s">
        <v>14</v>
      </c>
      <c r="F277" s="2" t="s">
        <v>15</v>
      </c>
      <c r="G277" s="2" t="s">
        <v>893</v>
      </c>
      <c r="H277" s="2" t="s">
        <v>209</v>
      </c>
      <c r="I277" s="2" t="str">
        <f>IFERROR(__xludf.DUMMYFUNCTION("GOOGLETRANSLATE(C277,""fr"",""en"")"),"Rather satisfied except that my sponsorship was not taken into account and on the fact that the price increased overnight following the advisor
Thank you
Have a good day
")</f>
        <v>Rather satisfied except that my sponsorship was not taken into account and on the fact that the price increased overnight following the advisor
Thank you
Have a good day
</v>
      </c>
    </row>
    <row r="278" ht="15.75" customHeight="1">
      <c r="A278" s="2">
        <v>5.0</v>
      </c>
      <c r="B278" s="2" t="s">
        <v>894</v>
      </c>
      <c r="C278" s="2" t="s">
        <v>895</v>
      </c>
      <c r="D278" s="2" t="s">
        <v>13</v>
      </c>
      <c r="E278" s="2" t="s">
        <v>14</v>
      </c>
      <c r="F278" s="2" t="s">
        <v>15</v>
      </c>
      <c r="G278" s="2" t="s">
        <v>733</v>
      </c>
      <c r="H278" s="2" t="s">
        <v>42</v>
      </c>
      <c r="I278" s="2" t="str">
        <f>IFERROR(__xludf.DUMMYFUNCTION("GOOGLETRANSLATE(C278,""fr"",""en"")"),"Delighted to have been able to have such clear and effective insurance with a reasonable rate
Simple and ergonomic access online is a real plus for me
")</f>
        <v>Delighted to have been able to have such clear and effective insurance with a reasonable rate
Simple and ergonomic access online is a real plus for me
</v>
      </c>
    </row>
    <row r="279" ht="15.75" customHeight="1">
      <c r="A279" s="2">
        <v>5.0</v>
      </c>
      <c r="B279" s="2" t="s">
        <v>896</v>
      </c>
      <c r="C279" s="2" t="s">
        <v>897</v>
      </c>
      <c r="D279" s="2" t="s">
        <v>245</v>
      </c>
      <c r="E279" s="2" t="s">
        <v>246</v>
      </c>
      <c r="F279" s="2" t="s">
        <v>15</v>
      </c>
      <c r="G279" s="2" t="s">
        <v>228</v>
      </c>
      <c r="H279" s="2" t="s">
        <v>33</v>
      </c>
      <c r="I279" s="2" t="str">
        <f>IFERROR(__xludf.DUMMYFUNCTION("GOOGLETRANSLATE(C279,""fr"",""en"")"),"When my doggie is DCD this January 30, 2021 they were very responsive but above all, very cool, on the phone, sharing my sorrow. I was a customer for more than 10 years at home and, if I take another doggie I will not hesitate to have it insured at Assur'"&amp;"OPoils.
Bravo and thank you.")</f>
        <v>When my doggie is DCD this January 30, 2021 they were very responsive but above all, very cool, on the phone, sharing my sorrow. I was a customer for more than 10 years at home and, if I take another doggie I will not hesitate to have it insured at Assur'OPoils.
Bravo and thank you.</v>
      </c>
    </row>
    <row r="280" ht="15.75" customHeight="1">
      <c r="A280" s="2">
        <v>4.0</v>
      </c>
      <c r="B280" s="2" t="s">
        <v>898</v>
      </c>
      <c r="C280" s="2" t="s">
        <v>899</v>
      </c>
      <c r="D280" s="2" t="s">
        <v>87</v>
      </c>
      <c r="E280" s="2" t="s">
        <v>14</v>
      </c>
      <c r="F280" s="2" t="s">
        <v>15</v>
      </c>
      <c r="G280" s="2" t="s">
        <v>900</v>
      </c>
      <c r="H280" s="2" t="s">
        <v>27</v>
      </c>
      <c r="I280" s="2" t="str">
        <f>IFERROR(__xludf.DUMMYFUNCTION("GOOGLETRANSLATE(C280,""fr"",""en"")"),"I am pleasantly satisfied with simplicity to subscribe to a contract for car insurance is simple and very fast in 20 min all is ok and the provisional green card is already sending.")</f>
        <v>I am pleasantly satisfied with simplicity to subscribe to a contract for car insurance is simple and very fast in 20 min all is ok and the provisional green card is already sending.</v>
      </c>
    </row>
    <row r="281" ht="15.75" customHeight="1">
      <c r="A281" s="2">
        <v>2.0</v>
      </c>
      <c r="B281" s="2" t="s">
        <v>901</v>
      </c>
      <c r="C281" s="2" t="s">
        <v>902</v>
      </c>
      <c r="D281" s="2" t="s">
        <v>174</v>
      </c>
      <c r="E281" s="2" t="s">
        <v>31</v>
      </c>
      <c r="F281" s="2" t="s">
        <v>15</v>
      </c>
      <c r="G281" s="2" t="s">
        <v>903</v>
      </c>
      <c r="H281" s="2" t="s">
        <v>76</v>
      </c>
      <c r="I281" s="2" t="str">
        <f>IFERROR(__xludf.DUMMYFUNCTION("GOOGLETRANSLATE(C281,""fr"",""en"")"),"It's been more than 2 months since I wrapped myself normally
I even received a letter in this direction.
But the direct debit the interests are juicy on the hundreds of people like me")</f>
        <v>It's been more than 2 months since I wrapped myself normally
I even received a letter in this direction.
But the direct debit the interests are juicy on the hundreds of people like me</v>
      </c>
    </row>
    <row r="282" ht="15.75" customHeight="1">
      <c r="A282" s="2">
        <v>3.0</v>
      </c>
      <c r="B282" s="2" t="s">
        <v>904</v>
      </c>
      <c r="C282" s="2" t="s">
        <v>905</v>
      </c>
      <c r="D282" s="2" t="s">
        <v>164</v>
      </c>
      <c r="E282" s="2" t="s">
        <v>14</v>
      </c>
      <c r="F282" s="2" t="s">
        <v>15</v>
      </c>
      <c r="G282" s="2" t="s">
        <v>906</v>
      </c>
      <c r="H282" s="2" t="s">
        <v>433</v>
      </c>
      <c r="I282" s="2" t="str">
        <f>IFERROR(__xludf.DUMMYFUNCTION("GOOGLETRANSLATE(C282,""fr"",""en"")"),"Matmut customer for many years at most bonuses for my car insurance and poding several contracts for which I have not filed a disaster. I am disappointed with this group with which I have been addressing myself for 2 months to obtain a duplicate of my gre"&amp;"en card by email finding me in my second home and having been able to receive the green card sent to my main address before The pandemic. To date, the contacts that I have been able to have did not give me satisfaction and I no longer know who to get this"&amp;" duplicate. I will no longer recommend this insurance group.")</f>
        <v>Matmut customer for many years at most bonuses for my car insurance and poding several contracts for which I have not filed a disaster. I am disappointed with this group with which I have been addressing myself for 2 months to obtain a duplicate of my green card by email finding me in my second home and having been able to receive the green card sent to my main address before The pandemic. To date, the contacts that I have been able to have did not give me satisfaction and I no longer know who to get this duplicate. I will no longer recommend this insurance group.</v>
      </c>
    </row>
    <row r="283" ht="15.75" customHeight="1">
      <c r="A283" s="2">
        <v>2.0</v>
      </c>
      <c r="B283" s="2" t="s">
        <v>907</v>
      </c>
      <c r="C283" s="2" t="s">
        <v>908</v>
      </c>
      <c r="D283" s="2" t="s">
        <v>79</v>
      </c>
      <c r="E283" s="2" t="s">
        <v>14</v>
      </c>
      <c r="F283" s="2" t="s">
        <v>15</v>
      </c>
      <c r="G283" s="2" t="s">
        <v>909</v>
      </c>
      <c r="H283" s="2" t="s">
        <v>493</v>
      </c>
      <c r="I283" s="2" t="str">
        <f>IFERROR(__xludf.DUMMYFUNCTION("GOOGLETRANSLATE(C283,""fr"",""en"")"),"Hello, we are Monday, February 4, 2019 and since 07/01/2019 I have not received my green thumbnail of active assurances despite that I contacted them 3 times by such and sent 1 email (without return elsewhere ). I am repeated without stopping that I will "&amp;"receive my thumbnail soon. To date on February 4, 2019 I have not received anything and I ride without a sticker. The work is not at all serious we completely don't care about my gueulle. To take on the other hand, there are no worries they do it very wel"&amp;"l. I will decide this insurance honestly")</f>
        <v>Hello, we are Monday, February 4, 2019 and since 07/01/2019 I have not received my green thumbnail of active assurances despite that I contacted them 3 times by such and sent 1 email (without return elsewhere ). I am repeated without stopping that I will receive my thumbnail soon. To date on February 4, 2019 I have not received anything and I ride without a sticker. The work is not at all serious we completely don't care about my gueulle. To take on the other hand, there are no worries they do it very well. I will decide this insurance honestly</v>
      </c>
    </row>
    <row r="284" ht="15.75" customHeight="1">
      <c r="A284" s="2">
        <v>5.0</v>
      </c>
      <c r="B284" s="2" t="s">
        <v>910</v>
      </c>
      <c r="C284" s="2" t="s">
        <v>911</v>
      </c>
      <c r="D284" s="2" t="s">
        <v>87</v>
      </c>
      <c r="E284" s="2" t="s">
        <v>14</v>
      </c>
      <c r="F284" s="2" t="s">
        <v>15</v>
      </c>
      <c r="G284" s="2" t="s">
        <v>912</v>
      </c>
      <c r="H284" s="2" t="s">
        <v>61</v>
      </c>
      <c r="I284" s="2" t="str">
        <f>IFERROR(__xludf.DUMMYFUNCTION("GOOGLETRANSLATE(C284,""fr"",""en"")"),"Very good advice for the customer always looking for the best value for money. They are very professional for monitoring files. To advice")</f>
        <v>Very good advice for the customer always looking for the best value for money. They are very professional for monitoring files. To advice</v>
      </c>
    </row>
    <row r="285" ht="15.75" customHeight="1">
      <c r="A285" s="2">
        <v>1.0</v>
      </c>
      <c r="B285" s="2" t="s">
        <v>913</v>
      </c>
      <c r="C285" s="2" t="s">
        <v>914</v>
      </c>
      <c r="D285" s="2" t="s">
        <v>74</v>
      </c>
      <c r="E285" s="2" t="s">
        <v>55</v>
      </c>
      <c r="F285" s="2" t="s">
        <v>15</v>
      </c>
      <c r="G285" s="2" t="s">
        <v>698</v>
      </c>
      <c r="H285" s="2" t="s">
        <v>699</v>
      </c>
      <c r="I285" s="2" t="str">
        <f>IFERROR(__xludf.DUMMYFUNCTION("GOOGLETRANSLATE(C285,""fr"",""en"")"),"To collect the subscriptions, they are very strong
By cons in the event of a claim is zero
A real lack of reliability ... it is shameful
No support, no telephone response and email
no following.
To think that there is no one at the claim")</f>
        <v>To collect the subscriptions, they are very strong
By cons in the event of a claim is zero
A real lack of reliability ... it is shameful
No support, no telephone response and email
no following.
To think that there is no one at the claim</v>
      </c>
    </row>
    <row r="286" ht="15.75" customHeight="1">
      <c r="A286" s="2">
        <v>2.0</v>
      </c>
      <c r="B286" s="2" t="s">
        <v>915</v>
      </c>
      <c r="C286" s="2" t="s">
        <v>916</v>
      </c>
      <c r="D286" s="2" t="s">
        <v>87</v>
      </c>
      <c r="E286" s="2" t="s">
        <v>14</v>
      </c>
      <c r="F286" s="2" t="s">
        <v>15</v>
      </c>
      <c r="G286" s="2" t="s">
        <v>917</v>
      </c>
      <c r="H286" s="2" t="s">
        <v>751</v>
      </c>
      <c r="I286" s="2" t="str">
        <f>IFERROR(__xludf.DUMMYFUNCTION("GOOGLETRANSLATE(C286,""fr"",""en"")"),"Customer at home for two years, they offer me a renewal at 420 euros while if I make a quote they are at 320 euros so I go")</f>
        <v>Customer at home for two years, they offer me a renewal at 420 euros while if I make a quote they are at 320 euros so I go</v>
      </c>
    </row>
    <row r="287" ht="15.75" customHeight="1">
      <c r="A287" s="2">
        <v>2.0</v>
      </c>
      <c r="B287" s="2" t="s">
        <v>918</v>
      </c>
      <c r="C287" s="2" t="s">
        <v>919</v>
      </c>
      <c r="D287" s="2" t="s">
        <v>164</v>
      </c>
      <c r="E287" s="2" t="s">
        <v>14</v>
      </c>
      <c r="F287" s="2" t="s">
        <v>15</v>
      </c>
      <c r="G287" s="2" t="s">
        <v>165</v>
      </c>
      <c r="H287" s="2" t="s">
        <v>89</v>
      </c>
      <c r="I287" s="2" t="str">
        <f>IFERROR(__xludf.DUMMYFUNCTION("GOOGLETRANSLATE(C287,""fr"",""en"")"),"Following a claim, I have no news from my accident for a few days. I try to call the sinister service without success. I then connect to my online account for the first time and I realize that I had been sent a message on my account the day after my decla"&amp;"ration to tell me ""in view of the information that you have press releases, your responsibility appears to be fully engaged. ""
Of course without having ever contacted me, or even bothering to contact me to give me the news of a normal route (at least"&amp;" by email).
What is more, I find it difficult to judge myself 100%responsible, the other driver (individual) was on a bus lane, his track ended at the intersection and therefore had to give way to the vehicle of the track middle.
I wonder if they to"&amp;"ok the time to read the observation. No expert nothing. We didn't even wanted to take the photos I had made of the accident.")</f>
        <v>Following a claim, I have no news from my accident for a few days. I try to call the sinister service without success. I then connect to my online account for the first time and I realize that I had been sent a message on my account the day after my declaration to tell me "in view of the information that you have press releases, your responsibility appears to be fully engaged. "
Of course without having ever contacted me, or even bothering to contact me to give me the news of a normal route (at least by email).
What is more, I find it difficult to judge myself 100%responsible, the other driver (individual) was on a bus lane, his track ended at the intersection and therefore had to give way to the vehicle of the track middle.
I wonder if they took the time to read the observation. No expert nothing. We didn't even wanted to take the photos I had made of the accident.</v>
      </c>
    </row>
    <row r="288" ht="15.75" customHeight="1">
      <c r="A288" s="2">
        <v>5.0</v>
      </c>
      <c r="B288" s="2" t="s">
        <v>920</v>
      </c>
      <c r="C288" s="2" t="s">
        <v>921</v>
      </c>
      <c r="D288" s="2" t="s">
        <v>922</v>
      </c>
      <c r="E288" s="2" t="s">
        <v>232</v>
      </c>
      <c r="F288" s="2" t="s">
        <v>15</v>
      </c>
      <c r="G288" s="2" t="s">
        <v>923</v>
      </c>
      <c r="H288" s="2" t="s">
        <v>117</v>
      </c>
      <c r="I288" s="2" t="str">
        <f>IFERROR(__xludf.DUMMYFUNCTION("GOOGLETRANSLATE(C288,""fr"",""en"")"),"Tailor -made proposals
LISTEND
Clear information
Rapidity of the care of the file
Rapidit on the return")</f>
        <v>Tailor -made proposals
LISTEND
Clear information
Rapidity of the care of the file
Rapidit on the return</v>
      </c>
    </row>
    <row r="289" ht="15.75" customHeight="1">
      <c r="A289" s="2">
        <v>5.0</v>
      </c>
      <c r="B289" s="2" t="s">
        <v>924</v>
      </c>
      <c r="C289" s="2" t="s">
        <v>925</v>
      </c>
      <c r="D289" s="2" t="s">
        <v>87</v>
      </c>
      <c r="E289" s="2" t="s">
        <v>14</v>
      </c>
      <c r="F289" s="2" t="s">
        <v>15</v>
      </c>
      <c r="G289" s="2" t="s">
        <v>26</v>
      </c>
      <c r="H289" s="2" t="s">
        <v>27</v>
      </c>
      <c r="I289" s="2" t="str">
        <f>IFERROR(__xludf.DUMMYFUNCTION("GOOGLETRANSLATE(C289,""fr"",""en"")"),"Ok very good report price and fast insurance I recommend the olive assurances for car by its ease and speed very competitive price for basic insurance")</f>
        <v>Ok very good report price and fast insurance I recommend the olive assurances for car by its ease and speed very competitive price for basic insurance</v>
      </c>
    </row>
    <row r="290" ht="15.75" customHeight="1">
      <c r="A290" s="2">
        <v>1.0</v>
      </c>
      <c r="B290" s="2" t="s">
        <v>926</v>
      </c>
      <c r="C290" s="2" t="s">
        <v>927</v>
      </c>
      <c r="D290" s="2" t="s">
        <v>13</v>
      </c>
      <c r="E290" s="2" t="s">
        <v>14</v>
      </c>
      <c r="F290" s="2" t="s">
        <v>15</v>
      </c>
      <c r="G290" s="2" t="s">
        <v>928</v>
      </c>
      <c r="H290" s="2" t="s">
        <v>473</v>
      </c>
      <c r="I290" s="2" t="str">
        <f>IFERROR(__xludf.DUMMYFUNCTION("GOOGLETRANSLATE(C290,""fr"",""en"")"),"The price increases each year without any justification (no declared claim, bunus that increases).
Management fees at 188 euros/year for an annual subscription of 309 euros. It's really abused.
Customer service is unreachable and I can't even access my "&amp;"customer account.
")</f>
        <v>The price increases each year without any justification (no declared claim, bunus that increases).
Management fees at 188 euros/year for an annual subscription of 309 euros. It's really abused.
Customer service is unreachable and I can't even access my customer account.
</v>
      </c>
    </row>
    <row r="291" ht="15.75" customHeight="1">
      <c r="A291" s="2">
        <v>1.0</v>
      </c>
      <c r="B291" s="2" t="s">
        <v>929</v>
      </c>
      <c r="C291" s="2" t="s">
        <v>930</v>
      </c>
      <c r="D291" s="2" t="s">
        <v>227</v>
      </c>
      <c r="E291" s="2" t="s">
        <v>288</v>
      </c>
      <c r="F291" s="2" t="s">
        <v>15</v>
      </c>
      <c r="G291" s="2" t="s">
        <v>931</v>
      </c>
      <c r="H291" s="2" t="s">
        <v>493</v>
      </c>
      <c r="I291" s="2" t="str">
        <f>IFERROR(__xludf.DUMMYFUNCTION("GOOGLETRANSLATE(C291,""fr"",""en"")"),"To flee! We abused our confidence and benefited from lack of advice. Their investments are poor and well below what the market does. We lost 12% in 6 months! Watch out for their poorly invoice supports!
")</f>
        <v>To flee! We abused our confidence and benefited from lack of advice. Their investments are poor and well below what the market does. We lost 12% in 6 months! Watch out for their poorly invoice supports!
</v>
      </c>
    </row>
    <row r="292" ht="15.75" customHeight="1">
      <c r="A292" s="2">
        <v>3.0</v>
      </c>
      <c r="B292" s="2" t="s">
        <v>932</v>
      </c>
      <c r="C292" s="2" t="s">
        <v>933</v>
      </c>
      <c r="D292" s="2" t="s">
        <v>50</v>
      </c>
      <c r="E292" s="2" t="s">
        <v>21</v>
      </c>
      <c r="F292" s="2" t="s">
        <v>15</v>
      </c>
      <c r="G292" s="2" t="s">
        <v>934</v>
      </c>
      <c r="H292" s="2" t="s">
        <v>190</v>
      </c>
      <c r="I292" s="2" t="str">
        <f>IFERROR(__xludf.DUMMYFUNCTION("GOOGLETRANSLATE(C292,""fr"",""en"")"),"I am satisfied with the prices, a little less of customer service. Telephone requests without return ... unfortunately and probably justified by low prices.")</f>
        <v>I am satisfied with the prices, a little less of customer service. Telephone requests without return ... unfortunately and probably justified by low prices.</v>
      </c>
    </row>
    <row r="293" ht="15.75" customHeight="1">
      <c r="A293" s="2">
        <v>5.0</v>
      </c>
      <c r="B293" s="2" t="s">
        <v>935</v>
      </c>
      <c r="C293" s="2" t="s">
        <v>936</v>
      </c>
      <c r="D293" s="2" t="s">
        <v>13</v>
      </c>
      <c r="E293" s="2" t="s">
        <v>14</v>
      </c>
      <c r="F293" s="2" t="s">
        <v>15</v>
      </c>
      <c r="G293" s="2" t="s">
        <v>937</v>
      </c>
      <c r="H293" s="2" t="s">
        <v>27</v>
      </c>
      <c r="I293" s="2" t="str">
        <f>IFERROR(__xludf.DUMMYFUNCTION("GOOGLETRANSLATE(C293,""fr"",""en"")"),"I am satisfied with your online service
 The subscription was very fast
It suits me perfectly with my expectations
Small flat there is a floor and I could not modify")</f>
        <v>I am satisfied with your online service
 The subscription was very fast
It suits me perfectly with my expectations
Small flat there is a floor and I could not modify</v>
      </c>
    </row>
    <row r="294" ht="15.75" customHeight="1">
      <c r="A294" s="2">
        <v>1.0</v>
      </c>
      <c r="B294" s="2" t="s">
        <v>938</v>
      </c>
      <c r="C294" s="2" t="s">
        <v>939</v>
      </c>
      <c r="D294" s="2" t="s">
        <v>922</v>
      </c>
      <c r="E294" s="2" t="s">
        <v>232</v>
      </c>
      <c r="F294" s="2" t="s">
        <v>15</v>
      </c>
      <c r="G294" s="2" t="s">
        <v>940</v>
      </c>
      <c r="H294" s="2" t="s">
        <v>186</v>
      </c>
      <c r="I294" s="2" t="str">
        <f>IFERROR(__xludf.DUMMYFUNCTION("GOOGLETRANSLATE(C294,""fr"",""en"")"),"Rather comical situation. I applied for a consumer loan at AFI-ESCA which asked for an additional medical information following a document that I made them follow my cardiologist who specifies that he wants to see me in 6 months in order to carry out an e"&amp;"ffort test only here is the doctor sees me every 6 months and each time he notes a different exam that I have to do just to reassure himself because I do not have heart disease ... So means that I will never be able to make sure of this insurer who owns a"&amp;"n incoherent procedure pathetically.")</f>
        <v>Rather comical situation. I applied for a consumer loan at AFI-ESCA which asked for an additional medical information following a document that I made them follow my cardiologist who specifies that he wants to see me in 6 months in order to carry out an effort test only here is the doctor sees me every 6 months and each time he notes a different exam that I have to do just to reassure himself because I do not have heart disease ... So means that I will never be able to make sure of this insurer who owns an incoherent procedure pathetically.</v>
      </c>
    </row>
    <row r="295" ht="15.75" customHeight="1">
      <c r="A295" s="2">
        <v>1.0</v>
      </c>
      <c r="B295" s="2" t="s">
        <v>941</v>
      </c>
      <c r="C295" s="2" t="s">
        <v>942</v>
      </c>
      <c r="D295" s="2" t="s">
        <v>13</v>
      </c>
      <c r="E295" s="2" t="s">
        <v>14</v>
      </c>
      <c r="F295" s="2" t="s">
        <v>15</v>
      </c>
      <c r="G295" s="2" t="s">
        <v>439</v>
      </c>
      <c r="H295" s="2" t="s">
        <v>27</v>
      </c>
      <c r="I295" s="2" t="str">
        <f>IFERROR(__xludf.DUMMYFUNCTION("GOOGLETRANSLATE(C295,""fr"",""en"")"),"I am not at all satisfied since it is the 3rd time that you ask me for an information statement concerning me over the period of 03/26/2019 on 05/04/2019 for the creation of my contract, while I systematically joined the same doc concerning this period")</f>
        <v>I am not at all satisfied since it is the 3rd time that you ask me for an information statement concerning me over the period of 03/26/2019 on 05/04/2019 for the creation of my contract, while I systematically joined the same doc concerning this period</v>
      </c>
    </row>
    <row r="296" ht="15.75" customHeight="1">
      <c r="A296" s="2">
        <v>5.0</v>
      </c>
      <c r="B296" s="2" t="s">
        <v>943</v>
      </c>
      <c r="C296" s="2" t="s">
        <v>944</v>
      </c>
      <c r="D296" s="2" t="s">
        <v>832</v>
      </c>
      <c r="E296" s="2" t="s">
        <v>232</v>
      </c>
      <c r="F296" s="2" t="s">
        <v>15</v>
      </c>
      <c r="G296" s="2" t="s">
        <v>945</v>
      </c>
      <c r="H296" s="2" t="s">
        <v>195</v>
      </c>
      <c r="I296" s="2" t="str">
        <f>IFERROR(__xludf.DUMMYFUNCTION("GOOGLETRANSLATE(C296,""fr"",""en"")"),"Subject to the final completion of our borrower reinsurance operation, we are satisfied with the support and the responses obtained by the team")</f>
        <v>Subject to the final completion of our borrower reinsurance operation, we are satisfied with the support and the responses obtained by the team</v>
      </c>
    </row>
    <row r="297" ht="15.75" customHeight="1">
      <c r="A297" s="2">
        <v>1.0</v>
      </c>
      <c r="B297" s="2" t="s">
        <v>946</v>
      </c>
      <c r="C297" s="2" t="s">
        <v>947</v>
      </c>
      <c r="D297" s="2" t="s">
        <v>948</v>
      </c>
      <c r="E297" s="2" t="s">
        <v>65</v>
      </c>
      <c r="F297" s="2" t="s">
        <v>15</v>
      </c>
      <c r="G297" s="2" t="s">
        <v>949</v>
      </c>
      <c r="H297" s="2" t="s">
        <v>23</v>
      </c>
      <c r="I297" s="2" t="str">
        <f>IFERROR(__xludf.DUMMYFUNCTION("GOOGLETRANSLATE(C297,""fr"",""en"")"),"No one ... I regret a lot of leaving the Macsf which always paid the services quickly. I did it following the solicitation of GIEA brokers who completely baratinated me
I am waiting for a birth bonus that I will probably never touch!
Null customer area "&amp;"I am sent back to the Giea broker by which I have subscribed ... soft responses speak but do not act
I intend to terminate if this birth premium is not paid to me very quickly")</f>
        <v>No one ... I regret a lot of leaving the Macsf which always paid the services quickly. I did it following the solicitation of GIEA brokers who completely baratinated me
I am waiting for a birth bonus that I will probably never touch!
Null customer area I am sent back to the Giea broker by which I have subscribed ... soft responses speak but do not act
I intend to terminate if this birth premium is not paid to me very quickly</v>
      </c>
    </row>
    <row r="298" ht="15.75" customHeight="1">
      <c r="A298" s="2">
        <v>3.0</v>
      </c>
      <c r="B298" s="2" t="s">
        <v>950</v>
      </c>
      <c r="C298" s="2" t="s">
        <v>951</v>
      </c>
      <c r="D298" s="2" t="s">
        <v>164</v>
      </c>
      <c r="E298" s="2" t="s">
        <v>14</v>
      </c>
      <c r="F298" s="2" t="s">
        <v>15</v>
      </c>
      <c r="G298" s="2" t="s">
        <v>305</v>
      </c>
      <c r="H298" s="2" t="s">
        <v>195</v>
      </c>
      <c r="I298" s="2" t="str">
        <f>IFERROR(__xludf.DUMMYFUNCTION("GOOGLETRANSLATE(C298,""fr"",""en"")"),"I have been in the Matmut for ten years, I am satisfied with their service. Too bad he does not give a more interesting discount when you have several contracts at home.")</f>
        <v>I have been in the Matmut for ten years, I am satisfied with their service. Too bad he does not give a more interesting discount when you have several contracts at home.</v>
      </c>
    </row>
    <row r="299" ht="15.75" customHeight="1">
      <c r="A299" s="2">
        <v>1.0</v>
      </c>
      <c r="B299" s="2" t="s">
        <v>952</v>
      </c>
      <c r="C299" s="2" t="s">
        <v>953</v>
      </c>
      <c r="D299" s="2" t="s">
        <v>723</v>
      </c>
      <c r="E299" s="2" t="s">
        <v>65</v>
      </c>
      <c r="F299" s="2" t="s">
        <v>15</v>
      </c>
      <c r="G299" s="2" t="s">
        <v>954</v>
      </c>
      <c r="H299" s="2" t="s">
        <v>179</v>
      </c>
      <c r="I299" s="2" t="str">
        <f>IFERROR(__xludf.DUMMYFUNCTION("GOOGLETRANSLATE(C299,""fr"",""en"")"),"I have been an interior member since 2005. Officer of the Ministry of the Interior and on work stoppage since 03/15/2020 at 10/07/2020 then from 09/17/2020 to 29/01/2021.
Half treatment since June 2020 with loss of salary and bonuses each month depending"&amp;" on my grazing quota. I provided all the documents necessary for my salary maintenance and interior bonuses in order to be compensated quickly, we are on 01/27/2020 and despite my raises almost every day, mail etc ... interior answers:
 We have not noted"&amp;" any loss for your treatment and your bonuses on the salary slips for the months of September, October, November and December 2020.
The wage losses were even noted by several of their advisers on the phone ... I am made to go in circles and today I find "&amp;"myself banned banking!
I am told that my file passes in emergency max level, to reassure my bank that the payment of my half treatment will take place within 4 or 5 days to ultimately tell me that I do not lose wages.
Also, namely, when you are half a t"&amp;"reatment, no matter the amount retained on your salary every month what matters is the half -treatment order. That is to say that the mutual must pay you the half of your gross salary every month even if with the grazing quota you have lost only 200 euros"&amp;" for example. Why because after 6 months of deduction on salary if the administration has failed to ""reimburse itself entirely"", it goes to the DGFIP (public finances) which then issues securities of collections to be paid within 15 days under penalty o"&amp;"f bogus. These perception titles are not compensated by the interior mutual. This is why the maintenance of salary must be paid each month in its entirety and not according to what you have really lost.
To conclude, I am disappointed, disgusted and angry"&amp;" with interior, who knows how to hang my 200 euros in subscription each month but is unable to compensate me.
I do not recommend this mutual insurance for all colleagues who would be tempted to join it.
Today I will turn to my legal assistance in order "&amp;"to start a procedure.")</f>
        <v>I have been an interior member since 2005. Officer of the Ministry of the Interior and on work stoppage since 03/15/2020 at 10/07/2020 then from 09/17/2020 to 29/01/2021.
Half treatment since June 2020 with loss of salary and bonuses each month depending on my grazing quota. I provided all the documents necessary for my salary maintenance and interior bonuses in order to be compensated quickly, we are on 01/27/2020 and despite my raises almost every day, mail etc ... interior answers:
 We have not noted any loss for your treatment and your bonuses on the salary slips for the months of September, October, November and December 2020.
The wage losses were even noted by several of their advisers on the phone ... I am made to go in circles and today I find myself banned banking!
I am told that my file passes in emergency max level, to reassure my bank that the payment of my half treatment will take place within 4 or 5 days to ultimately tell me that I do not lose wages.
Also, namely, when you are half a treatment, no matter the amount retained on your salary every month what matters is the half -treatment order. That is to say that the mutual must pay you the half of your gross salary every month even if with the grazing quota you have lost only 200 euros for example. Why because after 6 months of deduction on salary if the administration has failed to "reimburse itself entirely", it goes to the DGFIP (public finances) which then issues securities of collections to be paid within 15 days under penalty of bogus. These perception titles are not compensated by the interior mutual. This is why the maintenance of salary must be paid each month in its entirety and not according to what you have really lost.
To conclude, I am disappointed, disgusted and angry with interior, who knows how to hang my 200 euros in subscription each month but is unable to compensate me.
I do not recommend this mutual insurance for all colleagues who would be tempted to join it.
Today I will turn to my legal assistance in order to start a procedure.</v>
      </c>
    </row>
    <row r="300" ht="15.75" customHeight="1">
      <c r="A300" s="2">
        <v>1.0</v>
      </c>
      <c r="B300" s="2" t="s">
        <v>955</v>
      </c>
      <c r="C300" s="2" t="s">
        <v>956</v>
      </c>
      <c r="D300" s="2" t="s">
        <v>227</v>
      </c>
      <c r="E300" s="2" t="s">
        <v>288</v>
      </c>
      <c r="F300" s="2" t="s">
        <v>15</v>
      </c>
      <c r="G300" s="2" t="s">
        <v>957</v>
      </c>
      <c r="H300" s="2" t="s">
        <v>958</v>
      </c>
      <c r="I300" s="2" t="str">
        <f>IFERROR(__xludf.DUMMYFUNCTION("GOOGLETRANSLATE(C300,""fr"",""en"")"),"Holder of a life insurance annuity, I have been low for 5 months to try to record a simple change of bank details")</f>
        <v>Holder of a life insurance annuity, I have been low for 5 months to try to record a simple change of bank details</v>
      </c>
    </row>
    <row r="301" ht="15.75" customHeight="1">
      <c r="A301" s="2">
        <v>4.0</v>
      </c>
      <c r="B301" s="2" t="s">
        <v>959</v>
      </c>
      <c r="C301" s="2" t="s">
        <v>960</v>
      </c>
      <c r="D301" s="2" t="s">
        <v>13</v>
      </c>
      <c r="E301" s="2" t="s">
        <v>14</v>
      </c>
      <c r="F301" s="2" t="s">
        <v>15</v>
      </c>
      <c r="G301" s="2" t="s">
        <v>961</v>
      </c>
      <c r="H301" s="2" t="s">
        <v>52</v>
      </c>
      <c r="I301" s="2" t="str">
        <f>IFERROR(__xludf.DUMMYFUNCTION("GOOGLETRANSLATE(C301,""fr"",""en"")"),"Qualitative price, I would see as your level of satisfaction progresses.
However, the prices and and services offered are very competitive.
")</f>
        <v>Qualitative price, I would see as your level of satisfaction progresses.
However, the prices and and services offered are very competitive.
</v>
      </c>
    </row>
    <row r="302" ht="15.75" customHeight="1">
      <c r="A302" s="2">
        <v>2.0</v>
      </c>
      <c r="B302" s="2" t="s">
        <v>962</v>
      </c>
      <c r="C302" s="2" t="s">
        <v>963</v>
      </c>
      <c r="D302" s="2" t="s">
        <v>87</v>
      </c>
      <c r="E302" s="2" t="s">
        <v>14</v>
      </c>
      <c r="F302" s="2" t="s">
        <v>15</v>
      </c>
      <c r="G302" s="2" t="s">
        <v>964</v>
      </c>
      <c r="H302" s="2" t="s">
        <v>209</v>
      </c>
      <c r="I302" s="2" t="str">
        <f>IFERROR(__xludf.DUMMYFUNCTION("GOOGLETRANSLATE(C302,""fr"",""en"")"),"I have been customers at the Olivier Insurance for a long time and with two cars insure I have only 10 percent reduction and it is not huge.")</f>
        <v>I have been customers at the Olivier Insurance for a long time and with two cars insure I have only 10 percent reduction and it is not huge.</v>
      </c>
    </row>
    <row r="303" ht="15.75" customHeight="1">
      <c r="A303" s="2">
        <v>1.0</v>
      </c>
      <c r="B303" s="2" t="s">
        <v>965</v>
      </c>
      <c r="C303" s="2" t="s">
        <v>966</v>
      </c>
      <c r="D303" s="2" t="s">
        <v>70</v>
      </c>
      <c r="E303" s="2" t="s">
        <v>31</v>
      </c>
      <c r="F303" s="2" t="s">
        <v>15</v>
      </c>
      <c r="G303" s="2" t="s">
        <v>967</v>
      </c>
      <c r="H303" s="2" t="s">
        <v>195</v>
      </c>
      <c r="I303" s="2" t="str">
        <f>IFERROR(__xludf.DUMMYFUNCTION("GOOGLETRANSLATE(C303,""fr"",""en"")"),"Impossible to terminate my contract
I am at my 3rd attempt always a good reason to block the termination
Very procedural
I do not recommend this mutual
")</f>
        <v>Impossible to terminate my contract
I am at my 3rd attempt always a good reason to block the termination
Very procedural
I do not recommend this mutual
</v>
      </c>
    </row>
    <row r="304" ht="15.75" customHeight="1">
      <c r="A304" s="2">
        <v>1.0</v>
      </c>
      <c r="B304" s="2" t="s">
        <v>968</v>
      </c>
      <c r="C304" s="2" t="s">
        <v>969</v>
      </c>
      <c r="D304" s="2" t="s">
        <v>13</v>
      </c>
      <c r="E304" s="2" t="s">
        <v>14</v>
      </c>
      <c r="F304" s="2" t="s">
        <v>15</v>
      </c>
      <c r="G304" s="2" t="s">
        <v>970</v>
      </c>
      <c r="H304" s="2" t="s">
        <v>150</v>
      </c>
      <c r="I304" s="2" t="str">
        <f>IFERROR(__xludf.DUMMYFUNCTION("GOOGLETRANSLATE(C304,""fr"",""en"")"),"Incompetent advisers
They made me sit and take out a new contract when in fact there was no need
Result of the races obligation to pay 3 months in advance e new more a drivebox service than for the moment I pay for nothing because I cannot send them the"&amp;" final gray card again
And of course they do not reimburse the service not used")</f>
        <v>Incompetent advisers
They made me sit and take out a new contract when in fact there was no need
Result of the races obligation to pay 3 months in advance e new more a drivebox service than for the moment I pay for nothing because I cannot send them the final gray card again
And of course they do not reimburse the service not used</v>
      </c>
    </row>
    <row r="305" ht="15.75" customHeight="1">
      <c r="A305" s="2">
        <v>1.0</v>
      </c>
      <c r="B305" s="2" t="s">
        <v>971</v>
      </c>
      <c r="C305" s="2" t="s">
        <v>972</v>
      </c>
      <c r="D305" s="2" t="s">
        <v>277</v>
      </c>
      <c r="E305" s="2" t="s">
        <v>55</v>
      </c>
      <c r="F305" s="2" t="s">
        <v>15</v>
      </c>
      <c r="G305" s="2" t="s">
        <v>973</v>
      </c>
      <c r="H305" s="2" t="s">
        <v>138</v>
      </c>
      <c r="I305" s="2" t="str">
        <f>IFERROR(__xludf.DUMMYFUNCTION("GOOGLETRANSLATE(C305,""fr"",""en"")"),"To flee. I changed bank for a better rate, and impossible to reach Pacifica to transmit the new RIB to them. Following several unpaid monthly payments because they do not answer on the phone (fortunately I have never had a claim), they demand sums of term"&amp;"ination.
I went through LCL Assurance, to flee the same way.")</f>
        <v>To flee. I changed bank for a better rate, and impossible to reach Pacifica to transmit the new RIB to them. Following several unpaid monthly payments because they do not answer on the phone (fortunately I have never had a claim), they demand sums of termination.
I went through LCL Assurance, to flee the same way.</v>
      </c>
    </row>
    <row r="306" ht="15.75" customHeight="1">
      <c r="A306" s="2">
        <v>1.0</v>
      </c>
      <c r="B306" s="2" t="s">
        <v>974</v>
      </c>
      <c r="C306" s="2" t="s">
        <v>975</v>
      </c>
      <c r="D306" s="2" t="s">
        <v>976</v>
      </c>
      <c r="E306" s="2" t="s">
        <v>288</v>
      </c>
      <c r="F306" s="2" t="s">
        <v>15</v>
      </c>
      <c r="G306" s="2" t="s">
        <v>209</v>
      </c>
      <c r="H306" s="2" t="s">
        <v>209</v>
      </c>
      <c r="I306" s="2" t="str">
        <f>IFERROR(__xludf.DUMMYFUNCTION("GOOGLETRANSLATE(C306,""fr"",""en"")"),"Lamentable. Succession file received complete more than 1 month ago. No response to emails, no explanation by phone (when reachable, patience) except to wait. The advisor does not have access to all the documents in the file and knows nothing. The success"&amp;"ion service is completely incompetent. Run away !")</f>
        <v>Lamentable. Succession file received complete more than 1 month ago. No response to emails, no explanation by phone (when reachable, patience) except to wait. The advisor does not have access to all the documents in the file and knows nothing. The succession service is completely incompetent. Run away !</v>
      </c>
    </row>
    <row r="307" ht="15.75" customHeight="1">
      <c r="A307" s="2">
        <v>2.0</v>
      </c>
      <c r="B307" s="2" t="s">
        <v>977</v>
      </c>
      <c r="C307" s="2" t="s">
        <v>978</v>
      </c>
      <c r="D307" s="2" t="s">
        <v>74</v>
      </c>
      <c r="E307" s="2" t="s">
        <v>14</v>
      </c>
      <c r="F307" s="2" t="s">
        <v>15</v>
      </c>
      <c r="G307" s="2" t="s">
        <v>979</v>
      </c>
      <c r="H307" s="2" t="s">
        <v>344</v>
      </c>
      <c r="I307" s="2" t="str">
        <f>IFERROR(__xludf.DUMMYFUNCTION("GOOGLETRANSLATE(C307,""fr"",""en"")"),"Far from humans ... Break contracts even under non -responsible accident")</f>
        <v>Far from humans ... Break contracts even under non -responsible accident</v>
      </c>
    </row>
    <row r="308" ht="15.75" customHeight="1">
      <c r="A308" s="2">
        <v>1.0</v>
      </c>
      <c r="B308" s="2" t="s">
        <v>980</v>
      </c>
      <c r="C308" s="2" t="s">
        <v>981</v>
      </c>
      <c r="D308" s="2" t="s">
        <v>375</v>
      </c>
      <c r="E308" s="2" t="s">
        <v>288</v>
      </c>
      <c r="F308" s="2" t="s">
        <v>15</v>
      </c>
      <c r="G308" s="2" t="s">
        <v>550</v>
      </c>
      <c r="H308" s="2" t="s">
        <v>42</v>
      </c>
      <c r="I308" s="2" t="str">
        <f>IFERROR(__xludf.DUMMYFUNCTION("GOOGLETRANSLATE(C308,""fr"",""en"")"),"The incredible adventure that I lived with general justifies this note.
16 years as a client, life insurance to recover to finance an overseas move and the start of trouble. I contact ""my advisor"" at the end of June to tell him that I will probably cha"&amp;"nge my workplace and therefore need part of my funds. Departure validated in July to start working in September. I therefore ask him to set up a partial acquisition of my life insurance and an appointment to finalize all of this. 1 week without response. "&amp;"I insist on all the networks communicated and manage to obtain the documents to be provided. Sending by email without knowing if everything is ok. I still insist and he tells me that everything is ok and asks me to wait. 1 month later (we are in August) n"&amp;"ot a euro. And sir is on leave. Thank goodness my departure is back to a few weeks but my concern rises. Upon his return I contacted him: messaging, 10 calls on average, WhatsApp: he reads my message but does not answer. Mail: ditto. And when the phone
s"&amp;"ounds it is in a vacuum. In the end I call the number in 09 and come across an advisor who tells me that my repurchase request has never been made ... I am 3 weeks away from my departure !!! She gives me email contact details and asks me to send all the d"&amp;"ocuments already provided to ""my advisor"". 3 days after September 02 I receive my money finally and not thanks to him !!! I discover that instead of a partial takeover he had made me fill in a total buy -back request ... To date no news from this gentle"&amp;"man to justify his behavior. Thank you to this advisor who allows me to apprehend my departure serenely. As for this gentleman ... and for the rest: to flee !!!")</f>
        <v>The incredible adventure that I lived with general justifies this note.
16 years as a client, life insurance to recover to finance an overseas move and the start of trouble. I contact "my advisor" at the end of June to tell him that I will probably change my workplace and therefore need part of my funds. Departure validated in July to start working in September. I therefore ask him to set up a partial acquisition of my life insurance and an appointment to finalize all of this. 1 week without response. I insist on all the networks communicated and manage to obtain the documents to be provided. Sending by email without knowing if everything is ok. I still insist and he tells me that everything is ok and asks me to wait. 1 month later (we are in August) not a euro. And sir is on leave. Thank goodness my departure is back to a few weeks but my concern rises. Upon his return I contacted him: messaging, 10 calls on average, WhatsApp: he reads my message but does not answer. Mail: ditto. And when the phone
sounds it is in a vacuum. In the end I call the number in 09 and come across an advisor who tells me that my repurchase request has never been made ... I am 3 weeks away from my departure !!! She gives me email contact details and asks me to send all the documents already provided to "my advisor". 3 days after September 02 I receive my money finally and not thanks to him !!! I discover that instead of a partial takeover he had made me fill in a total buy -back request ... To date no news from this gentleman to justify his behavior. Thank you to this advisor who allows me to apprehend my departure serenely. As for this gentleman ... and for the rest: to flee !!!</v>
      </c>
    </row>
    <row r="309" ht="15.75" customHeight="1">
      <c r="A309" s="2">
        <v>2.0</v>
      </c>
      <c r="B309" s="2" t="s">
        <v>982</v>
      </c>
      <c r="C309" s="2" t="s">
        <v>983</v>
      </c>
      <c r="D309" s="2" t="s">
        <v>50</v>
      </c>
      <c r="E309" s="2" t="s">
        <v>21</v>
      </c>
      <c r="F309" s="2" t="s">
        <v>15</v>
      </c>
      <c r="G309" s="2" t="s">
        <v>573</v>
      </c>
      <c r="H309" s="2" t="s">
        <v>209</v>
      </c>
      <c r="I309" s="2" t="str">
        <f>IFERROR(__xludf.DUMMYFUNCTION("GOOGLETRANSLATE(C309,""fr"",""en"")"),"Victim of an attempted theft of my motorcycle, the thieves caught in the flagrant offense0, filing of complaints.
I contact April for having a lawyer to defend myself because legal assistance is included in my contract
April gives me the coordinates of "&amp;"Allianz, no news from them and when I call them (every week) they tell me we take care of it on the day of the approaching trial.
2 days before the Allianz trial told me that in reality I am assured with another Solucia company ...
Result I go to the tr"&amp;"ial without lawyer ... as much to tell you that with a good lawyer I could have obtained much more damages
I contact April because I paid a service that they were not able to provide me by asking them what they intended to do in compensation and the ever"&amp;"yone does the dead by telling me we take care of it I must relaunch them every month and always no response from them ...
The advisers are rather nice but each time you have to see with their direction and the .....")</f>
        <v>Victim of an attempted theft of my motorcycle, the thieves caught in the flagrant offense0, filing of complaints.
I contact April for having a lawyer to defend myself because legal assistance is included in my contract
April gives me the coordinates of Allianz, no news from them and when I call them (every week) they tell me we take care of it on the day of the approaching trial.
2 days before the Allianz trial told me that in reality I am assured with another Solucia company ...
Result I go to the trial without lawyer ... as much to tell you that with a good lawyer I could have obtained much more damages
I contact April because I paid a service that they were not able to provide me by asking them what they intended to do in compensation and the everyone does the dead by telling me we take care of it I must relaunch them every month and always no response from them ...
The advisers are rather nice but each time you have to see with their direction and the .....</v>
      </c>
    </row>
    <row r="310" ht="15.75" customHeight="1">
      <c r="A310" s="2">
        <v>4.0</v>
      </c>
      <c r="B310" s="2" t="s">
        <v>984</v>
      </c>
      <c r="C310" s="2" t="s">
        <v>985</v>
      </c>
      <c r="D310" s="2" t="s">
        <v>74</v>
      </c>
      <c r="E310" s="2" t="s">
        <v>14</v>
      </c>
      <c r="F310" s="2" t="s">
        <v>15</v>
      </c>
      <c r="G310" s="2" t="s">
        <v>573</v>
      </c>
      <c r="H310" s="2" t="s">
        <v>209</v>
      </c>
      <c r="I310" s="2" t="str">
        <f>IFERROR(__xludf.DUMMYFUNCTION("GOOGLETRANSLATE(C310,""fr"",""en"")"),"Member for several years and satisfied with the service.
Good responsiveness of advisers. The prices are attractive and the services.")</f>
        <v>Member for several years and satisfied with the service.
Good responsiveness of advisers. The prices are attractive and the services.</v>
      </c>
    </row>
    <row r="311" ht="15.75" customHeight="1">
      <c r="A311" s="2">
        <v>1.0</v>
      </c>
      <c r="B311" s="2" t="s">
        <v>986</v>
      </c>
      <c r="C311" s="2" t="s">
        <v>987</v>
      </c>
      <c r="D311" s="2" t="s">
        <v>45</v>
      </c>
      <c r="E311" s="2" t="s">
        <v>14</v>
      </c>
      <c r="F311" s="2" t="s">
        <v>15</v>
      </c>
      <c r="G311" s="2" t="s">
        <v>988</v>
      </c>
      <c r="H311" s="2" t="s">
        <v>699</v>
      </c>
      <c r="I311" s="2" t="str">
        <f>IFERROR(__xludf.DUMMYFUNCTION("GOOGLETRANSLATE(C311,""fr"",""en"")"),"Following the disappearance of its low-cost subsidiary, Idmacif, I was contacted by the Macif which made me an honest offer on an auto and housing pack, there was cheaper but by my work, I do not Not wanted to get involved in a new costly approach in time"&amp;".
The first year went smoothly but as soon as I have mature, at the Macif it is set for April 30, the concerns started and I quickly realized that this company is not comfortable with the informatic tool. Indeed, as a consultant, I work on long -term mis"&amp;"sions and only returned to France every 2 to 3 months, this a priori harmless situation caused a first termination of my contract. Indeed, due to an incident on the payment which was reported to me by mail but never by email, I could therefore act and 2 m"&amp;"onths after the due date, I was notified by mail of my termination Without any effort to reach me by email or phone (there was no error on my email address since I continued to receive promotional emails).
On my return, I find the letters and moves to th"&amp;"e agency, one of the real advantages of this company, and the person who welcomed me admitted failures to the level of their information system and to resolve the situation, I was asked to settle the entire bonus at once.
Several days later, I realize th"&amp;"at the start date mentioned on the certificate was that of restoring the contract and the due date. I contacted them and asked either to correct the date, or that they reimburse me the overpayment if they wish to keep the date of recovery, especially sinc"&amp;"e the error is shared. They of course refused and in February 2019, I moved and informed them. On the due date, I send them a letter requiring the termination of my car contract (the housing it had to be terminated on the date of the move). In the meantim"&amp;"e, I find another insurance with a start date on June 20 to take into account the notice. 3 weeks after my request for termination, I receive a letter refusing termination on the grounds that the process must be made by the new insurer. I contact the new "&amp;"insurer who agrees to take the process by him and we shift the effective date on July 20 to take into account the new notice.
In the meantime, I ask them for a recalculate of this I owe them so that I can settle in proportion. In response, I receive an "&amp;"""unpaid"" of 625 euros, greater than the annual subscription, for an 89 -day pro rata. I obviously did not pay and expected my return to solve the problem directly in agency.
When I returned, I introduce myself and provided the documents proving that I "&amp;"have moved and asked for a recalculate of the sums due to the pro rata, they recalculate but always keep a penalty of 274 euros for termination by insurance. What is completely necessary since it was I who asked for termination as the law allows me.
Wors"&amp;"e, from a dispute on the amount of contributions, I am released an information statement with the mention terminated by the insurer for non-payment, which borders on bad faith and simply aims to prevent me from ensuring me elsewhere.
Result of the stor"&amp;"y: either I have to pay the overvalued amount of the Macif, or pay a surprise to the new insurer since my profile has become more risky.
Who said that there was no competition in the insurance field?
Currently, I am in procedure before the insurance"&amp;" mediator but what a gachi in terms of time and money for both parties.
")</f>
        <v>Following the disappearance of its low-cost subsidiary, Idmacif, I was contacted by the Macif which made me an honest offer on an auto and housing pack, there was cheaper but by my work, I do not Not wanted to get involved in a new costly approach in time.
The first year went smoothly but as soon as I have mature, at the Macif it is set for April 30, the concerns started and I quickly realized that this company is not comfortable with the informatic tool. Indeed, as a consultant, I work on long -term missions and only returned to France every 2 to 3 months, this a priori harmless situation caused a first termination of my contract. Indeed, due to an incident on the payment which was reported to me by mail but never by email, I could therefore act and 2 months after the due date, I was notified by mail of my termination Without any effort to reach me by email or phone (there was no error on my email address since I continued to receive promotional emails).
On my return, I find the letters and moves to the agency, one of the real advantages of this company, and the person who welcomed me admitted failures to the level of their information system and to resolve the situation, I was asked to settle the entire bonus at once.
Several days later, I realize that the start date mentioned on the certificate was that of restoring the contract and the due date. I contacted them and asked either to correct the date, or that they reimburse me the overpayment if they wish to keep the date of recovery, especially since the error is shared. They of course refused and in February 2019, I moved and informed them. On the due date, I send them a letter requiring the termination of my car contract (the housing it had to be terminated on the date of the move). In the meantime, I find another insurance with a start date on June 20 to take into account the notice. 3 weeks after my request for termination, I receive a letter refusing termination on the grounds that the process must be made by the new insurer. I contact the new insurer who agrees to take the process by him and we shift the effective date on July 20 to take into account the new notice.
In the meantime, I ask them for a recalculate of this I owe them so that I can settle in proportion. In response, I receive an "unpaid" of 625 euros, greater than the annual subscription, for an 89 -day pro rata. I obviously did not pay and expected my return to solve the problem directly in agency.
When I returned, I introduce myself and provided the documents proving that I have moved and asked for a recalculate of the sums due to the pro rata, they recalculate but always keep a penalty of 274 euros for termination by insurance. What is completely necessary since it was I who asked for termination as the law allows me.
Worse, from a dispute on the amount of contributions, I am released an information statement with the mention terminated by the insurer for non-payment, which borders on bad faith and simply aims to prevent me from ensuring me elsewhere.
Result of the story: either I have to pay the overvalued amount of the Macif, or pay a surprise to the new insurer since my profile has become more risky.
Who said that there was no competition in the insurance field?
Currently, I am in procedure before the insurance mediator but what a gachi in terms of time and money for both parties.
</v>
      </c>
    </row>
    <row r="312" ht="15.75" customHeight="1">
      <c r="A312" s="2">
        <v>5.0</v>
      </c>
      <c r="B312" s="2" t="s">
        <v>989</v>
      </c>
      <c r="C312" s="2" t="s">
        <v>990</v>
      </c>
      <c r="D312" s="2" t="s">
        <v>87</v>
      </c>
      <c r="E312" s="2" t="s">
        <v>14</v>
      </c>
      <c r="F312" s="2" t="s">
        <v>15</v>
      </c>
      <c r="G312" s="2" t="s">
        <v>991</v>
      </c>
      <c r="H312" s="2" t="s">
        <v>110</v>
      </c>
      <c r="I312" s="2" t="str">
        <f>IFERROR(__xludf.DUMMYFUNCTION("GOOGLETRANSLATE(C312,""fr"",""en"")"),"The telephone reception is very friendly. The comparison by email is accessible. It's relatively simple. Prices are reasonable compared to other insurers.")</f>
        <v>The telephone reception is very friendly. The comparison by email is accessible. It's relatively simple. Prices are reasonable compared to other insurers.</v>
      </c>
    </row>
    <row r="313" ht="15.75" customHeight="1">
      <c r="A313" s="2">
        <v>5.0</v>
      </c>
      <c r="B313" s="2" t="s">
        <v>992</v>
      </c>
      <c r="C313" s="2" t="s">
        <v>993</v>
      </c>
      <c r="D313" s="2" t="s">
        <v>237</v>
      </c>
      <c r="E313" s="2" t="s">
        <v>14</v>
      </c>
      <c r="F313" s="2" t="s">
        <v>15</v>
      </c>
      <c r="G313" s="2" t="s">
        <v>994</v>
      </c>
      <c r="H313" s="2" t="s">
        <v>122</v>
      </c>
      <c r="I313" s="2" t="str">
        <f>IFERROR(__xludf.DUMMYFUNCTION("GOOGLETRANSLATE(C313,""fr"",""en"")"),"I am assured at third party at Axa Click and Go, their prices challenge all competition. You can take options as an option 0 km in the event of a breakdown, replacement car in the event of an accident, the Joker for under 30 years ... etc")</f>
        <v>I am assured at third party at Axa Click and Go, their prices challenge all competition. You can take options as an option 0 km in the event of a breakdown, replacement car in the event of an accident, the Joker for under 30 years ... etc</v>
      </c>
    </row>
    <row r="314" ht="15.75" customHeight="1">
      <c r="A314" s="2">
        <v>5.0</v>
      </c>
      <c r="B314" s="2" t="s">
        <v>995</v>
      </c>
      <c r="C314" s="2" t="s">
        <v>996</v>
      </c>
      <c r="D314" s="2" t="s">
        <v>92</v>
      </c>
      <c r="E314" s="2" t="s">
        <v>31</v>
      </c>
      <c r="F314" s="2" t="s">
        <v>15</v>
      </c>
      <c r="G314" s="2" t="s">
        <v>997</v>
      </c>
      <c r="H314" s="2" t="s">
        <v>169</v>
      </c>
      <c r="I314" s="2" t="str">
        <f>IFERROR(__xludf.DUMMYFUNCTION("GOOGLETRANSLATE(C314,""fr"",""en"")"),"Suitable price. Simple and quick subscription.
No price exaggeration like many other mutuals ... clear and accessible site. Very satisfied")</f>
        <v>Suitable price. Simple and quick subscription.
No price exaggeration like many other mutuals ... clear and accessible site. Very satisfied</v>
      </c>
    </row>
    <row r="315" ht="15.75" customHeight="1">
      <c r="A315" s="2">
        <v>1.0</v>
      </c>
      <c r="B315" s="2" t="s">
        <v>998</v>
      </c>
      <c r="C315" s="2" t="s">
        <v>999</v>
      </c>
      <c r="D315" s="2" t="s">
        <v>36</v>
      </c>
      <c r="E315" s="2" t="s">
        <v>14</v>
      </c>
      <c r="F315" s="2" t="s">
        <v>15</v>
      </c>
      <c r="G315" s="2" t="s">
        <v>1000</v>
      </c>
      <c r="H315" s="2" t="s">
        <v>89</v>
      </c>
      <c r="I315" s="2" t="str">
        <f>IFERROR(__xludf.DUMMYFUNCTION("GOOGLETRANSLATE(C315,""fr"",""en"")"),"Again refusal to take care of body damage to all -risk insurance. It is hopeless")</f>
        <v>Again refusal to take care of body damage to all -risk insurance. It is hopeless</v>
      </c>
    </row>
    <row r="316" ht="15.75" customHeight="1">
      <c r="A316" s="2">
        <v>1.0</v>
      </c>
      <c r="B316" s="2" t="s">
        <v>1001</v>
      </c>
      <c r="C316" s="2" t="s">
        <v>1002</v>
      </c>
      <c r="D316" s="2" t="s">
        <v>277</v>
      </c>
      <c r="E316" s="2" t="s">
        <v>55</v>
      </c>
      <c r="F316" s="2" t="s">
        <v>15</v>
      </c>
      <c r="G316" s="2" t="s">
        <v>1003</v>
      </c>
      <c r="H316" s="2" t="s">
        <v>57</v>
      </c>
      <c r="I316" s="2" t="str">
        <f>IFERROR(__xludf.DUMMYFUNCTION("GOOGLETRANSLATE(C316,""fr"",""en"")"),"Almost anexistant customer service, information retention, choice of mediocre providers-reparators. In short, the very type of old insurance where the customer is just an annuity. Only one advice: go your way with this insurer.")</f>
        <v>Almost anexistant customer service, information retention, choice of mediocre providers-reparators. In short, the very type of old insurance where the customer is just an annuity. Only one advice: go your way with this insurer.</v>
      </c>
    </row>
    <row r="317" ht="15.75" customHeight="1">
      <c r="A317" s="2">
        <v>2.0</v>
      </c>
      <c r="B317" s="2" t="s">
        <v>1004</v>
      </c>
      <c r="C317" s="2" t="s">
        <v>1005</v>
      </c>
      <c r="D317" s="2" t="s">
        <v>120</v>
      </c>
      <c r="E317" s="2" t="s">
        <v>55</v>
      </c>
      <c r="F317" s="2" t="s">
        <v>15</v>
      </c>
      <c r="G317" s="2" t="s">
        <v>1006</v>
      </c>
      <c r="H317" s="2" t="s">
        <v>263</v>
      </c>
      <c r="I317" s="2" t="str">
        <f>IFERROR(__xludf.DUMMYFUNCTION("GOOGLETRANSLATE(C317,""fr"",""en"")"),"I have for 40 years I have just had a sinister the banner of my terrace was damaged by a gale although being assured for external goods my insurer answered me like what I was not insured because he nor had No storm (you have to be silly to unfold a banner"&amp;" on a storm day)
A commercial gesture was made € 200 on a damage of more than a thousand euros (for info I pay around 10,000 € per year between my vehicle and home company
You have to believe that the maaf assures that what it risks
I advise you to f"&amp;"avor another insurance even if it is slightly more expensive
Thierry Rossillol")</f>
        <v>I have for 40 years I have just had a sinister the banner of my terrace was damaged by a gale although being assured for external goods my insurer answered me like what I was not insured because he nor had No storm (you have to be silly to unfold a banner on a storm day)
A commercial gesture was made € 200 on a damage of more than a thousand euros (for info I pay around 10,000 € per year between my vehicle and home company
You have to believe that the maaf assures that what it risks
I advise you to favor another insurance even if it is slightly more expensive
Thierry Rossillol</v>
      </c>
    </row>
    <row r="318" ht="15.75" customHeight="1">
      <c r="A318" s="2">
        <v>1.0</v>
      </c>
      <c r="B318" s="2" t="s">
        <v>1007</v>
      </c>
      <c r="C318" s="2" t="s">
        <v>1008</v>
      </c>
      <c r="D318" s="2" t="s">
        <v>45</v>
      </c>
      <c r="E318" s="2" t="s">
        <v>65</v>
      </c>
      <c r="F318" s="2" t="s">
        <v>15</v>
      </c>
      <c r="G318" s="2" t="s">
        <v>1009</v>
      </c>
      <c r="H318" s="2" t="s">
        <v>122</v>
      </c>
      <c r="I318" s="2" t="str">
        <f>IFERROR(__xludf.DUMMYFUNCTION("GOOGLETRANSLATE(C318,""fr"",""en"")"),"I have been partially incapacity since 12/01/2017 and I perceive from the RSI a disability pension in this capacity on the other hand I have provident insurance for the self -employed who must also intervene in addition but to date no new For them, I have"&amp;" been waiting for 5 months. I was summoned for medical expertise that has noticed and validated my state of health and since nothing.
-Lettre recommended unanswered
-3 unanswered emails
It becomes unacceptable and unbearable, lack of blatant communicat"&amp;"ion, telephone calls are clearly accused.
Should we go through a lawyer? I think I will do this because I have legal protection in another insurance company, I will see with them.
")</f>
        <v>I have been partially incapacity since 12/01/2017 and I perceive from the RSI a disability pension in this capacity on the other hand I have provident insurance for the self -employed who must also intervene in addition but to date no new For them, I have been waiting for 5 months. I was summoned for medical expertise that has noticed and validated my state of health and since nothing.
-Lettre recommended unanswered
-3 unanswered emails
It becomes unacceptable and unbearable, lack of blatant communication, telephone calls are clearly accused.
Should we go through a lawyer? I think I will do this because I have legal protection in another insurance company, I will see with them.
</v>
      </c>
    </row>
    <row r="319" ht="15.75" customHeight="1">
      <c r="A319" s="2">
        <v>1.0</v>
      </c>
      <c r="B319" s="2" t="s">
        <v>1010</v>
      </c>
      <c r="C319" s="2" t="s">
        <v>1011</v>
      </c>
      <c r="D319" s="2" t="s">
        <v>13</v>
      </c>
      <c r="E319" s="2" t="s">
        <v>14</v>
      </c>
      <c r="F319" s="2" t="s">
        <v>15</v>
      </c>
      <c r="G319" s="2" t="s">
        <v>1012</v>
      </c>
      <c r="H319" s="2" t="s">
        <v>1013</v>
      </c>
      <c r="I319" s="2" t="str">
        <f>IFERROR(__xludf.DUMMYFUNCTION("GOOGLETRANSLATE(C319,""fr"",""en"")"),"People do not communicate with each other!
Not followed in the customer file!
When you have any problems, there is no one to help you.
When you need to call customer service several times for the same problem, you have to repeat the same discource with"&amp;" each call since you never fall the same people!
")</f>
        <v>People do not communicate with each other!
Not followed in the customer file!
When you have any problems, there is no one to help you.
When you need to call customer service several times for the same problem, you have to repeat the same discource with each call since you never fall the same people!
</v>
      </c>
    </row>
    <row r="320" ht="15.75" customHeight="1">
      <c r="A320" s="2">
        <v>2.0</v>
      </c>
      <c r="B320" s="2" t="s">
        <v>1014</v>
      </c>
      <c r="C320" s="2" t="s">
        <v>1015</v>
      </c>
      <c r="D320" s="2" t="s">
        <v>13</v>
      </c>
      <c r="E320" s="2" t="s">
        <v>14</v>
      </c>
      <c r="F320" s="2" t="s">
        <v>15</v>
      </c>
      <c r="G320" s="2" t="s">
        <v>1016</v>
      </c>
      <c r="H320" s="2" t="s">
        <v>57</v>
      </c>
      <c r="I320" s="2" t="str">
        <f>IFERROR(__xludf.DUMMYFUNCTION("GOOGLETRANSLATE(C320,""fr"",""en"")"),"As part of a move with an increase in the insurance premium, Direct Insurance refuses the termination however provided in this case by the Hamon law, (Art 113-16 of the insurance code)
They invoke the fact that this reason is not provided in their genera"&amp;"l conditions ...
Well let's see ... so direct insurance is above the laws, know it !!!
Go your way.")</f>
        <v>As part of a move with an increase in the insurance premium, Direct Insurance refuses the termination however provided in this case by the Hamon law, (Art 113-16 of the insurance code)
They invoke the fact that this reason is not provided in their general conditions ...
Well let's see ... so direct insurance is above the laws, know it !!!
Go your way.</v>
      </c>
    </row>
    <row r="321" ht="15.75" customHeight="1">
      <c r="A321" s="2">
        <v>1.0</v>
      </c>
      <c r="B321" s="2" t="s">
        <v>1017</v>
      </c>
      <c r="C321" s="2" t="s">
        <v>1018</v>
      </c>
      <c r="D321" s="2" t="s">
        <v>227</v>
      </c>
      <c r="E321" s="2" t="s">
        <v>14</v>
      </c>
      <c r="F321" s="2" t="s">
        <v>15</v>
      </c>
      <c r="G321" s="2" t="s">
        <v>1019</v>
      </c>
      <c r="H321" s="2" t="s">
        <v>186</v>
      </c>
      <c r="I321" s="2" t="str">
        <f>IFERROR(__xludf.DUMMYFUNCTION("GOOGLETRANSLATE(C321,""fr"",""en"")"),"After a non -responsible disaster in 2018.
To date no return of the services concerned, despite several calls, and evasive answers
I had to drop.
")</f>
        <v>After a non -responsible disaster in 2018.
To date no return of the services concerned, despite several calls, and evasive answers
I had to drop.
</v>
      </c>
    </row>
    <row r="322" ht="15.75" customHeight="1">
      <c r="A322" s="2">
        <v>1.0</v>
      </c>
      <c r="B322" s="2" t="s">
        <v>1020</v>
      </c>
      <c r="C322" s="2" t="s">
        <v>1021</v>
      </c>
      <c r="D322" s="2" t="s">
        <v>237</v>
      </c>
      <c r="E322" s="2" t="s">
        <v>14</v>
      </c>
      <c r="F322" s="2" t="s">
        <v>15</v>
      </c>
      <c r="G322" s="2" t="s">
        <v>1022</v>
      </c>
      <c r="H322" s="2" t="s">
        <v>17</v>
      </c>
      <c r="I322" s="2" t="str">
        <f>IFERROR(__xludf.DUMMYFUNCTION("GOOGLETRANSLATE(C322,""fr"",""en"")"),"To flee at all costs, zero customer relations, I have been asking for several months an information statement via the application, the site or by call and I still have nothing.
My son finished his accompanied conduct, I want the notified on my contract, "&amp;"I sent an email some time ago, the same still no answer.
My daughter who has just been 18 years old, I call for the notified as a secondary driver on my contract, I was walked from service to service to tell me that the online person can do nothing for m"&amp;"e and tells me that an advisor will remind me of, it's been 3 days .........
The competition must be happy :-)")</f>
        <v>To flee at all costs, zero customer relations, I have been asking for several months an information statement via the application, the site or by call and I still have nothing.
My son finished his accompanied conduct, I want the notified on my contract, I sent an email some time ago, the same still no answer.
My daughter who has just been 18 years old, I call for the notified as a secondary driver on my contract, I was walked from service to service to tell me that the online person can do nothing for me and tells me that an advisor will remind me of, it's been 3 days .........
The competition must be happy :-)</v>
      </c>
    </row>
    <row r="323" ht="15.75" customHeight="1">
      <c r="A323" s="2">
        <v>5.0</v>
      </c>
      <c r="B323" s="2" t="s">
        <v>1023</v>
      </c>
      <c r="C323" s="2" t="s">
        <v>1024</v>
      </c>
      <c r="D323" s="2" t="s">
        <v>87</v>
      </c>
      <c r="E323" s="2" t="s">
        <v>14</v>
      </c>
      <c r="F323" s="2" t="s">
        <v>15</v>
      </c>
      <c r="G323" s="2" t="s">
        <v>1025</v>
      </c>
      <c r="H323" s="2" t="s">
        <v>57</v>
      </c>
      <c r="I323" s="2" t="str">
        <f>IFERROR(__xludf.DUMMYFUNCTION("GOOGLETRANSLATE(C323,""fr"",""en"")"),"This insurer launches on the French market by offering guarantee and conditions equivalent to insurers established with a ""remote"" model and telephone, and very competitive rates.
To consult for who is familiar with the Internet and seeks the best guar"&amp;"anteed/price ratio.")</f>
        <v>This insurer launches on the French market by offering guarantee and conditions equivalent to insurers established with a "remote" model and telephone, and very competitive rates.
To consult for who is familiar with the Internet and seeks the best guaranteed/price ratio.</v>
      </c>
    </row>
    <row r="324" ht="15.75" customHeight="1">
      <c r="A324" s="2">
        <v>3.0</v>
      </c>
      <c r="B324" s="2" t="s">
        <v>1026</v>
      </c>
      <c r="C324" s="2" t="s">
        <v>1027</v>
      </c>
      <c r="D324" s="2" t="s">
        <v>74</v>
      </c>
      <c r="E324" s="2" t="s">
        <v>14</v>
      </c>
      <c r="F324" s="2" t="s">
        <v>15</v>
      </c>
      <c r="G324" s="2" t="s">
        <v>1028</v>
      </c>
      <c r="H324" s="2" t="s">
        <v>718</v>
      </c>
      <c r="I324" s="2" t="str">
        <f>IFERROR(__xludf.DUMMYFUNCTION("GOOGLETRANSLATE(C324,""fr"",""en"")"),"The online advisers are very nice but not at all coordinated with the agencies. The prices announced are very different and customer service is execrable, I really do not recommend! Especially in Montpellier ... Considering that prices are not competitive"&amp;" at all, even for civil servants!")</f>
        <v>The online advisers are very nice but not at all coordinated with the agencies. The prices announced are very different and customer service is execrable, I really do not recommend! Especially in Montpellier ... Considering that prices are not competitive at all, even for civil servants!</v>
      </c>
    </row>
    <row r="325" ht="15.75" customHeight="1">
      <c r="A325" s="2">
        <v>1.0</v>
      </c>
      <c r="B325" s="2" t="s">
        <v>1029</v>
      </c>
      <c r="C325" s="2" t="s">
        <v>1030</v>
      </c>
      <c r="D325" s="2" t="s">
        <v>64</v>
      </c>
      <c r="E325" s="2" t="s">
        <v>65</v>
      </c>
      <c r="F325" s="2" t="s">
        <v>15</v>
      </c>
      <c r="G325" s="2" t="s">
        <v>1031</v>
      </c>
      <c r="H325" s="2" t="s">
        <v>209</v>
      </c>
      <c r="I325" s="2" t="str">
        <f>IFERROR(__xludf.DUMMYFUNCTION("GOOGLETRANSLATE(C325,""fr"",""en"")"),"Flee !!!! we can't put zero stars…. For several years I pay quite expensive (in any case more than elsewhere after having inquired). waiting for a negative response that I had to obtain by calling insistently. I sent me the same mail 3 times to tell me th"&amp;"at the letters were treated within 3 weeks even if they are similar !!! I wait more than two months for me to be told it is refused under article 12. Which one is article 12? I do not know it is article 12, in the meantime it leaves the families punctured"&amp;" the slab .dem for the mutual that I have at home by employer obligation 25 days of waiting for reimbursements of care up to € 680 . I have 2 children, their father is quadriplegic. When I have subscribed, to take my cash I was told no worries you will be"&amp;" covered! It is that confusion, identical repeated mail, story to dissuade, untimely calls to have ballad answers, and ultimately refusals. Do not do your money believe me, look elsewhere !!!! me everything will be terminated in the daytime !")</f>
        <v>Flee !!!! we can't put zero stars…. For several years I pay quite expensive (in any case more than elsewhere after having inquired). waiting for a negative response that I had to obtain by calling insistently. I sent me the same mail 3 times to tell me that the letters were treated within 3 weeks even if they are similar !!! I wait more than two months for me to be told it is refused under article 12. Which one is article 12? I do not know it is article 12, in the meantime it leaves the families punctured the slab .dem for the mutual that I have at home by employer obligation 25 days of waiting for reimbursements of care up to € 680 . I have 2 children, their father is quadriplegic. When I have subscribed, to take my cash I was told no worries you will be covered! It is that confusion, identical repeated mail, story to dissuade, untimely calls to have ballad answers, and ultimately refusals. Do not do your money believe me, look elsewhere !!!! me everything will be terminated in the daytime !</v>
      </c>
    </row>
    <row r="326" ht="15.75" customHeight="1">
      <c r="A326" s="2">
        <v>5.0</v>
      </c>
      <c r="B326" s="2" t="s">
        <v>1032</v>
      </c>
      <c r="C326" s="2" t="s">
        <v>1033</v>
      </c>
      <c r="D326" s="2" t="s">
        <v>201</v>
      </c>
      <c r="E326" s="2" t="s">
        <v>21</v>
      </c>
      <c r="F326" s="2" t="s">
        <v>15</v>
      </c>
      <c r="G326" s="2" t="s">
        <v>1034</v>
      </c>
      <c r="H326" s="2" t="s">
        <v>190</v>
      </c>
      <c r="I326" s="2" t="str">
        <f>IFERROR(__xludf.DUMMYFUNCTION("GOOGLETRANSLATE(C326,""fr"",""en"")"),"This insurance and well nivaux explanation and nivaux price
and I follow satisfied about the information that I could have in such
super insurance
Cordially")</f>
        <v>This insurance and well nivaux explanation and nivaux price
and I follow satisfied about the information that I could have in such
super insurance
Cordially</v>
      </c>
    </row>
    <row r="327" ht="15.75" customHeight="1">
      <c r="A327" s="2">
        <v>3.0</v>
      </c>
      <c r="B327" s="2" t="s">
        <v>1035</v>
      </c>
      <c r="C327" s="2" t="s">
        <v>1036</v>
      </c>
      <c r="D327" s="2" t="s">
        <v>120</v>
      </c>
      <c r="E327" s="2" t="s">
        <v>14</v>
      </c>
      <c r="F327" s="2" t="s">
        <v>15</v>
      </c>
      <c r="G327" s="2" t="s">
        <v>600</v>
      </c>
      <c r="H327" s="2" t="s">
        <v>324</v>
      </c>
      <c r="I327" s="2" t="str">
        <f>IFERROR(__xludf.DUMMYFUNCTION("GOOGLETRANSLATE(C327,""fr"",""en"")"),"Super welcome in agency, they do everything to meet customer expectations, I highly recommend.
A little expensive maybe but certainly due to the value for money
Lunel agency 34400")</f>
        <v>Super welcome in agency, they do everything to meet customer expectations, I highly recommend.
A little expensive maybe but certainly due to the value for money
Lunel agency 34400</v>
      </c>
    </row>
    <row r="328" ht="15.75" customHeight="1">
      <c r="A328" s="2">
        <v>1.0</v>
      </c>
      <c r="B328" s="2" t="s">
        <v>1037</v>
      </c>
      <c r="C328" s="2" t="s">
        <v>1038</v>
      </c>
      <c r="D328" s="2" t="s">
        <v>70</v>
      </c>
      <c r="E328" s="2" t="s">
        <v>31</v>
      </c>
      <c r="F328" s="2" t="s">
        <v>15</v>
      </c>
      <c r="G328" s="2" t="s">
        <v>1039</v>
      </c>
      <c r="H328" s="2" t="s">
        <v>493</v>
      </c>
      <c r="I328" s="2" t="str">
        <f>IFERROR(__xludf.DUMMYFUNCTION("GOOGLETRANSLATE(C328,""fr"",""en"")"),"I am still waiting for reimbursements for 2018. I terminated at 12/31/2018. They did not want to claim that I was not a customer for over a year when I was a client for over 2 years. They never answer. Many difficulties already in subscription. Send recom"&amp;"mended letters in October, November 2018 and January 2019, which has remained without any response still awaiting reimbursements.")</f>
        <v>I am still waiting for reimbursements for 2018. I terminated at 12/31/2018. They did not want to claim that I was not a customer for over a year when I was a client for over 2 years. They never answer. Many difficulties already in subscription. Send recommended letters in October, November 2018 and January 2019, which has remained without any response still awaiting reimbursements.</v>
      </c>
    </row>
    <row r="329" ht="15.75" customHeight="1">
      <c r="A329" s="2">
        <v>1.0</v>
      </c>
      <c r="B329" s="2" t="s">
        <v>1040</v>
      </c>
      <c r="C329" s="2" t="s">
        <v>1041</v>
      </c>
      <c r="D329" s="2" t="s">
        <v>13</v>
      </c>
      <c r="E329" s="2" t="s">
        <v>14</v>
      </c>
      <c r="F329" s="2" t="s">
        <v>15</v>
      </c>
      <c r="G329" s="2" t="s">
        <v>1042</v>
      </c>
      <c r="H329" s="2" t="s">
        <v>122</v>
      </c>
      <c r="I329" s="2" t="str">
        <f>IFERROR(__xludf.DUMMYFUNCTION("GOOGLETRANSLATE(C329,""fr"",""en"")"),"Outsourced services in Morocco that is difficult to reach. Price that looks interesting but too expensive for a non -existent service. Because when you have a claim and you enter the claim file the same day and insurance takes more than a week before cont"&amp;"acting you, and tells you that the vehicle is moved to a garage for expertise. And your advisor assures you that the expert has gone to see your vehicle, and you realize that your vehicle has not moved, and they tell you that the guard costs are your resp"&amp;"onsibility. We promise you a replacement car, just to calm you down, but it will never come like each of their promises. The expert defines the value of the vehicle via ads Le Bon Coin, and suddenly under evaluating the real value. Your advisor after twen"&amp;"ty emails and thirty phone calls tells you that you can contest the estimate. Their response to this takes time to achieve you despite being negative. Without ever that the advisor or insurance communicates a time limit to you, when they receive your docu"&amp;"ments for compensation, they refuse it to you.
Flee this insurance that will take your money and willingly leave you to your misfortune when you need real insurance.")</f>
        <v>Outsourced services in Morocco that is difficult to reach. Price that looks interesting but too expensive for a non -existent service. Because when you have a claim and you enter the claim file the same day and insurance takes more than a week before contacting you, and tells you that the vehicle is moved to a garage for expertise. And your advisor assures you that the expert has gone to see your vehicle, and you realize that your vehicle has not moved, and they tell you that the guard costs are your responsibility. We promise you a replacement car, just to calm you down, but it will never come like each of their promises. The expert defines the value of the vehicle via ads Le Bon Coin, and suddenly under evaluating the real value. Your advisor after twenty emails and thirty phone calls tells you that you can contest the estimate. Their response to this takes time to achieve you despite being negative. Without ever that the advisor or insurance communicates a time limit to you, when they receive your documents for compensation, they refuse it to you.
Flee this insurance that will take your money and willingly leave you to your misfortune when you need real insurance.</v>
      </c>
    </row>
    <row r="330" ht="15.75" customHeight="1">
      <c r="A330" s="2">
        <v>1.0</v>
      </c>
      <c r="B330" s="2" t="s">
        <v>1043</v>
      </c>
      <c r="C330" s="2" t="s">
        <v>1044</v>
      </c>
      <c r="D330" s="2" t="s">
        <v>156</v>
      </c>
      <c r="E330" s="2" t="s">
        <v>31</v>
      </c>
      <c r="F330" s="2" t="s">
        <v>15</v>
      </c>
      <c r="G330" s="2" t="s">
        <v>1045</v>
      </c>
      <c r="H330" s="2" t="s">
        <v>138</v>
      </c>
      <c r="I330" s="2" t="str">
        <f>IFERROR(__xludf.DUMMYFUNCTION("GOOGLETRANSLATE(C330,""fr"",""en"")"),"Never seen a mutual insurance company where everything is so complicated: at start -up I waited for more than a month to have my paid third party card. When I left they did not disconnect from the NOEMIE remote transmission (I called them 5 times, sent 5 "&amp;"emails). The advisers we have after 30 minutes of waiting are incompetent. To flee absolutely!")</f>
        <v>Never seen a mutual insurance company where everything is so complicated: at start -up I waited for more than a month to have my paid third party card. When I left they did not disconnect from the NOEMIE remote transmission (I called them 5 times, sent 5 emails). The advisers we have after 30 minutes of waiting are incompetent. To flee absolutely!</v>
      </c>
    </row>
    <row r="331" ht="15.75" customHeight="1">
      <c r="A331" s="2">
        <v>1.0</v>
      </c>
      <c r="B331" s="2" t="s">
        <v>1046</v>
      </c>
      <c r="C331" s="2" t="s">
        <v>1047</v>
      </c>
      <c r="D331" s="2" t="s">
        <v>13</v>
      </c>
      <c r="E331" s="2" t="s">
        <v>14</v>
      </c>
      <c r="F331" s="2" t="s">
        <v>15</v>
      </c>
      <c r="G331" s="2" t="s">
        <v>937</v>
      </c>
      <c r="H331" s="2" t="s">
        <v>27</v>
      </c>
      <c r="I331" s="2" t="str">
        <f>IFERROR(__xludf.DUMMYFUNCTION("GOOGLETRANSLATE(C331,""fr"",""en"")"),"I am dissatisfied. Greeting declared on 04/12/21 does not appear in my space, the provider approved by Direct Assurances is asked for technical control impossible to send them by email because the letters are rejected. I spent the afternoon trying to solv"&amp;"e this problem and did not succeed. I am angry especially since I have subscribed in any risk without deductible broken ice !!!!")</f>
        <v>I am dissatisfied. Greeting declared on 04/12/21 does not appear in my space, the provider approved by Direct Assurances is asked for technical control impossible to send them by email because the letters are rejected. I spent the afternoon trying to solve this problem and did not succeed. I am angry especially since I have subscribed in any risk without deductible broken ice !!!!</v>
      </c>
    </row>
    <row r="332" ht="15.75" customHeight="1">
      <c r="A332" s="2">
        <v>5.0</v>
      </c>
      <c r="B332" s="2" t="s">
        <v>1048</v>
      </c>
      <c r="C332" s="2" t="s">
        <v>1049</v>
      </c>
      <c r="D332" s="2" t="s">
        <v>795</v>
      </c>
      <c r="E332" s="2" t="s">
        <v>246</v>
      </c>
      <c r="F332" s="2" t="s">
        <v>15</v>
      </c>
      <c r="G332" s="2" t="s">
        <v>268</v>
      </c>
      <c r="H332" s="2" t="s">
        <v>263</v>
      </c>
      <c r="I332" s="2" t="str">
        <f>IFERROR(__xludf.DUMMYFUNCTION("GOOGLETRANSLATE(C332,""fr"",""en"")"),"Hello, I am pleasantly surprised, at the beginning I had a lot of hesitation with the negative comments, I subscribed to ECA in March for my ferret and unfortunately she declared a pathology in July and I thought I was losing it happily I have a great vet"&amp;"o, I filled the insurance papers and I just received an email that I will be reimbursed up to 70%, I will keep this insurance for my ferret, I am sure, I think that you have to read the contract so as not to be disappointed and patience.")</f>
        <v>Hello, I am pleasantly surprised, at the beginning I had a lot of hesitation with the negative comments, I subscribed to ECA in March for my ferret and unfortunately she declared a pathology in July and I thought I was losing it happily I have a great veto, I filled the insurance papers and I just received an email that I will be reimbursed up to 70%, I will keep this insurance for my ferret, I am sure, I think that you have to read the contract so as not to be disappointed and patience.</v>
      </c>
    </row>
    <row r="333" ht="15.75" customHeight="1">
      <c r="A333" s="2">
        <v>4.0</v>
      </c>
      <c r="B333" s="2" t="s">
        <v>1050</v>
      </c>
      <c r="C333" s="2" t="s">
        <v>1051</v>
      </c>
      <c r="D333" s="2" t="s">
        <v>74</v>
      </c>
      <c r="E333" s="2" t="s">
        <v>14</v>
      </c>
      <c r="F333" s="2" t="s">
        <v>15</v>
      </c>
      <c r="G333" s="2" t="s">
        <v>842</v>
      </c>
      <c r="H333" s="2" t="s">
        <v>190</v>
      </c>
      <c r="I333" s="2" t="str">
        <f>IFERROR(__xludf.DUMMYFUNCTION("GOOGLETRANSLATE(C333,""fr"",""en"")"),"I am satisfied with the service rendered by the GMF linked to my request.
However, not fast enough the reception of the vehicle green card and therefore need to print a certificate.")</f>
        <v>I am satisfied with the service rendered by the GMF linked to my request.
However, not fast enough the reception of the vehicle green card and therefore need to print a certificate.</v>
      </c>
    </row>
    <row r="334" ht="15.75" customHeight="1">
      <c r="A334" s="2">
        <v>2.0</v>
      </c>
      <c r="B334" s="2" t="s">
        <v>1052</v>
      </c>
      <c r="C334" s="2" t="s">
        <v>1053</v>
      </c>
      <c r="D334" s="2" t="s">
        <v>36</v>
      </c>
      <c r="E334" s="2" t="s">
        <v>55</v>
      </c>
      <c r="F334" s="2" t="s">
        <v>15</v>
      </c>
      <c r="G334" s="2" t="s">
        <v>1054</v>
      </c>
      <c r="H334" s="2" t="s">
        <v>473</v>
      </c>
      <c r="I334" s="2" t="str">
        <f>IFERROR(__xludf.DUMMYFUNCTION("GOOGLETRANSLATE(C334,""fr"",""en"")"),"F16017766618R
MAIF no longer offers the service that corresponded to its image, customer service that has become nonexistent")</f>
        <v>F16017766618R
MAIF no longer offers the service that corresponded to its image, customer service that has become nonexistent</v>
      </c>
    </row>
    <row r="335" ht="15.75" customHeight="1">
      <c r="A335" s="2">
        <v>2.0</v>
      </c>
      <c r="B335" s="2" t="s">
        <v>1055</v>
      </c>
      <c r="C335" s="2" t="s">
        <v>1056</v>
      </c>
      <c r="D335" s="2" t="s">
        <v>13</v>
      </c>
      <c r="E335" s="2" t="s">
        <v>14</v>
      </c>
      <c r="F335" s="2" t="s">
        <v>15</v>
      </c>
      <c r="G335" s="2" t="s">
        <v>1057</v>
      </c>
      <c r="H335" s="2" t="s">
        <v>61</v>
      </c>
      <c r="I335" s="2" t="str">
        <f>IFERROR(__xludf.DUMMYFUNCTION("GOOGLETRANSLATE(C335,""fr"",""en"")"),"partially satisfied with the service.
No price increase but no drop when we have been confined since March 2020 .... to see I think
")</f>
        <v>partially satisfied with the service.
No price increase but no drop when we have been confined since March 2020 .... to see I think
</v>
      </c>
    </row>
    <row r="336" ht="15.75" customHeight="1">
      <c r="A336" s="2">
        <v>4.0</v>
      </c>
      <c r="B336" s="2" t="s">
        <v>1058</v>
      </c>
      <c r="C336" s="2" t="s">
        <v>1059</v>
      </c>
      <c r="D336" s="2" t="s">
        <v>70</v>
      </c>
      <c r="E336" s="2" t="s">
        <v>31</v>
      </c>
      <c r="F336" s="2" t="s">
        <v>15</v>
      </c>
      <c r="G336" s="2" t="s">
        <v>1060</v>
      </c>
      <c r="H336" s="2" t="s">
        <v>103</v>
      </c>
      <c r="I336" s="2" t="str">
        <f>IFERROR(__xludf.DUMMYFUNCTION("GOOGLETRANSLATE(C336,""fr"",""en"")"),"VERY GOOD. No worries. Good Teletransmission. Possibility of changing the formula quickly. Rapid reimbursements")</f>
        <v>VERY GOOD. No worries. Good Teletransmission. Possibility of changing the formula quickly. Rapid reimbursements</v>
      </c>
    </row>
    <row r="337" ht="15.75" customHeight="1">
      <c r="A337" s="2">
        <v>4.0</v>
      </c>
      <c r="B337" s="2" t="s">
        <v>1061</v>
      </c>
      <c r="C337" s="2" t="s">
        <v>1062</v>
      </c>
      <c r="D337" s="2" t="s">
        <v>70</v>
      </c>
      <c r="E337" s="2" t="s">
        <v>31</v>
      </c>
      <c r="F337" s="2" t="s">
        <v>15</v>
      </c>
      <c r="G337" s="2" t="s">
        <v>1063</v>
      </c>
      <c r="H337" s="2" t="s">
        <v>239</v>
      </c>
      <c r="I337" s="2" t="str">
        <f>IFERROR(__xludf.DUMMYFUNCTION("GOOGLETRANSLATE(C337,""fr"",""en"")"),"Following the telephone contact with your Erika advisor perfectly responds to my perfect courteous and pleasant information")</f>
        <v>Following the telephone contact with your Erika advisor perfectly responds to my perfect courteous and pleasant information</v>
      </c>
    </row>
    <row r="338" ht="15.75" customHeight="1">
      <c r="A338" s="2">
        <v>4.0</v>
      </c>
      <c r="B338" s="2" t="s">
        <v>1064</v>
      </c>
      <c r="C338" s="2" t="s">
        <v>1065</v>
      </c>
      <c r="D338" s="2" t="s">
        <v>13</v>
      </c>
      <c r="E338" s="2" t="s">
        <v>14</v>
      </c>
      <c r="F338" s="2" t="s">
        <v>15</v>
      </c>
      <c r="G338" s="2" t="s">
        <v>683</v>
      </c>
      <c r="H338" s="2" t="s">
        <v>42</v>
      </c>
      <c r="I338" s="2" t="str">
        <f>IFERROR(__xludf.DUMMYFUNCTION("GOOGLETRANSLATE(C338,""fr"",""en"")"),"Looking for a new auto and home insurance contract, I found correct prices and services, fast and efficient service, availability of advisers. Really top, I recommend direct insurance.")</f>
        <v>Looking for a new auto and home insurance contract, I found correct prices and services, fast and efficient service, availability of advisers. Really top, I recommend direct insurance.</v>
      </c>
    </row>
    <row r="339" ht="15.75" customHeight="1">
      <c r="A339" s="2">
        <v>4.0</v>
      </c>
      <c r="B339" s="2" t="s">
        <v>1066</v>
      </c>
      <c r="C339" s="2" t="s">
        <v>1067</v>
      </c>
      <c r="D339" s="2" t="s">
        <v>30</v>
      </c>
      <c r="E339" s="2" t="s">
        <v>31</v>
      </c>
      <c r="F339" s="2" t="s">
        <v>15</v>
      </c>
      <c r="G339" s="2" t="s">
        <v>1068</v>
      </c>
      <c r="H339" s="2" t="s">
        <v>190</v>
      </c>
      <c r="I339" s="2" t="str">
        <f>IFERROR(__xludf.DUMMYFUNCTION("GOOGLETRANSLATE(C339,""fr"",""en"")"),"Overall satisfied. The prices are substantial and not always up to expectations, especially in eyewear. Refund of progressive frames and glasses ... always forced to compensate, without having luxury tastes and going to the store sponsored by the MGP ... "&amp;"Too long treatment deadlines. Home of operators always friendly and still enlightened opinions. 38 years of loyalty do not give the right to personalized advantages, it's a shame.")</f>
        <v>Overall satisfied. The prices are substantial and not always up to expectations, especially in eyewear. Refund of progressive frames and glasses ... always forced to compensate, without having luxury tastes and going to the store sponsored by the MGP ... Too long treatment deadlines. Home of operators always friendly and still enlightened opinions. 38 years of loyalty do not give the right to personalized advantages, it's a shame.</v>
      </c>
    </row>
    <row r="340" ht="15.75" customHeight="1">
      <c r="A340" s="2">
        <v>4.0</v>
      </c>
      <c r="B340" s="2" t="s">
        <v>1069</v>
      </c>
      <c r="C340" s="2" t="s">
        <v>1070</v>
      </c>
      <c r="D340" s="2" t="s">
        <v>50</v>
      </c>
      <c r="E340" s="2" t="s">
        <v>21</v>
      </c>
      <c r="F340" s="2" t="s">
        <v>15</v>
      </c>
      <c r="G340" s="2" t="s">
        <v>1071</v>
      </c>
      <c r="H340" s="2" t="s">
        <v>27</v>
      </c>
      <c r="I340" s="2" t="str">
        <f>IFERROR(__xludf.DUMMYFUNCTION("GOOGLETRANSLATE(C340,""fr"",""en"")"),"Fast service and subscribing it is fast we will see if customer service is also effective over time, for the time being surrounded its starts well")</f>
        <v>Fast service and subscribing it is fast we will see if customer service is also effective over time, for the time being surrounded its starts well</v>
      </c>
    </row>
    <row r="341" ht="15.75" customHeight="1">
      <c r="A341" s="2">
        <v>2.0</v>
      </c>
      <c r="B341" s="2" t="s">
        <v>1072</v>
      </c>
      <c r="C341" s="2" t="s">
        <v>1073</v>
      </c>
      <c r="D341" s="2" t="s">
        <v>581</v>
      </c>
      <c r="E341" s="2" t="s">
        <v>31</v>
      </c>
      <c r="F341" s="2" t="s">
        <v>15</v>
      </c>
      <c r="G341" s="2" t="s">
        <v>808</v>
      </c>
      <c r="H341" s="2" t="s">
        <v>110</v>
      </c>
      <c r="I341" s="2" t="str">
        <f>IFERROR(__xludf.DUMMYFUNCTION("GOOGLETRANSLATE(C341,""fr"",""en"")"),"Also awaiting reimbursement of expenses paid directly to practitioners (3 1/2 months), 4 unanswered emails on the site, invoices referral, telephone calls (answering machine ....), and after reading all the critics, I went to their headquarters. I live in"&amp;" the Var for 2 hours round trip
They do not receive an audience, cause Cauvid, but I sounded: a lady came, I explained everything, a little annoyed, the lady remained calm, explained to me not to be in question .... Yes, she is only an employee. sorry
B"&amp;"ut took all my invoices and left to pay them. 20 minutes later, confirmed to me that the transfer would be on my account within 3-4 days. I asked what was going on, why they didn't answer emails, etc. People are angry ...
Indeed, they have a software pro"&amp;"blem: changed for 3-4 months, the tilting did not go well, everything remained pending, they hired trainees to cleare the delays. Here, I solved my problem, but I'm waiting for the rest. Here is the email that this lady indicated to me to send the documen"&amp;"ts, grievances, etc .... moncontratsanté@cegema.com.
I just received an email on apologies .....")</f>
        <v>Also awaiting reimbursement of expenses paid directly to practitioners (3 1/2 months), 4 unanswered emails on the site, invoices referral, telephone calls (answering machine ....), and after reading all the critics, I went to their headquarters. I live in the Var for 2 hours round trip
They do not receive an audience, cause Cauvid, but I sounded: a lady came, I explained everything, a little annoyed, the lady remained calm, explained to me not to be in question .... Yes, she is only an employee. sorry
But took all my invoices and left to pay them. 20 minutes later, confirmed to me that the transfer would be on my account within 3-4 days. I asked what was going on, why they didn't answer emails, etc. People are angry ...
Indeed, they have a software problem: changed for 3-4 months, the tilting did not go well, everything remained pending, they hired trainees to cleare the delays. Here, I solved my problem, but I'm waiting for the rest. Here is the email that this lady indicated to me to send the documents, grievances, etc .... moncontratsanté@cegema.com.
I just received an email on apologies .....</v>
      </c>
    </row>
    <row r="342" ht="15.75" customHeight="1">
      <c r="A342" s="2">
        <v>4.0</v>
      </c>
      <c r="B342" s="2" t="s">
        <v>1074</v>
      </c>
      <c r="C342" s="2" t="s">
        <v>1075</v>
      </c>
      <c r="D342" s="2" t="s">
        <v>13</v>
      </c>
      <c r="E342" s="2" t="s">
        <v>14</v>
      </c>
      <c r="F342" s="2" t="s">
        <v>15</v>
      </c>
      <c r="G342" s="2" t="s">
        <v>1076</v>
      </c>
      <c r="H342" s="2" t="s">
        <v>433</v>
      </c>
      <c r="I342" s="2" t="str">
        <f>IFERROR(__xludf.DUMMYFUNCTION("GOOGLETRANSLATE(C342,""fr"",""en"")"),"I am satisfied with the simplicity for the realization of a quote.
Prices look good at me, in competition with other insurances but I think it's the best.")</f>
        <v>I am satisfied with the simplicity for the realization of a quote.
Prices look good at me, in competition with other insurances but I think it's the best.</v>
      </c>
    </row>
    <row r="343" ht="15.75" customHeight="1">
      <c r="A343" s="2">
        <v>2.0</v>
      </c>
      <c r="B343" s="2" t="s">
        <v>1077</v>
      </c>
      <c r="C343" s="2" t="s">
        <v>1078</v>
      </c>
      <c r="D343" s="2" t="s">
        <v>87</v>
      </c>
      <c r="E343" s="2" t="s">
        <v>14</v>
      </c>
      <c r="F343" s="2" t="s">
        <v>15</v>
      </c>
      <c r="G343" s="2" t="s">
        <v>1079</v>
      </c>
      <c r="H343" s="2" t="s">
        <v>480</v>
      </c>
      <c r="I343" s="2" t="str">
        <f>IFERROR(__xludf.DUMMYFUNCTION("GOOGLETRANSLATE(C343,""fr"",""en"")"),"Following reception of the info statement, the insurer added 100 E on my bonus, because the statement indicates 2 claims, it is only a repair and then change of the windshield!. I have 50%bonuses and never accidents. This is not normal")</f>
        <v>Following reception of the info statement, the insurer added 100 E on my bonus, because the statement indicates 2 claims, it is only a repair and then change of the windshield!. I have 50%bonuses and never accidents. This is not normal</v>
      </c>
    </row>
    <row r="344" ht="15.75" customHeight="1">
      <c r="A344" s="2">
        <v>5.0</v>
      </c>
      <c r="B344" s="2" t="s">
        <v>1080</v>
      </c>
      <c r="C344" s="2" t="s">
        <v>1081</v>
      </c>
      <c r="D344" s="2" t="s">
        <v>87</v>
      </c>
      <c r="E344" s="2" t="s">
        <v>14</v>
      </c>
      <c r="F344" s="2" t="s">
        <v>15</v>
      </c>
      <c r="G344" s="2" t="s">
        <v>1082</v>
      </c>
      <c r="H344" s="2" t="s">
        <v>61</v>
      </c>
      <c r="I344" s="2" t="str">
        <f>IFERROR(__xludf.DUMMYFUNCTION("GOOGLETRANSLATE(C344,""fr"",""en"")"),"Simple and practic. Everything is done by phone and acceptable prices. Unfortunately it was that I could not take advantage of the reference bonus for a friend. I was only told once the payment made.")</f>
        <v>Simple and practic. Everything is done by phone and acceptable prices. Unfortunately it was that I could not take advantage of the reference bonus for a friend. I was only told once the payment made.</v>
      </c>
    </row>
    <row r="345" ht="15.75" customHeight="1">
      <c r="A345" s="2">
        <v>3.0</v>
      </c>
      <c r="B345" s="2" t="s">
        <v>1083</v>
      </c>
      <c r="C345" s="2" t="s">
        <v>1084</v>
      </c>
      <c r="D345" s="2" t="s">
        <v>13</v>
      </c>
      <c r="E345" s="2" t="s">
        <v>14</v>
      </c>
      <c r="F345" s="2" t="s">
        <v>15</v>
      </c>
      <c r="G345" s="2" t="s">
        <v>695</v>
      </c>
      <c r="H345" s="2" t="s">
        <v>190</v>
      </c>
      <c r="I345" s="2" t="str">
        <f>IFERROR(__xludf.DUMMYFUNCTION("GOOGLETRANSLATE(C345,""fr"",""en"")"),"For the moment I am satisfied with the progress of the change.
I have not tested in the event of a liable or not loss. This is when we can really judge the Direct Insurance service")</f>
        <v>For the moment I am satisfied with the progress of the change.
I have not tested in the event of a liable or not loss. This is when we can really judge the Direct Insurance service</v>
      </c>
    </row>
    <row r="346" ht="15.75" customHeight="1">
      <c r="A346" s="2">
        <v>1.0</v>
      </c>
      <c r="B346" s="2" t="s">
        <v>1085</v>
      </c>
      <c r="C346" s="2" t="s">
        <v>1086</v>
      </c>
      <c r="D346" s="2" t="s">
        <v>13</v>
      </c>
      <c r="E346" s="2" t="s">
        <v>14</v>
      </c>
      <c r="F346" s="2" t="s">
        <v>15</v>
      </c>
      <c r="G346" s="2" t="s">
        <v>1087</v>
      </c>
      <c r="H346" s="2" t="s">
        <v>17</v>
      </c>
      <c r="I346" s="2" t="str">
        <f>IFERROR(__xludf.DUMMYFUNCTION("GOOGLETRANSLATE(C346,""fr"",""en"")"),"Very well the first year but then bcp bcp too expensive. 200, characters to write what more than the price is attractive the first year and after.")</f>
        <v>Very well the first year but then bcp bcp too expensive. 200, characters to write what more than the price is attractive the first year and after.</v>
      </c>
    </row>
    <row r="347" ht="15.75" customHeight="1">
      <c r="A347" s="2">
        <v>1.0</v>
      </c>
      <c r="B347" s="2" t="s">
        <v>1088</v>
      </c>
      <c r="C347" s="2" t="s">
        <v>1089</v>
      </c>
      <c r="D347" s="2" t="s">
        <v>45</v>
      </c>
      <c r="E347" s="2" t="s">
        <v>65</v>
      </c>
      <c r="F347" s="2" t="s">
        <v>15</v>
      </c>
      <c r="G347" s="2" t="s">
        <v>37</v>
      </c>
      <c r="H347" s="2" t="s">
        <v>38</v>
      </c>
      <c r="I347" s="2" t="str">
        <f>IFERROR(__xludf.DUMMYFUNCTION("GOOGLETRANSLATE(C347,""fr"",""en"")"),"Half a century of loyalty to the Macif to realize that I made myself have. They collected more than 9 years of ""funeral"" contributions without ever informed me that my contract was obsolete at the age of 72. When I went to see them, they replied that I "&amp;"only had to read my contracts.
I realize at 83 that I made myself faint by these people. My very upset daughter will terminate my contracts and go away too because she was also at the Macif.
Disappointing and not honest!")</f>
        <v>Half a century of loyalty to the Macif to realize that I made myself have. They collected more than 9 years of "funeral" contributions without ever informed me that my contract was obsolete at the age of 72. When I went to see them, they replied that I only had to read my contracts.
I realize at 83 that I made myself faint by these people. My very upset daughter will terminate my contracts and go away too because she was also at the Macif.
Disappointing and not honest!</v>
      </c>
    </row>
    <row r="348" ht="15.75" customHeight="1">
      <c r="A348" s="2">
        <v>5.0</v>
      </c>
      <c r="B348" s="2" t="s">
        <v>1090</v>
      </c>
      <c r="C348" s="2" t="s">
        <v>1091</v>
      </c>
      <c r="D348" s="2" t="s">
        <v>70</v>
      </c>
      <c r="E348" s="2" t="s">
        <v>31</v>
      </c>
      <c r="F348" s="2" t="s">
        <v>15</v>
      </c>
      <c r="G348" s="2" t="s">
        <v>1092</v>
      </c>
      <c r="H348" s="2" t="s">
        <v>169</v>
      </c>
      <c r="I348" s="2" t="str">
        <f>IFERROR(__xludf.DUMMYFUNCTION("GOOGLETRANSLATE(C348,""fr"",""en"")"),"I have been a member ""Neoliane Health"" for a few months and I needed advice on making my first request for reimbursement, Emeline's advice was very useful to me, quality of the reception and kindness of the hostess.")</f>
        <v>I have been a member "Neoliane Health" for a few months and I needed advice on making my first request for reimbursement, Emeline's advice was very useful to me, quality of the reception and kindness of the hostess.</v>
      </c>
    </row>
    <row r="349" ht="15.75" customHeight="1">
      <c r="A349" s="2">
        <v>4.0</v>
      </c>
      <c r="B349" s="2" t="s">
        <v>1093</v>
      </c>
      <c r="C349" s="2" t="s">
        <v>1094</v>
      </c>
      <c r="D349" s="2" t="s">
        <v>13</v>
      </c>
      <c r="E349" s="2" t="s">
        <v>14</v>
      </c>
      <c r="F349" s="2" t="s">
        <v>15</v>
      </c>
      <c r="G349" s="2" t="s">
        <v>42</v>
      </c>
      <c r="H349" s="2" t="s">
        <v>42</v>
      </c>
      <c r="I349" s="2" t="str">
        <f>IFERROR(__xludf.DUMMYFUNCTION("GOOGLETRANSLATE(C349,""fr"",""en"")"),"Simplicity for the search for insurance according to my needs
Clear and concise offer received quickly
Price and services included in the average. competition")</f>
        <v>Simplicity for the search for insurance according to my needs
Clear and concise offer received quickly
Price and services included in the average. competition</v>
      </c>
    </row>
    <row r="350" ht="15.75" customHeight="1">
      <c r="A350" s="2">
        <v>2.0</v>
      </c>
      <c r="B350" s="2" t="s">
        <v>1095</v>
      </c>
      <c r="C350" s="2" t="s">
        <v>1096</v>
      </c>
      <c r="D350" s="2" t="s">
        <v>277</v>
      </c>
      <c r="E350" s="2" t="s">
        <v>14</v>
      </c>
      <c r="F350" s="2" t="s">
        <v>15</v>
      </c>
      <c r="G350" s="2" t="s">
        <v>1097</v>
      </c>
      <c r="H350" s="2" t="s">
        <v>761</v>
      </c>
      <c r="I350" s="2" t="str">
        <f>IFERROR(__xludf.DUMMYFUNCTION("GOOGLETRANSLATE(C350,""fr"",""en"")"),"6 months to have left them so -called recovery to discover that the opposing part was not even aware of the claim.")</f>
        <v>6 months to have left them so -called recovery to discover that the opposing part was not even aware of the claim.</v>
      </c>
    </row>
    <row r="351" ht="15.75" customHeight="1">
      <c r="A351" s="2">
        <v>1.0</v>
      </c>
      <c r="B351" s="2" t="s">
        <v>1098</v>
      </c>
      <c r="C351" s="2" t="s">
        <v>1099</v>
      </c>
      <c r="D351" s="2" t="s">
        <v>120</v>
      </c>
      <c r="E351" s="2" t="s">
        <v>21</v>
      </c>
      <c r="F351" s="2" t="s">
        <v>15</v>
      </c>
      <c r="G351" s="2" t="s">
        <v>1100</v>
      </c>
      <c r="H351" s="2" t="s">
        <v>138</v>
      </c>
      <c r="I351" s="2" t="str">
        <f>IFERROR(__xludf.DUMMYFUNCTION("GOOGLETRANSLATE(C351,""fr"",""en"")"),"I put a star because I cannot put 0.Cliente to the maaf since 1987, I have noticed for 3 steps a total degradation of the service: impossibility of reaching my agency despite telephone RV sockets, claims files that manage With recommended letters and a me"&amp;"diator because they never respond to emails or calls, mixes in files, incompetent platform, no follow -up.
In short, I terminated my home contracts 2 years ago and I am being terminated by my motorcycle contracts (as soon as they have managed to match my"&amp;" name with my client number and my contract number ... This is not won, it's in the 6th level, but they stopped at CM2!)")</f>
        <v>I put a star because I cannot put 0.Cliente to the maaf since 1987, I have noticed for 3 steps a total degradation of the service: impossibility of reaching my agency despite telephone RV sockets, claims files that manage With recommended letters and a mediator because they never respond to emails or calls, mixes in files, incompetent platform, no follow -up.
In short, I terminated my home contracts 2 years ago and I am being terminated by my motorcycle contracts (as soon as they have managed to match my name with my client number and my contract number ... This is not won, it's in the 6th level, but they stopped at CM2!)</v>
      </c>
    </row>
    <row r="352" ht="15.75" customHeight="1">
      <c r="A352" s="2">
        <v>1.0</v>
      </c>
      <c r="B352" s="2" t="s">
        <v>1101</v>
      </c>
      <c r="C352" s="2" t="s">
        <v>1102</v>
      </c>
      <c r="D352" s="2" t="s">
        <v>120</v>
      </c>
      <c r="E352" s="2" t="s">
        <v>14</v>
      </c>
      <c r="F352" s="2" t="s">
        <v>15</v>
      </c>
      <c r="G352" s="2" t="s">
        <v>1103</v>
      </c>
      <c r="H352" s="2" t="s">
        <v>248</v>
      </c>
      <c r="I352" s="2" t="str">
        <f>IFERROR(__xludf.DUMMYFUNCTION("GOOGLETRANSLATE(C352,""fr"",""en"")"),"I was the victim of an accident by a wild animal and their expert against the facts and they tell us to pay the counter expertise and a 3rd expertise with uncertainty of having compensation, when we are good and sincere, me even being a doctor.")</f>
        <v>I was the victim of an accident by a wild animal and their expert against the facts and they tell us to pay the counter expertise and a 3rd expertise with uncertainty of having compensation, when we are good and sincere, me even being a doctor.</v>
      </c>
    </row>
    <row r="353" ht="15.75" customHeight="1">
      <c r="A353" s="2">
        <v>5.0</v>
      </c>
      <c r="B353" s="2" t="s">
        <v>1104</v>
      </c>
      <c r="C353" s="2" t="s">
        <v>1105</v>
      </c>
      <c r="D353" s="2" t="s">
        <v>87</v>
      </c>
      <c r="E353" s="2" t="s">
        <v>14</v>
      </c>
      <c r="F353" s="2" t="s">
        <v>15</v>
      </c>
      <c r="G353" s="2" t="s">
        <v>940</v>
      </c>
      <c r="H353" s="2" t="s">
        <v>186</v>
      </c>
      <c r="I353" s="2" t="str">
        <f>IFERROR(__xludf.DUMMYFUNCTION("GOOGLETRANSLATE(C353,""fr"",""en"")"),"1st internet insurance experience .... I came across a great person who clearly met my expectations without wanting to ""sell"" additional guarantees or push for anything .....
Everything has been settled very quickly, transfer of documents by email and "&amp;"green card in return
I RECOMMEND ??")</f>
        <v>1st internet insurance experience .... I came across a great person who clearly met my expectations without wanting to "sell" additional guarantees or push for anything .....
Everything has been settled very quickly, transfer of documents by email and green card in return
I RECOMMEND ??</v>
      </c>
    </row>
    <row r="354" ht="15.75" customHeight="1">
      <c r="A354" s="2">
        <v>1.0</v>
      </c>
      <c r="B354" s="2" t="s">
        <v>1106</v>
      </c>
      <c r="C354" s="2" t="s">
        <v>1107</v>
      </c>
      <c r="D354" s="2" t="s">
        <v>237</v>
      </c>
      <c r="E354" s="2" t="s">
        <v>21</v>
      </c>
      <c r="F354" s="2" t="s">
        <v>15</v>
      </c>
      <c r="G354" s="2" t="s">
        <v>1108</v>
      </c>
      <c r="H354" s="2" t="s">
        <v>312</v>
      </c>
      <c r="I354" s="2" t="str">
        <f>IFERROR(__xludf.DUMMYFUNCTION("GOOGLETRANSLATE(C354,""fr"",""en"")"),"Motorcycle fall, emergency switch. The fairing of the motorcycle took (this is what is visible) ... In a week, no way to join Aurélien who is supposed to manage these claims files: what advice can we have? Go through legal or trust? Since confidence seems"&amp;" to be at the bottom for this broker (Assurbonplan) if we follow the comments of the site !!!")</f>
        <v>Motorcycle fall, emergency switch. The fairing of the motorcycle took (this is what is visible) ... In a week, no way to join Aurélien who is supposed to manage these claims files: what advice can we have? Go through legal or trust? Since confidence seems to be at the bottom for this broker (Assurbonplan) if we follow the comments of the site !!!</v>
      </c>
    </row>
    <row r="355" ht="15.75" customHeight="1">
      <c r="A355" s="2">
        <v>1.0</v>
      </c>
      <c r="B355" s="2" t="s">
        <v>1109</v>
      </c>
      <c r="C355" s="2" t="s">
        <v>1110</v>
      </c>
      <c r="D355" s="2" t="s">
        <v>1111</v>
      </c>
      <c r="E355" s="2" t="s">
        <v>288</v>
      </c>
      <c r="F355" s="2" t="s">
        <v>15</v>
      </c>
      <c r="G355" s="2" t="s">
        <v>1112</v>
      </c>
      <c r="H355" s="2" t="s">
        <v>190</v>
      </c>
      <c r="I355" s="2" t="str">
        <f>IFERROR(__xludf.DUMMYFUNCTION("GOOGLETRANSLATE(C355,""fr"",""en"")"),"Holder of a GAV contract, I was burned and defenestrated (2 feet burned in the 3rd degrees, 6 knee sutures, 2 on the arm, scar on the face of 2 cm).
Complete formula (the highest), giving rise to compensation of 0 euro (evaluation by the doctor consultan"&amp;"t of 1.5 out of 7 linked to aesthetic damage, relative franchise of 3)
Suffering endured 0 (despite the burns and the rest!)
In other words, if vs are not stressed vs will not be compensated.
I strongly advise against !!! To flee")</f>
        <v>Holder of a GAV contract, I was burned and defenestrated (2 feet burned in the 3rd degrees, 6 knee sutures, 2 on the arm, scar on the face of 2 cm).
Complete formula (the highest), giving rise to compensation of 0 euro (evaluation by the doctor consultant of 1.5 out of 7 linked to aesthetic damage, relative franchise of 3)
Suffering endured 0 (despite the burns and the rest!)
In other words, if vs are not stressed vs will not be compensated.
I strongly advise against !!! To flee</v>
      </c>
    </row>
    <row r="356" ht="15.75" customHeight="1">
      <c r="A356" s="2">
        <v>2.0</v>
      </c>
      <c r="B356" s="2" t="s">
        <v>1113</v>
      </c>
      <c r="C356" s="2" t="s">
        <v>1114</v>
      </c>
      <c r="D356" s="2" t="s">
        <v>277</v>
      </c>
      <c r="E356" s="2" t="s">
        <v>55</v>
      </c>
      <c r="F356" s="2" t="s">
        <v>15</v>
      </c>
      <c r="G356" s="2" t="s">
        <v>1115</v>
      </c>
      <c r="H356" s="2" t="s">
        <v>607</v>
      </c>
      <c r="I356" s="2" t="str">
        <f>IFERROR(__xludf.DUMMYFUNCTION("GOOGLETRANSLATE(C356,""fr"",""en"")"),"Having been resilled during the holidays on my 3 insurances, so recommended not received, you will not be surprised to know that I absolutely do not recommend Pacifica when talking to me !!!!!!")</f>
        <v>Having been resilled during the holidays on my 3 insurances, so recommended not received, you will not be surprised to know that I absolutely do not recommend Pacifica when talking to me !!!!!!</v>
      </c>
    </row>
    <row r="357" ht="15.75" customHeight="1">
      <c r="A357" s="2">
        <v>4.0</v>
      </c>
      <c r="B357" s="2" t="s">
        <v>1116</v>
      </c>
      <c r="C357" s="2" t="s">
        <v>1117</v>
      </c>
      <c r="D357" s="2" t="s">
        <v>13</v>
      </c>
      <c r="E357" s="2" t="s">
        <v>14</v>
      </c>
      <c r="F357" s="2" t="s">
        <v>15</v>
      </c>
      <c r="G357" s="2" t="s">
        <v>1118</v>
      </c>
      <c r="H357" s="2" t="s">
        <v>52</v>
      </c>
      <c r="I357" s="2" t="str">
        <f>IFERROR(__xludf.DUMMYFUNCTION("GOOGLETRANSLATE(C357,""fr"",""en"")"),"Simple, fast, I hope that customer consideration is at the appointment!
Online comments on the quality of processing of files are not always complimentary, I imagine that Direct Insurance takes into account its remarks to improve its quality of service.")</f>
        <v>Simple, fast, I hope that customer consideration is at the appointment!
Online comments on the quality of processing of files are not always complimentary, I imagine that Direct Insurance takes into account its remarks to improve its quality of service.</v>
      </c>
    </row>
    <row r="358" ht="15.75" customHeight="1">
      <c r="A358" s="2">
        <v>4.0</v>
      </c>
      <c r="B358" s="2" t="s">
        <v>1119</v>
      </c>
      <c r="C358" s="2" t="s">
        <v>1120</v>
      </c>
      <c r="D358" s="2" t="s">
        <v>87</v>
      </c>
      <c r="E358" s="2" t="s">
        <v>14</v>
      </c>
      <c r="F358" s="2" t="s">
        <v>15</v>
      </c>
      <c r="G358" s="2" t="s">
        <v>507</v>
      </c>
      <c r="H358" s="2" t="s">
        <v>52</v>
      </c>
      <c r="I358" s="2" t="str">
        <f>IFERROR(__xludf.DUMMYFUNCTION("GOOGLETRANSLATE(C358,""fr"",""en"")"),"Very welcome, good value for money, very appreciable sponsorship check
It is not a duty of French,
It is not a French duty")</f>
        <v>Very welcome, good value for money, very appreciable sponsorship check
It is not a duty of French,
It is not a French duty</v>
      </c>
    </row>
    <row r="359" ht="15.75" customHeight="1">
      <c r="A359" s="2">
        <v>5.0</v>
      </c>
      <c r="B359" s="2" t="s">
        <v>1121</v>
      </c>
      <c r="C359" s="2" t="s">
        <v>1122</v>
      </c>
      <c r="D359" s="2" t="s">
        <v>87</v>
      </c>
      <c r="E359" s="2" t="s">
        <v>14</v>
      </c>
      <c r="F359" s="2" t="s">
        <v>15</v>
      </c>
      <c r="G359" s="2" t="s">
        <v>1123</v>
      </c>
      <c r="H359" s="2" t="s">
        <v>52</v>
      </c>
      <c r="I359" s="2" t="str">
        <f>IFERROR(__xludf.DUMMYFUNCTION("GOOGLETRANSLATE(C359,""fr"",""en"")"),"Very good service, well explained contract and attractive price.
To see later what it gives but for the moment I am satisfied and recommends the Olivier Insurance.")</f>
        <v>Very good service, well explained contract and attractive price.
To see later what it gives but for the moment I am satisfied and recommends the Olivier Insurance.</v>
      </c>
    </row>
    <row r="360" ht="15.75" customHeight="1">
      <c r="A360" s="2">
        <v>3.0</v>
      </c>
      <c r="B360" s="2" t="s">
        <v>1124</v>
      </c>
      <c r="C360" s="2" t="s">
        <v>1125</v>
      </c>
      <c r="D360" s="2" t="s">
        <v>13</v>
      </c>
      <c r="E360" s="2" t="s">
        <v>14</v>
      </c>
      <c r="F360" s="2" t="s">
        <v>15</v>
      </c>
      <c r="G360" s="2" t="s">
        <v>1126</v>
      </c>
      <c r="H360" s="2" t="s">
        <v>248</v>
      </c>
      <c r="I360" s="2" t="str">
        <f>IFERROR(__xludf.DUMMYFUNCTION("GOOGLETRANSLATE(C360,""fr"",""en"")"),"I am satisfied with the service, simple and efficient, and the prices offered by Diet-Assurance, and I recommend direct-assurance for car insurance")</f>
        <v>I am satisfied with the service, simple and efficient, and the prices offered by Diet-Assurance, and I recommend direct-assurance for car insurance</v>
      </c>
    </row>
    <row r="361" ht="15.75" customHeight="1">
      <c r="A361" s="2">
        <v>5.0</v>
      </c>
      <c r="B361" s="2" t="s">
        <v>1127</v>
      </c>
      <c r="C361" s="2" t="s">
        <v>1128</v>
      </c>
      <c r="D361" s="2" t="s">
        <v>87</v>
      </c>
      <c r="E361" s="2" t="s">
        <v>14</v>
      </c>
      <c r="F361" s="2" t="s">
        <v>15</v>
      </c>
      <c r="G361" s="2" t="s">
        <v>1129</v>
      </c>
      <c r="H361" s="2" t="s">
        <v>195</v>
      </c>
      <c r="I361" s="2" t="str">
        <f>IFERROR(__xludf.DUMMYFUNCTION("GOOGLETRANSLATE(C361,""fr"",""en"")"),"Simplicity, efficiency and responsiveness are real in this insurer with very interesting prices so that the customer is completely satisfied
Thank you to the Olivier Assurance for your excellent services.")</f>
        <v>Simplicity, efficiency and responsiveness are real in this insurer with very interesting prices so that the customer is completely satisfied
Thank you to the Olivier Assurance for your excellent services.</v>
      </c>
    </row>
    <row r="362" ht="15.75" customHeight="1">
      <c r="A362" s="2">
        <v>4.0</v>
      </c>
      <c r="B362" s="2" t="s">
        <v>1130</v>
      </c>
      <c r="C362" s="2" t="s">
        <v>1131</v>
      </c>
      <c r="D362" s="2" t="s">
        <v>13</v>
      </c>
      <c r="E362" s="2" t="s">
        <v>14</v>
      </c>
      <c r="F362" s="2" t="s">
        <v>15</v>
      </c>
      <c r="G362" s="2" t="s">
        <v>1132</v>
      </c>
      <c r="H362" s="2" t="s">
        <v>27</v>
      </c>
      <c r="I362" s="2" t="str">
        <f>IFERROR(__xludf.DUMMYFUNCTION("GOOGLETRANSLATE(C362,""fr"",""en"")"),"Subscribe to this insurer from this day, too early to give a satisfaction notice. Very competitive at the price level.
I will give a more objective opinion when I have more seniority.")</f>
        <v>Subscribe to this insurer from this day, too early to give a satisfaction notice. Very competitive at the price level.
I will give a more objective opinion when I have more seniority.</v>
      </c>
    </row>
    <row r="363" ht="15.75" customHeight="1">
      <c r="A363" s="2">
        <v>2.0</v>
      </c>
      <c r="B363" s="2" t="s">
        <v>1133</v>
      </c>
      <c r="C363" s="2" t="s">
        <v>1134</v>
      </c>
      <c r="D363" s="2" t="s">
        <v>120</v>
      </c>
      <c r="E363" s="2" t="s">
        <v>55</v>
      </c>
      <c r="F363" s="2" t="s">
        <v>15</v>
      </c>
      <c r="G363" s="2" t="s">
        <v>1135</v>
      </c>
      <c r="H363" s="2" t="s">
        <v>312</v>
      </c>
      <c r="I363" s="2" t="str">
        <f>IFERROR(__xludf.DUMMYFUNCTION("GOOGLETRANSLATE(C363,""fr"",""en"")"),"Customer at Maaf in housing for more than 2 years, I had never had a disaster I was therefore happy!
Today after having declared a strip of the waters, they ask me to contact them to have more elements and this is the cata !!!! Impossible to reach them! "&amp;"I have a message that tells me either that all the advisers are occupied or that they are closed. I also sent 2 emails without success either! 15 days of unsuccessful attempt, my disaster will not advance at this rate !!!!")</f>
        <v>Customer at Maaf in housing for more than 2 years, I had never had a disaster I was therefore happy!
Today after having declared a strip of the waters, they ask me to contact them to have more elements and this is the cata !!!! Impossible to reach them! I have a message that tells me either that all the advisers are occupied or that they are closed. I also sent 2 emails without success either! 15 days of unsuccessful attempt, my disaster will not advance at this rate !!!!</v>
      </c>
    </row>
    <row r="364" ht="15.75" customHeight="1">
      <c r="A364" s="2">
        <v>4.0</v>
      </c>
      <c r="B364" s="2" t="s">
        <v>1136</v>
      </c>
      <c r="C364" s="2" t="s">
        <v>1137</v>
      </c>
      <c r="D364" s="2" t="s">
        <v>50</v>
      </c>
      <c r="E364" s="2" t="s">
        <v>21</v>
      </c>
      <c r="F364" s="2" t="s">
        <v>15</v>
      </c>
      <c r="G364" s="2" t="s">
        <v>651</v>
      </c>
      <c r="H364" s="2" t="s">
        <v>209</v>
      </c>
      <c r="I364" s="2" t="str">
        <f>IFERROR(__xludf.DUMMYFUNCTION("GOOGLETRANSLATE(C364,""fr"",""en"")"),"Already a customer in the past I only want to go through you.
I recommend all my biker contacts around me.
Thank you cordially,")</f>
        <v>Already a customer in the past I only want to go through you.
I recommend all my biker contacts around me.
Thank you cordially,</v>
      </c>
    </row>
    <row r="365" ht="15.75" customHeight="1">
      <c r="A365" s="2">
        <v>5.0</v>
      </c>
      <c r="B365" s="2" t="s">
        <v>1138</v>
      </c>
      <c r="C365" s="2" t="s">
        <v>1139</v>
      </c>
      <c r="D365" s="2" t="s">
        <v>50</v>
      </c>
      <c r="E365" s="2" t="s">
        <v>21</v>
      </c>
      <c r="F365" s="2" t="s">
        <v>15</v>
      </c>
      <c r="G365" s="2" t="s">
        <v>1118</v>
      </c>
      <c r="H365" s="2" t="s">
        <v>52</v>
      </c>
      <c r="I365" s="2" t="str">
        <f>IFERROR(__xludf.DUMMYFUNCTION("GOOGLETRANSLATE(C365,""fr"",""en"")"),"Satisfied with the ease of use and ease of having two -wheeled insurance on the online site.
Value price service service
Thank you")</f>
        <v>Satisfied with the ease of use and ease of having two -wheeled insurance on the online site.
Value price service service
Thank you</v>
      </c>
    </row>
    <row r="366" ht="15.75" customHeight="1">
      <c r="A366" s="2">
        <v>5.0</v>
      </c>
      <c r="B366" s="2" t="s">
        <v>1140</v>
      </c>
      <c r="C366" s="2" t="s">
        <v>1141</v>
      </c>
      <c r="D366" s="2" t="s">
        <v>87</v>
      </c>
      <c r="E366" s="2" t="s">
        <v>14</v>
      </c>
      <c r="F366" s="2" t="s">
        <v>15</v>
      </c>
      <c r="G366" s="2" t="s">
        <v>1142</v>
      </c>
      <c r="H366" s="2" t="s">
        <v>61</v>
      </c>
      <c r="I366" s="2" t="str">
        <f>IFERROR(__xludf.DUMMYFUNCTION("GOOGLETRANSLATE(C366,""fr"",""en"")"),"Easy subscription, and very attractive price (-50% over the year compared to Direct Insurance)
Easy to use site and possibility sends doc on online space very well")</f>
        <v>Easy subscription, and very attractive price (-50% over the year compared to Direct Insurance)
Easy to use site and possibility sends doc on online space very well</v>
      </c>
    </row>
    <row r="367" ht="15.75" customHeight="1">
      <c r="A367" s="2">
        <v>3.0</v>
      </c>
      <c r="B367" s="2" t="s">
        <v>1143</v>
      </c>
      <c r="C367" s="2" t="s">
        <v>1144</v>
      </c>
      <c r="D367" s="2" t="s">
        <v>74</v>
      </c>
      <c r="E367" s="2" t="s">
        <v>14</v>
      </c>
      <c r="F367" s="2" t="s">
        <v>15</v>
      </c>
      <c r="G367" s="2" t="s">
        <v>1145</v>
      </c>
      <c r="H367" s="2" t="s">
        <v>209</v>
      </c>
      <c r="I367" s="2" t="str">
        <f>IFERROR(__xludf.DUMMYFUNCTION("GOOGLETRANSLATE(C367,""fr"",""en"")"),"I am satisfied with the service
Prices suit me
I am favorable to give my opinion
I am satisfied with the welcome
I am satisfied the speed")</f>
        <v>I am satisfied with the service
Prices suit me
I am favorable to give my opinion
I am satisfied with the welcome
I am satisfied the speed</v>
      </c>
    </row>
    <row r="368" ht="15.75" customHeight="1">
      <c r="A368" s="2">
        <v>2.0</v>
      </c>
      <c r="B368" s="2" t="s">
        <v>1146</v>
      </c>
      <c r="C368" s="2" t="s">
        <v>1147</v>
      </c>
      <c r="D368" s="2" t="s">
        <v>74</v>
      </c>
      <c r="E368" s="2" t="s">
        <v>14</v>
      </c>
      <c r="F368" s="2" t="s">
        <v>15</v>
      </c>
      <c r="G368" s="2" t="s">
        <v>1016</v>
      </c>
      <c r="H368" s="2" t="s">
        <v>57</v>
      </c>
      <c r="I368" s="2" t="str">
        <f>IFERROR(__xludf.DUMMYFUNCTION("GOOGLETRANSLATE(C368,""fr"",""en"")"),"No more cars for two months for an accident where I am not wrong, I am completely left without anything, customer service ever reachable. To flee they do absolutely nothing.")</f>
        <v>No more cars for two months for an accident where I am not wrong, I am completely left without anything, customer service ever reachable. To flee they do absolutely nothing.</v>
      </c>
    </row>
    <row r="369" ht="15.75" customHeight="1">
      <c r="A369" s="2">
        <v>4.0</v>
      </c>
      <c r="B369" s="2" t="s">
        <v>1148</v>
      </c>
      <c r="C369" s="2" t="s">
        <v>1149</v>
      </c>
      <c r="D369" s="2" t="s">
        <v>87</v>
      </c>
      <c r="E369" s="2" t="s">
        <v>14</v>
      </c>
      <c r="F369" s="2" t="s">
        <v>15</v>
      </c>
      <c r="G369" s="2" t="s">
        <v>1150</v>
      </c>
      <c r="H369" s="2" t="s">
        <v>282</v>
      </c>
      <c r="I369" s="2" t="str">
        <f>IFERROR(__xludf.DUMMYFUNCTION("GOOGLETRANSLATE(C369,""fr"",""en"")"),"Service satisfactory and fast, on the other hand on my first contract of my Peugeot 307 the prices we increase when my bonus also increases what is not normal for my taste that should be the opposite.
It's a shame because it gives you to think about the "&amp;"next contracts and that of the house.
Otherwise")</f>
        <v>Service satisfactory and fast, on the other hand on my first contract of my Peugeot 307 the prices we increase when my bonus also increases what is not normal for my taste that should be the opposite.
It's a shame because it gives you to think about the next contracts and that of the house.
Otherwise</v>
      </c>
    </row>
    <row r="370" ht="15.75" customHeight="1">
      <c r="A370" s="2">
        <v>4.0</v>
      </c>
      <c r="B370" s="2" t="s">
        <v>1151</v>
      </c>
      <c r="C370" s="2" t="s">
        <v>1152</v>
      </c>
      <c r="D370" s="2" t="s">
        <v>13</v>
      </c>
      <c r="E370" s="2" t="s">
        <v>14</v>
      </c>
      <c r="F370" s="2" t="s">
        <v>15</v>
      </c>
      <c r="G370" s="2" t="s">
        <v>1118</v>
      </c>
      <c r="H370" s="2" t="s">
        <v>52</v>
      </c>
      <c r="I370" s="2" t="str">
        <f>IFERROR(__xludf.DUMMYFUNCTION("GOOGLETRANSLATE(C370,""fr"",""en"")"),"I am amazed at competitive prices. Like what you shouldn't be stupid. Direct Insurance is much more advantageous and covering that most of the ""known"" insurance")</f>
        <v>I am amazed at competitive prices. Like what you shouldn't be stupid. Direct Insurance is much more advantageous and covering that most of the "known" insurance</v>
      </c>
    </row>
    <row r="371" ht="15.75" customHeight="1">
      <c r="A371" s="2">
        <v>3.0</v>
      </c>
      <c r="B371" s="2" t="s">
        <v>1153</v>
      </c>
      <c r="C371" s="2" t="s">
        <v>1154</v>
      </c>
      <c r="D371" s="2" t="s">
        <v>227</v>
      </c>
      <c r="E371" s="2" t="s">
        <v>288</v>
      </c>
      <c r="F371" s="2" t="s">
        <v>15</v>
      </c>
      <c r="G371" s="2" t="s">
        <v>1155</v>
      </c>
      <c r="H371" s="2" t="s">
        <v>234</v>
      </c>
      <c r="I371" s="2" t="str">
        <f>IFERROR(__xludf.DUMMYFUNCTION("GOOGLETRANSLATE(C371,""fr"",""en"")"),"My mother who had subscribed to an Allianz funeral insurance has just died. What was not my surprise when it was discovered that it will have paid 7,670 euros and that Allianz will only pay 3835 euros to be half of the sum that my mother will have spent. "&amp;"My mother was tied up by an unscrupulous Allianz broker who obviously abused her credulity by suggesting that the funeral costs were covered without saying that the sum assured, which can be made to cover the costs of funeral 20 years ago, are clearly ins"&amp;"ufficient. The fact that the guaranteed amount is not revalued over such a long period and that at the same time, contributions continue to be deducted, well beyond the sum assured is deeply unfair. I did not suspect that such practices could exist and I "&amp;"will work to denounce them forcefully. In addition, in the letter I received, I would have liked to find a sketch of compassionate formula, a semblance of condolences in these difficult times. There is nothing. It is a factual and cold letter. Last point "&amp;"to mention: my mother had a new sampling on her bank account after her death .... so much greed and repairs on the part of this insurer must be denounced. I finish saying that, three weeks after his death, neither my brother nor I touched anything.")</f>
        <v>My mother who had subscribed to an Allianz funeral insurance has just died. What was not my surprise when it was discovered that it will have paid 7,670 euros and that Allianz will only pay 3835 euros to be half of the sum that my mother will have spent. My mother was tied up by an unscrupulous Allianz broker who obviously abused her credulity by suggesting that the funeral costs were covered without saying that the sum assured, which can be made to cover the costs of funeral 20 years ago, are clearly insufficient. The fact that the guaranteed amount is not revalued over such a long period and that at the same time, contributions continue to be deducted, well beyond the sum assured is deeply unfair. I did not suspect that such practices could exist and I will work to denounce them forcefully. In addition, in the letter I received, I would have liked to find a sketch of compassionate formula, a semblance of condolences in these difficult times. There is nothing. It is a factual and cold letter. Last point to mention: my mother had a new sampling on her bank account after her death .... so much greed and repairs on the part of this insurer must be denounced. I finish saying that, three weeks after his death, neither my brother nor I touched anything.</v>
      </c>
    </row>
    <row r="372" ht="15.75" customHeight="1">
      <c r="A372" s="2">
        <v>1.0</v>
      </c>
      <c r="B372" s="2" t="s">
        <v>1156</v>
      </c>
      <c r="C372" s="2" t="s">
        <v>1157</v>
      </c>
      <c r="D372" s="2" t="s">
        <v>92</v>
      </c>
      <c r="E372" s="2" t="s">
        <v>31</v>
      </c>
      <c r="F372" s="2" t="s">
        <v>15</v>
      </c>
      <c r="G372" s="2" t="s">
        <v>158</v>
      </c>
      <c r="H372" s="2" t="s">
        <v>158</v>
      </c>
      <c r="I372" s="2" t="str">
        <f>IFERROR(__xludf.DUMMYFUNCTION("GOOGLETRANSLATE(C372,""fr"",""en"")"),"I am as a request for proof of care following a reimbursement of a large sum made for more than 6 months. I contacted April more than 15 times to receive this famous proof to which I have been told, each time, to wait 48 to 72 hours to receive it by email"&amp;". I have been waiting for several months now and I have still received nothing. April and I obviously do not do the same notion of time! In addition, the only answer that we are made to give me when I call them is to ""wait"". I find it unacceptable to ha"&amp;"ve to run after a simple proof and I see myself in the obligation to take other measures. They are only there to make a largest.")</f>
        <v>I am as a request for proof of care following a reimbursement of a large sum made for more than 6 months. I contacted April more than 15 times to receive this famous proof to which I have been told, each time, to wait 48 to 72 hours to receive it by email. I have been waiting for several months now and I have still received nothing. April and I obviously do not do the same notion of time! In addition, the only answer that we are made to give me when I call them is to "wait". I find it unacceptable to have to run after a simple proof and I see myself in the obligation to take other measures. They are only there to make a largest.</v>
      </c>
    </row>
    <row r="373" ht="15.75" customHeight="1">
      <c r="A373" s="2">
        <v>3.0</v>
      </c>
      <c r="B373" s="2" t="s">
        <v>1158</v>
      </c>
      <c r="C373" s="2" t="s">
        <v>1159</v>
      </c>
      <c r="D373" s="2" t="s">
        <v>13</v>
      </c>
      <c r="E373" s="2" t="s">
        <v>14</v>
      </c>
      <c r="F373" s="2" t="s">
        <v>15</v>
      </c>
      <c r="G373" s="2" t="s">
        <v>707</v>
      </c>
      <c r="H373" s="2" t="s">
        <v>190</v>
      </c>
      <c r="I373" s="2" t="str">
        <f>IFERROR(__xludf.DUMMYFUNCTION("GOOGLETRANSLATE(C373,""fr"",""en"")"),"It's perfect your prices are correct
I move because I have a good proposal and I have to ensure very quickly for the signing of the rental lease.
THANK YOU")</f>
        <v>It's perfect your prices are correct
I move because I have a good proposal and I have to ensure very quickly for the signing of the rental lease.
THANK YOU</v>
      </c>
    </row>
    <row r="374" ht="15.75" customHeight="1">
      <c r="A374" s="2">
        <v>4.0</v>
      </c>
      <c r="B374" s="2" t="s">
        <v>1160</v>
      </c>
      <c r="C374" s="2" t="s">
        <v>1161</v>
      </c>
      <c r="D374" s="2" t="s">
        <v>120</v>
      </c>
      <c r="E374" s="2" t="s">
        <v>14</v>
      </c>
      <c r="F374" s="2" t="s">
        <v>15</v>
      </c>
      <c r="G374" s="2" t="s">
        <v>1162</v>
      </c>
      <c r="H374" s="2" t="s">
        <v>776</v>
      </c>
      <c r="I374" s="2" t="str">
        <f>IFERROR(__xludf.DUMMYFUNCTION("GOOGLETRANSLATE(C374,""fr"",""en"")"),"The relationship with customer service is very friendly
Overall the explanations are clear
Very welcome in agencies even if sometimes the agreement is a bit long.")</f>
        <v>The relationship with customer service is very friendly
Overall the explanations are clear
Very welcome in agencies even if sometimes the agreement is a bit long.</v>
      </c>
    </row>
    <row r="375" ht="15.75" customHeight="1">
      <c r="A375" s="2">
        <v>2.0</v>
      </c>
      <c r="B375" s="2" t="s">
        <v>1163</v>
      </c>
      <c r="C375" s="2" t="s">
        <v>1164</v>
      </c>
      <c r="D375" s="2" t="s">
        <v>315</v>
      </c>
      <c r="E375" s="2" t="s">
        <v>55</v>
      </c>
      <c r="F375" s="2" t="s">
        <v>15</v>
      </c>
      <c r="G375" s="2" t="s">
        <v>1165</v>
      </c>
      <c r="H375" s="2" t="s">
        <v>234</v>
      </c>
      <c r="I375" s="2" t="str">
        <f>IFERROR(__xludf.DUMMYFUNCTION("GOOGLETRANSLATE(C375,""fr"",""en"")"),"Battled since mid-July on 2 houses (Relais loan) No house is harmful and a downright non-accommodation; I had them once on the phone where I was told yes yes yes and nothing happens anyway.")</f>
        <v>Battled since mid-July on 2 houses (Relais loan) No house is harmful and a downright non-accommodation; I had them once on the phone where I was told yes yes yes and nothing happens anyway.</v>
      </c>
    </row>
    <row r="376" ht="15.75" customHeight="1">
      <c r="A376" s="2">
        <v>1.0</v>
      </c>
      <c r="B376" s="2" t="s">
        <v>1166</v>
      </c>
      <c r="C376" s="2" t="s">
        <v>1167</v>
      </c>
      <c r="D376" s="2" t="s">
        <v>237</v>
      </c>
      <c r="E376" s="2" t="s">
        <v>55</v>
      </c>
      <c r="F376" s="2" t="s">
        <v>15</v>
      </c>
      <c r="G376" s="2" t="s">
        <v>1168</v>
      </c>
      <c r="H376" s="2" t="s">
        <v>761</v>
      </c>
      <c r="I376" s="2" t="str">
        <f>IFERROR(__xludf.DUMMYFUNCTION("GOOGLETRANSLATE(C376,""fr"",""en"")"),"I am disappointed with my AXA insurance, now I am asked to provide customs documents for jewelry acquired there are long to reimburse me abroad. This is scandalous what insurance do not to reimburse you. I am still pending my last letter dates from March "&amp;"2017. But my deadlines are paid as and on time I assure you. I would no longer recommend Axa")</f>
        <v>I am disappointed with my AXA insurance, now I am asked to provide customs documents for jewelry acquired there are long to reimburse me abroad. This is scandalous what insurance do not to reimburse you. I am still pending my last letter dates from March 2017. But my deadlines are paid as and on time I assure you. I would no longer recommend Axa</v>
      </c>
    </row>
    <row r="377" ht="15.75" customHeight="1">
      <c r="A377" s="2">
        <v>3.0</v>
      </c>
      <c r="B377" s="2" t="s">
        <v>1169</v>
      </c>
      <c r="C377" s="2" t="s">
        <v>1170</v>
      </c>
      <c r="D377" s="2" t="s">
        <v>13</v>
      </c>
      <c r="E377" s="2" t="s">
        <v>14</v>
      </c>
      <c r="F377" s="2" t="s">
        <v>15</v>
      </c>
      <c r="G377" s="2" t="s">
        <v>875</v>
      </c>
      <c r="H377" s="2" t="s">
        <v>61</v>
      </c>
      <c r="I377" s="2" t="str">
        <f>IFERROR(__xludf.DUMMYFUNCTION("GOOGLETRANSLATE(C377,""fr"",""en"")"),"Having three goods insured at home, I find the amount of annual increases excessive.
I am also surprised that you would pay for sponsorship and nothing for customers with several contracts ...
This can question our loyalty ...")</f>
        <v>Having three goods insured at home, I find the amount of annual increases excessive.
I am also surprised that you would pay for sponsorship and nothing for customers with several contracts ...
This can question our loyalty ...</v>
      </c>
    </row>
    <row r="378" ht="15.75" customHeight="1">
      <c r="A378" s="2">
        <v>1.0</v>
      </c>
      <c r="B378" s="2" t="s">
        <v>1171</v>
      </c>
      <c r="C378" s="2" t="s">
        <v>1172</v>
      </c>
      <c r="D378" s="2" t="s">
        <v>164</v>
      </c>
      <c r="E378" s="2" t="s">
        <v>14</v>
      </c>
      <c r="F378" s="2" t="s">
        <v>15</v>
      </c>
      <c r="G378" s="2" t="s">
        <v>1173</v>
      </c>
      <c r="H378" s="2" t="s">
        <v>209</v>
      </c>
      <c r="I378" s="2" t="str">
        <f>IFERROR(__xludf.DUMMYFUNCTION("GOOGLETRANSLATE(C378,""fr"",""en"")"),"                                            But what's going on in the matmut ?????
The Matmut, a safe bet ""not so sure that that""? This is what happened to us.
We were victims of a “home-jacking” on the night of April 30 to May 1, 2021.
Intrudes hav"&amp;"e returned to our closed keys and stole the keys to our car, a Volvo V 70 registered DK 462 VK assured all risks.
On the minutes established by the gendarmerie it is indicated that no break-in has been noted on the front door suggesting that the door was"&amp;" not locked.
On the filing of the gendarmerie complaint it was specified that the previous evening we had verified that the front door was well locked.
The Matmut disputes the reimbursement of our vehicle estimated by the expert at € 16,000, based on a "&amp;"supposition ""that we would have left the door open""
Obviously we do not know by what means the thieves were able to open our lock (key false, hooking, bumping etc ... ..) of our closed keys, in order to steal the key from our ""break-ins"" vehicle.
No"&amp;"t being at fault, the vehicle was locked, the house too.
The Matmut does not take into account this law of the Criminal Code and refuses compensation
Article 132-73 modified by law 2004 of March 9-Art 12. Jorf March 10, 2004
The break -in consists in"&amp;" the necessarily, the degradation or the destruction of all closing devices or any kind of fence.
Is assimilated to the break -in, the use of false keys, induced keys or any instrument that can be fraudulently used to activate a closing device without fo"&amp;"rcing or degrading it.
Not only are we victims of thieves, but we are also the victim of the Matmut who carapat behind their ""General Conditions of the Multi-Registered Contract and we possibly take for fraudsters, it is unbearable, so the so-called"""&amp;" The safety value According to TV advertising is not as sure as that.
To be continued……
")</f>
        <v>                                            But what's going on in the matmut ?????
The Matmut, a safe bet "not so sure that that"? This is what happened to us.
We were victims of a “home-jacking” on the night of April 30 to May 1, 2021.
Intrudes have returned to our closed keys and stole the keys to our car, a Volvo V 70 registered DK 462 VK assured all risks.
On the minutes established by the gendarmerie it is indicated that no break-in has been noted on the front door suggesting that the door was not locked.
On the filing of the gendarmerie complaint it was specified that the previous evening we had verified that the front door was well locked.
The Matmut disputes the reimbursement of our vehicle estimated by the expert at € 16,000, based on a supposition "that we would have left the door open"
Obviously we do not know by what means the thieves were able to open our lock (key false, hooking, bumping etc ... ..) of our closed keys, in order to steal the key from our "break-ins" vehicle.
Not being at fault, the vehicle was locked, the house too.
The Matmut does not take into account this law of the Criminal Code and refuses compensation
Article 132-73 modified by law 2004 of March 9-Art 12. Jorf March 10, 2004
The break -in consists in the necessarily, the degradation or the destruction of all closing devices or any kind of fence.
Is assimilated to the break -in, the use of false keys, induced keys or any instrument that can be fraudulently used to activate a closing device without forcing or degrading it.
Not only are we victims of thieves, but we are also the victim of the Matmut who carapat behind their "General Conditions of the Multi-Registered Contract and we possibly take for fraudsters, it is unbearable, so the so-called" The safety value According to TV advertising is not as sure as that.
To be continued……
</v>
      </c>
    </row>
    <row r="379" ht="15.75" customHeight="1">
      <c r="A379" s="2">
        <v>4.0</v>
      </c>
      <c r="B379" s="2" t="s">
        <v>1174</v>
      </c>
      <c r="C379" s="2" t="s">
        <v>1175</v>
      </c>
      <c r="D379" s="2" t="s">
        <v>87</v>
      </c>
      <c r="E379" s="2" t="s">
        <v>14</v>
      </c>
      <c r="F379" s="2" t="s">
        <v>15</v>
      </c>
      <c r="G379" s="2" t="s">
        <v>1176</v>
      </c>
      <c r="H379" s="2" t="s">
        <v>110</v>
      </c>
      <c r="I379" s="2" t="str">
        <f>IFERROR(__xludf.DUMMYFUNCTION("GOOGLETRANSLATE(C379,""fr"",""en"")"),"A little disappointed to see the prices increased without understanding the reasons too much compared to the different simulation on Lelynx.
Also a shame to see the highly increased price by proceeding by monthly payments.")</f>
        <v>A little disappointed to see the prices increased without understanding the reasons too much compared to the different simulation on Lelynx.
Also a shame to see the highly increased price by proceeding by monthly payments.</v>
      </c>
    </row>
    <row r="380" ht="15.75" customHeight="1">
      <c r="A380" s="2">
        <v>1.0</v>
      </c>
      <c r="B380" s="2" t="s">
        <v>1177</v>
      </c>
      <c r="C380" s="2" t="s">
        <v>1178</v>
      </c>
      <c r="D380" s="2" t="s">
        <v>74</v>
      </c>
      <c r="E380" s="2" t="s">
        <v>14</v>
      </c>
      <c r="F380" s="2" t="s">
        <v>15</v>
      </c>
      <c r="G380" s="2" t="s">
        <v>1179</v>
      </c>
      <c r="H380" s="2" t="s">
        <v>67</v>
      </c>
      <c r="I380" s="2" t="str">
        <f>IFERROR(__xludf.DUMMYFUNCTION("GOOGLETRANSLATE(C380,""fr"",""en"")"),"I do not recommend this Faulez insurance, everything is fine if you pay your contributions and do not have an accident on the other hand the day they arrive a good luck. They do everything to make you struggle for 3 months that my vehicle is blocked in a "&amp;"garage in Spain, it is repaired but as Fidelia cannot contact the garage I have left me in the wait. I contact GMF sinister to tell them that I wish to have compensation for the unavailability of my vehicle I am answered We give you 200 euros while this a"&amp;"mount is barely half of the contributions that I have paid for 3 and a half months without have my vehicle. The least things were at least to reimburse myself in the months that I paid for nothing ...... in short in addition to that I must go to collect m"&amp;"y vehicle in Spain and I am only paying the plane to go for A person, so I explain that I would like to go with my wife to assist myself on the road I am answered ""no"" I then ask at least a night of hotel from to fatigue to take the road in good conditi"&amp;"on still responds ""no"" so that's how insurance will increase the risk that I have an accident on the return .... for insurance that is supposed to protect you is a bit bad")</f>
        <v>I do not recommend this Faulez insurance, everything is fine if you pay your contributions and do not have an accident on the other hand the day they arrive a good luck. They do everything to make you struggle for 3 months that my vehicle is blocked in a garage in Spain, it is repaired but as Fidelia cannot contact the garage I have left me in the wait. I contact GMF sinister to tell them that I wish to have compensation for the unavailability of my vehicle I am answered We give you 200 euros while this amount is barely half of the contributions that I have paid for 3 and a half months without have my vehicle. The least things were at least to reimburse myself in the months that I paid for nothing ...... in short in addition to that I must go to collect my vehicle in Spain and I am only paying the plane to go for A person, so I explain that I would like to go with my wife to assist myself on the road I am answered "no" I then ask at least a night of hotel from to fatigue to take the road in good condition still responds "no" so that's how insurance will increase the risk that I have an accident on the return .... for insurance that is supposed to protect you is a bit bad</v>
      </c>
    </row>
    <row r="381" ht="15.75" customHeight="1">
      <c r="A381" s="2">
        <v>3.0</v>
      </c>
      <c r="B381" s="2" t="s">
        <v>1180</v>
      </c>
      <c r="C381" s="2" t="s">
        <v>1181</v>
      </c>
      <c r="D381" s="2" t="s">
        <v>13</v>
      </c>
      <c r="E381" s="2" t="s">
        <v>14</v>
      </c>
      <c r="F381" s="2" t="s">
        <v>15</v>
      </c>
      <c r="G381" s="2" t="s">
        <v>530</v>
      </c>
      <c r="H381" s="2" t="s">
        <v>42</v>
      </c>
      <c r="I381" s="2" t="str">
        <f>IFERROR(__xludf.DUMMYFUNCTION("GOOGLETRANSLATE(C381,""fr"",""en"")"),"Happy with this choice I hope not to be mistaken
Pending documents that I hope to have quickly I remain at your disposal for additional questions
")</f>
        <v>Happy with this choice I hope not to be mistaken
Pending documents that I hope to have quickly I remain at your disposal for additional questions
</v>
      </c>
    </row>
    <row r="382" ht="15.75" customHeight="1">
      <c r="A382" s="2">
        <v>4.0</v>
      </c>
      <c r="B382" s="2" t="s">
        <v>1182</v>
      </c>
      <c r="C382" s="2" t="s">
        <v>1183</v>
      </c>
      <c r="D382" s="2" t="s">
        <v>74</v>
      </c>
      <c r="E382" s="2" t="s">
        <v>14</v>
      </c>
      <c r="F382" s="2" t="s">
        <v>15</v>
      </c>
      <c r="G382" s="2" t="s">
        <v>1184</v>
      </c>
      <c r="H382" s="2" t="s">
        <v>52</v>
      </c>
      <c r="I382" s="2" t="str">
        <f>IFERROR(__xludf.DUMMYFUNCTION("GOOGLETRANSLATE(C382,""fr"",""en"")"),"I am satisfied with service and support. On the phone, I had a specific quote and advice before starting to buy my first vehicle. In an agency I was given my letter of agreement prior to supervised driving and advice to manage my contracts. I like custome"&amp;"r service because the advisers (era) are smiling (es) and kind. For me confidence, transparency and primordial.")</f>
        <v>I am satisfied with service and support. On the phone, I had a specific quote and advice before starting to buy my first vehicle. In an agency I was given my letter of agreement prior to supervised driving and advice to manage my contracts. I like customer service because the advisers (era) are smiling (es) and kind. For me confidence, transparency and primordial.</v>
      </c>
    </row>
    <row r="383" ht="15.75" customHeight="1">
      <c r="A383" s="2">
        <v>5.0</v>
      </c>
      <c r="B383" s="2" t="s">
        <v>1185</v>
      </c>
      <c r="C383" s="2" t="s">
        <v>1186</v>
      </c>
      <c r="D383" s="2" t="s">
        <v>13</v>
      </c>
      <c r="E383" s="2" t="s">
        <v>14</v>
      </c>
      <c r="F383" s="2" t="s">
        <v>15</v>
      </c>
      <c r="G383" s="2" t="s">
        <v>42</v>
      </c>
      <c r="H383" s="2" t="s">
        <v>42</v>
      </c>
      <c r="I383" s="2" t="str">
        <f>IFERROR(__xludf.DUMMYFUNCTION("GOOGLETRANSLATE(C383,""fr"",""en"")"),"I am satisfied with the service.
The prices are attractive.
I recommend.
Fast and efficient service. No complaints.
Do not hesitate if you are looking for good insurance")</f>
        <v>I am satisfied with the service.
The prices are attractive.
I recommend.
Fast and efficient service. No complaints.
Do not hesitate if you are looking for good insurance</v>
      </c>
    </row>
    <row r="384" ht="15.75" customHeight="1">
      <c r="A384" s="2">
        <v>4.0</v>
      </c>
      <c r="B384" s="2" t="s">
        <v>1187</v>
      </c>
      <c r="C384" s="2" t="s">
        <v>1188</v>
      </c>
      <c r="D384" s="2" t="s">
        <v>87</v>
      </c>
      <c r="E384" s="2" t="s">
        <v>14</v>
      </c>
      <c r="F384" s="2" t="s">
        <v>15</v>
      </c>
      <c r="G384" s="2" t="s">
        <v>1034</v>
      </c>
      <c r="H384" s="2" t="s">
        <v>190</v>
      </c>
      <c r="I384" s="2" t="str">
        <f>IFERROR(__xludf.DUMMYFUNCTION("GOOGLETRANSLATE(C384,""fr"",""en"")"),"Listening to best quality price service available quickly no more than 2 min of waiting advisor nice and very clear I highly recommend this insurance")</f>
        <v>Listening to best quality price service available quickly no more than 2 min of waiting advisor nice and very clear I highly recommend this insurance</v>
      </c>
    </row>
    <row r="385" ht="15.75" customHeight="1">
      <c r="A385" s="2">
        <v>1.0</v>
      </c>
      <c r="B385" s="2" t="s">
        <v>1189</v>
      </c>
      <c r="C385" s="2" t="s">
        <v>1190</v>
      </c>
      <c r="D385" s="2" t="s">
        <v>45</v>
      </c>
      <c r="E385" s="2" t="s">
        <v>14</v>
      </c>
      <c r="F385" s="2" t="s">
        <v>15</v>
      </c>
      <c r="G385" s="2" t="s">
        <v>1191</v>
      </c>
      <c r="H385" s="2" t="s">
        <v>47</v>
      </c>
      <c r="I385" s="2" t="str">
        <f>IFERROR(__xludf.DUMMYFUNCTION("GOOGLETRANSLATE(C385,""fr"",""en"")"),"Inadmissible: We were solving our car insurance contract on March 23 because our car is sold. They all the same take the subscription of € 720 on April 3, 2018 concerning the insurance terminated 10 days before. Since then, it has been 1 month and a half "&amp;"that we have been trying to be reimbursed for these € 720 in vain. They are constantly lying to us, telling us that the transfer will be made within 48 hours but this is never the case ...
Inadmissible to have to harass them to get the case ...
After 5 "&amp;"-appeal and raising the tone they end up explaining to us that our bank can oppose late (up to 64 after) this sample. Our bank will therefore oppose it and we will have the reimbursement within 48 hours ... this time if, for I of real!")</f>
        <v>Inadmissible: We were solving our car insurance contract on March 23 because our car is sold. They all the same take the subscription of € 720 on April 3, 2018 concerning the insurance terminated 10 days before. Since then, it has been 1 month and a half that we have been trying to be reimbursed for these € 720 in vain. They are constantly lying to us, telling us that the transfer will be made within 48 hours but this is never the case ...
Inadmissible to have to harass them to get the case ...
After 5 -appeal and raising the tone they end up explaining to us that our bank can oppose late (up to 64 after) this sample. Our bank will therefore oppose it and we will have the reimbursement within 48 hours ... this time if, for I of real!</v>
      </c>
    </row>
    <row r="386" ht="15.75" customHeight="1">
      <c r="A386" s="2">
        <v>1.0</v>
      </c>
      <c r="B386" s="2" t="s">
        <v>1192</v>
      </c>
      <c r="C386" s="2" t="s">
        <v>1193</v>
      </c>
      <c r="D386" s="2" t="s">
        <v>164</v>
      </c>
      <c r="E386" s="2" t="s">
        <v>14</v>
      </c>
      <c r="F386" s="2" t="s">
        <v>15</v>
      </c>
      <c r="G386" s="2" t="s">
        <v>1194</v>
      </c>
      <c r="H386" s="2" t="s">
        <v>169</v>
      </c>
      <c r="I386" s="2" t="str">
        <f>IFERROR(__xludf.DUMMYFUNCTION("GOOGLETRANSLATE(C386,""fr"",""en"")"),"Insured for 2 vehicles at home for 40 years. This year 2 broken ice on a vehicle and 2 repairs on the second. In the 4 zero responsibility situations, moreover, I benefited from 50% bonus + 15%, additional bonuses as a good driver. Result for this year 20"&amp;"21 with 2 minor claims on each vehicle and despite 40 years without other claims, thrown as a malproprus without further form of trial for all 2 contracts.")</f>
        <v>Insured for 2 vehicles at home for 40 years. This year 2 broken ice on a vehicle and 2 repairs on the second. In the 4 zero responsibility situations, moreover, I benefited from 50% bonus + 15%, additional bonuses as a good driver. Result for this year 2021 with 2 minor claims on each vehicle and despite 40 years without other claims, thrown as a malproprus without further form of trial for all 2 contracts.</v>
      </c>
    </row>
    <row r="387" ht="15.75" customHeight="1">
      <c r="A387" s="2">
        <v>1.0</v>
      </c>
      <c r="B387" s="2" t="s">
        <v>1195</v>
      </c>
      <c r="C387" s="2" t="s">
        <v>1196</v>
      </c>
      <c r="D387" s="2" t="s">
        <v>64</v>
      </c>
      <c r="E387" s="2" t="s">
        <v>65</v>
      </c>
      <c r="F387" s="2" t="s">
        <v>15</v>
      </c>
      <c r="G387" s="2" t="s">
        <v>570</v>
      </c>
      <c r="H387" s="2" t="s">
        <v>42</v>
      </c>
      <c r="I387" s="2" t="str">
        <f>IFERROR(__xludf.DUMMYFUNCTION("GOOGLETRANSLATE(C387,""fr"",""en"")"),"Hello,
Following many letters from me and telephone calls,
For my mother's life insurance contract, no information is given to me,
Or even the means of having access to the elements of the contract.
They block the money that has been coming back f"&amp;"or 4 years already.
To flee.")</f>
        <v>Hello,
Following many letters from me and telephone calls,
For my mother's life insurance contract, no information is given to me,
Or even the means of having access to the elements of the contract.
They block the money that has been coming back for 4 years already.
To flee.</v>
      </c>
    </row>
    <row r="388" ht="15.75" customHeight="1">
      <c r="A388" s="2">
        <v>3.0</v>
      </c>
      <c r="B388" s="2" t="s">
        <v>1197</v>
      </c>
      <c r="C388" s="2" t="s">
        <v>1198</v>
      </c>
      <c r="D388" s="2" t="s">
        <v>87</v>
      </c>
      <c r="E388" s="2" t="s">
        <v>14</v>
      </c>
      <c r="F388" s="2" t="s">
        <v>15</v>
      </c>
      <c r="G388" s="2" t="s">
        <v>819</v>
      </c>
      <c r="H388" s="2" t="s">
        <v>61</v>
      </c>
      <c r="I388" s="2" t="str">
        <f>IFERROR(__xludf.DUMMYFUNCTION("GOOGLETRANSLATE(C388,""fr"",""en"")"),"I am satisfied with the service, I hope that my fidelitis at the olive tree will be rewarded at the time of the renewal of the contracts, not like the previous years")</f>
        <v>I am satisfied with the service, I hope that my fidelitis at the olive tree will be rewarded at the time of the renewal of the contracts, not like the previous years</v>
      </c>
    </row>
    <row r="389" ht="15.75" customHeight="1">
      <c r="A389" s="2">
        <v>4.0</v>
      </c>
      <c r="B389" s="2" t="s">
        <v>1199</v>
      </c>
      <c r="C389" s="2" t="s">
        <v>1200</v>
      </c>
      <c r="D389" s="2" t="s">
        <v>50</v>
      </c>
      <c r="E389" s="2" t="s">
        <v>21</v>
      </c>
      <c r="F389" s="2" t="s">
        <v>15</v>
      </c>
      <c r="G389" s="2" t="s">
        <v>842</v>
      </c>
      <c r="H389" s="2" t="s">
        <v>190</v>
      </c>
      <c r="I389" s="2" t="str">
        <f>IFERROR(__xludf.DUMMYFUNCTION("GOOGLETRANSLATE(C389,""fr"",""en"")"),"Easy and practical and inexpensive registration, to see with time if the services are there.
I will recommend this insurance if it suits me.")</f>
        <v>Easy and practical and inexpensive registration, to see with time if the services are there.
I will recommend this insurance if it suits me.</v>
      </c>
    </row>
    <row r="390" ht="15.75" customHeight="1">
      <c r="A390" s="2">
        <v>3.0</v>
      </c>
      <c r="B390" s="2" t="s">
        <v>1201</v>
      </c>
      <c r="C390" s="2" t="s">
        <v>1202</v>
      </c>
      <c r="D390" s="2" t="s">
        <v>87</v>
      </c>
      <c r="E390" s="2" t="s">
        <v>14</v>
      </c>
      <c r="F390" s="2" t="s">
        <v>15</v>
      </c>
      <c r="G390" s="2" t="s">
        <v>1203</v>
      </c>
      <c r="H390" s="2" t="s">
        <v>110</v>
      </c>
      <c r="I390" s="2" t="str">
        <f>IFERROR(__xludf.DUMMYFUNCTION("GOOGLETRANSLATE(C390,""fr"",""en"")"),"I am satisfied because it was done very quickly and the prices are very attractive. I am a new customer and if that suits me, I will take other contracts")</f>
        <v>I am satisfied because it was done very quickly and the prices are very attractive. I am a new customer and if that suits me, I will take other contracts</v>
      </c>
    </row>
    <row r="391" ht="15.75" customHeight="1">
      <c r="A391" s="2">
        <v>4.0</v>
      </c>
      <c r="B391" s="2" t="s">
        <v>1204</v>
      </c>
      <c r="C391" s="2" t="s">
        <v>1205</v>
      </c>
      <c r="D391" s="2" t="s">
        <v>30</v>
      </c>
      <c r="E391" s="2" t="s">
        <v>31</v>
      </c>
      <c r="F391" s="2" t="s">
        <v>15</v>
      </c>
      <c r="G391" s="2" t="s">
        <v>906</v>
      </c>
      <c r="H391" s="2" t="s">
        <v>433</v>
      </c>
      <c r="I391" s="2" t="str">
        <f>IFERROR(__xludf.DUMMYFUNCTION("GOOGLETRANSLATE(C391,""fr"",""en"")"),"Effective service easy to access and use
The platform can be reached.")</f>
        <v>Effective service easy to access and use
The platform can be reached.</v>
      </c>
    </row>
    <row r="392" ht="15.75" customHeight="1">
      <c r="A392" s="2">
        <v>5.0</v>
      </c>
      <c r="B392" s="2" t="s">
        <v>1206</v>
      </c>
      <c r="C392" s="2" t="s">
        <v>1207</v>
      </c>
      <c r="D392" s="2" t="s">
        <v>50</v>
      </c>
      <c r="E392" s="2" t="s">
        <v>21</v>
      </c>
      <c r="F392" s="2" t="s">
        <v>15</v>
      </c>
      <c r="G392" s="2" t="s">
        <v>1034</v>
      </c>
      <c r="H392" s="2" t="s">
        <v>190</v>
      </c>
      <c r="I392" s="2" t="str">
        <f>IFERROR(__xludf.DUMMYFUNCTION("GOOGLETRANSLATE(C392,""fr"",""en"")"),"Very satisfied thank you very much see you soon in the newsletter 2021 I will do information on you by giving your references to my friendly knowledge ...")</f>
        <v>Very satisfied thank you very much see you soon in the newsletter 2021 I will do information on you by giving your references to my friendly knowledge ...</v>
      </c>
    </row>
    <row r="393" ht="15.75" customHeight="1">
      <c r="A393" s="2">
        <v>5.0</v>
      </c>
      <c r="B393" s="2" t="s">
        <v>1208</v>
      </c>
      <c r="C393" s="2" t="s">
        <v>1209</v>
      </c>
      <c r="D393" s="2" t="s">
        <v>13</v>
      </c>
      <c r="E393" s="2" t="s">
        <v>14</v>
      </c>
      <c r="F393" s="2" t="s">
        <v>15</v>
      </c>
      <c r="G393" s="2" t="s">
        <v>1210</v>
      </c>
      <c r="H393" s="2" t="s">
        <v>190</v>
      </c>
      <c r="I393" s="2" t="str">
        <f>IFERROR(__xludf.DUMMYFUNCTION("GOOGLETRANSLATE(C393,""fr"",""en"")"),"Top I recommend attention young driver payment for the year you can subscribe without problem with confidence and inexpensive to ensure the vehicle")</f>
        <v>Top I recommend attention young driver payment for the year you can subscribe without problem with confidence and inexpensive to ensure the vehicle</v>
      </c>
    </row>
    <row r="394" ht="15.75" customHeight="1">
      <c r="A394" s="2">
        <v>5.0</v>
      </c>
      <c r="B394" s="2" t="s">
        <v>1211</v>
      </c>
      <c r="C394" s="2" t="s">
        <v>1212</v>
      </c>
      <c r="D394" s="2" t="s">
        <v>13</v>
      </c>
      <c r="E394" s="2" t="s">
        <v>14</v>
      </c>
      <c r="F394" s="2" t="s">
        <v>15</v>
      </c>
      <c r="G394" s="2" t="s">
        <v>1213</v>
      </c>
      <c r="H394" s="2" t="s">
        <v>138</v>
      </c>
      <c r="I394" s="2" t="str">
        <f>IFERROR(__xludf.DUMMYFUNCTION("GOOGLETRANSLATE(C394,""fr"",""en"")"),"Hi there
I am outraged when I read the ""Negative"" comments of Direct Insurance.
One of the recurring ""complaints"" is: increases in prices over the years (even without sinister)
And then: it's the game my pov 'lucette !!!!!!
Do you have to ta"&amp;"ke your hand to tell you: watch your scales? Insurance is renewed from year to year (by tacit - renewal!)
Competition exists! Instead of complaining (French specialty): Compare! (you have the right (even the duty) to change your insurance regularly: mini"&amp;"mum every year: housing, cars .... and even health !!!!!), so certainly it requires an effort: to provide documents ( License, C.G, report of information (over 24 months, or even 36 months !, And a RIB). So next Sunday, instead of going to play golf, or t"&amp;"o go to the opening of an illustrious unknown meeting On standard sites: assurland, ferrets, best assurance, lynx etc etc ......
Last little advice: do the same thing with your energy suppliers (gas and electricity) you will see you will not be disappo"&amp;"inted (I have made the ""costs this week!"")")</f>
        <v>Hi there
I am outraged when I read the "Negative" comments of Direct Insurance.
One of the recurring "complaints" is: increases in prices over the years (even without sinister)
And then: it's the game my pov 'lucette !!!!!!
Do you have to take your hand to tell you: watch your scales? Insurance is renewed from year to year (by tacit - renewal!)
Competition exists! Instead of complaining (French specialty): Compare! (you have the right (even the duty) to change your insurance regularly: minimum every year: housing, cars .... and even health !!!!!), so certainly it requires an effort: to provide documents ( License, C.G, report of information (over 24 months, or even 36 months !, And a RIB). So next Sunday, instead of going to play golf, or to go to the opening of an illustrious unknown meeting On standard sites: assurland, ferrets, best assurance, lynx etc etc ......
Last little advice: do the same thing with your energy suppliers (gas and electricity) you will see you will not be disappointed (I have made the "costs this week!")</v>
      </c>
    </row>
    <row r="395" ht="15.75" customHeight="1">
      <c r="A395" s="2">
        <v>4.0</v>
      </c>
      <c r="B395" s="2" t="s">
        <v>1214</v>
      </c>
      <c r="C395" s="2" t="s">
        <v>1215</v>
      </c>
      <c r="D395" s="2" t="s">
        <v>558</v>
      </c>
      <c r="E395" s="2" t="s">
        <v>31</v>
      </c>
      <c r="F395" s="2" t="s">
        <v>15</v>
      </c>
      <c r="G395" s="2" t="s">
        <v>1216</v>
      </c>
      <c r="H395" s="2" t="s">
        <v>138</v>
      </c>
      <c r="I395" s="2" t="str">
        <f>IFERROR(__xludf.DUMMYFUNCTION("GOOGLETRANSLATE(C395,""fr"",""en"")"),"I have always had a good relationship with my interlocutors.
Their answers corresponded to my expectations.
Communication by email on reimbursements is effective.")</f>
        <v>I have always had a good relationship with my interlocutors.
Their answers corresponded to my expectations.
Communication by email on reimbursements is effective.</v>
      </c>
    </row>
    <row r="396" ht="15.75" customHeight="1">
      <c r="A396" s="2">
        <v>3.0</v>
      </c>
      <c r="B396" s="2" t="s">
        <v>1217</v>
      </c>
      <c r="C396" s="2" t="s">
        <v>1218</v>
      </c>
      <c r="D396" s="2" t="s">
        <v>13</v>
      </c>
      <c r="E396" s="2" t="s">
        <v>14</v>
      </c>
      <c r="F396" s="2" t="s">
        <v>15</v>
      </c>
      <c r="G396" s="2" t="s">
        <v>205</v>
      </c>
      <c r="H396" s="2" t="s">
        <v>52</v>
      </c>
      <c r="I396" s="2" t="str">
        <f>IFERROR(__xludf.DUMMYFUNCTION("GOOGLETRANSLATE(C396,""fr"",""en"")"),"Good value for money, simple and practical. Ease of use to make an online and quick quote for subscription. Wide choice of option for insurance.")</f>
        <v>Good value for money, simple and practical. Ease of use to make an online and quick quote for subscription. Wide choice of option for insurance.</v>
      </c>
    </row>
    <row r="397" ht="15.75" customHeight="1">
      <c r="A397" s="2">
        <v>5.0</v>
      </c>
      <c r="B397" s="2" t="s">
        <v>1219</v>
      </c>
      <c r="C397" s="2" t="s">
        <v>1220</v>
      </c>
      <c r="D397" s="2" t="s">
        <v>201</v>
      </c>
      <c r="E397" s="2" t="s">
        <v>21</v>
      </c>
      <c r="F397" s="2" t="s">
        <v>15</v>
      </c>
      <c r="G397" s="2" t="s">
        <v>1221</v>
      </c>
      <c r="H397" s="2" t="s">
        <v>42</v>
      </c>
      <c r="I397" s="2" t="str">
        <f>IFERROR(__xludf.DUMMYFUNCTION("GOOGLETRANSLATE(C397,""fr"",""en"")"),"The price is very attractive especially for guarantees.
Easy to make the quote as well as to make the contract.
Sending easy documents too.")</f>
        <v>The price is very attractive especially for guarantees.
Easy to make the quote as well as to make the contract.
Sending easy documents too.</v>
      </c>
    </row>
    <row r="398" ht="15.75" customHeight="1">
      <c r="A398" s="2">
        <v>2.0</v>
      </c>
      <c r="B398" s="2" t="s">
        <v>1222</v>
      </c>
      <c r="C398" s="2" t="s">
        <v>1223</v>
      </c>
      <c r="D398" s="2" t="s">
        <v>87</v>
      </c>
      <c r="E398" s="2" t="s">
        <v>14</v>
      </c>
      <c r="F398" s="2" t="s">
        <v>15</v>
      </c>
      <c r="G398" s="2" t="s">
        <v>1129</v>
      </c>
      <c r="H398" s="2" t="s">
        <v>195</v>
      </c>
      <c r="I398" s="2" t="str">
        <f>IFERROR(__xludf.DUMMYFUNCTION("GOOGLETRANSLATE(C398,""fr"",""en"")"),"Like many online insurers, prices seem interesting but the real expected service is no longer present when you most need a serious insurer, the moment of a disaster.
My case, assured all risks, I get in in tourism in Andorra, I am not in wrong and Oliv"&amp;"ier Insurance confirms that I am not responsible. But a priori the opposing party Andorrane negotiated his file and refused responsibility ... invoked the law of the Andorran soil and the sharing of responsibility. Against all expectations, not only Olivi"&amp;"er Insurance failed to defend my case but as a bonus they only reimburse me for half of the franchise! Super commercial!
Of course to top it all, otherwise it would not be as crisp, the dispute took place in January 2020 and I have to date ... almost 1 y"&amp;"ear ... still not obtained a reimbursement.")</f>
        <v>Like many online insurers, prices seem interesting but the real expected service is no longer present when you most need a serious insurer, the moment of a disaster.
My case, assured all risks, I get in in tourism in Andorra, I am not in wrong and Olivier Insurance confirms that I am not responsible. But a priori the opposing party Andorrane negotiated his file and refused responsibility ... invoked the law of the Andorran soil and the sharing of responsibility. Against all expectations, not only Olivier Insurance failed to defend my case but as a bonus they only reimburse me for half of the franchise! Super commercial!
Of course to top it all, otherwise it would not be as crisp, the dispute took place in January 2020 and I have to date ... almost 1 year ... still not obtained a reimbursement.</v>
      </c>
    </row>
    <row r="399" ht="15.75" customHeight="1">
      <c r="A399" s="2">
        <v>3.0</v>
      </c>
      <c r="B399" s="2" t="s">
        <v>1224</v>
      </c>
      <c r="C399" s="2" t="s">
        <v>1225</v>
      </c>
      <c r="D399" s="2" t="s">
        <v>79</v>
      </c>
      <c r="E399" s="2" t="s">
        <v>14</v>
      </c>
      <c r="F399" s="2" t="s">
        <v>15</v>
      </c>
      <c r="G399" s="2" t="s">
        <v>1226</v>
      </c>
      <c r="H399" s="2" t="s">
        <v>433</v>
      </c>
      <c r="I399" s="2" t="str">
        <f>IFERROR(__xludf.DUMMYFUNCTION("GOOGLETRANSLATE(C399,""fr"",""en"")"),"I am not a customer but when I see all the negative comments I tell myself that I will see ayeur it is not possible to have so much negative comments and not to react behind")</f>
        <v>I am not a customer but when I see all the negative comments I tell myself that I will see ayeur it is not possible to have so much negative comments and not to react behind</v>
      </c>
    </row>
    <row r="400" ht="15.75" customHeight="1">
      <c r="A400" s="2">
        <v>3.0</v>
      </c>
      <c r="B400" s="2" t="s">
        <v>1227</v>
      </c>
      <c r="C400" s="2" t="s">
        <v>1228</v>
      </c>
      <c r="D400" s="2" t="s">
        <v>87</v>
      </c>
      <c r="E400" s="2" t="s">
        <v>14</v>
      </c>
      <c r="F400" s="2" t="s">
        <v>15</v>
      </c>
      <c r="G400" s="2" t="s">
        <v>1229</v>
      </c>
      <c r="H400" s="2" t="s">
        <v>312</v>
      </c>
      <c r="I400" s="2" t="str">
        <f>IFERROR(__xludf.DUMMYFUNCTION("GOOGLETRANSLATE(C400,""fr"",""en"")"),"I am very very worried
I have looked at a lot of site on the opinions of this insurance
I just got my vehicle stolen, it was found burned
I declared the scaper I lend me a vehicle 5 days
But for the future no news
Everywhere the opinions tells that i"&amp;"t takes between 2 to 6 me so that its advance
I even seen opinions which had to be called upon a lawyer
I admit I am so worried that evenings I look at a proximity procedure in order to prepare me
I live 70km from my workplace without public transpor"&amp;"t.
Client number 1219175322")</f>
        <v>I am very very worried
I have looked at a lot of site on the opinions of this insurance
I just got my vehicle stolen, it was found burned
I declared the scaper I lend me a vehicle 5 days
But for the future no news
Everywhere the opinions tells that it takes between 2 to 6 me so that its advance
I even seen opinions which had to be called upon a lawyer
I admit I am so worried that evenings I look at a proximity procedure in order to prepare me
I live 70km from my workplace without public transport.
Client number 1219175322</v>
      </c>
    </row>
    <row r="401" ht="15.75" customHeight="1">
      <c r="A401" s="2">
        <v>1.0</v>
      </c>
      <c r="B401" s="2" t="s">
        <v>1230</v>
      </c>
      <c r="C401" s="2" t="s">
        <v>1231</v>
      </c>
      <c r="D401" s="2" t="s">
        <v>13</v>
      </c>
      <c r="E401" s="2" t="s">
        <v>14</v>
      </c>
      <c r="F401" s="2" t="s">
        <v>15</v>
      </c>
      <c r="G401" s="2" t="s">
        <v>770</v>
      </c>
      <c r="H401" s="2" t="s">
        <v>27</v>
      </c>
      <c r="I401" s="2" t="str">
        <f>IFERROR(__xludf.DUMMYFUNCTION("GOOGLETRANSLATE(C401,""fr"",""en"")"),"Impossible to change this exorbitant auto insurance price when I am offered half of this rate elsewhere. I will change auto insurance I cannot pay as much it is completely unfair. I have an old car and more than 5 years of license without any accident I s"&amp;"hould not pay 50 € per month.")</f>
        <v>Impossible to change this exorbitant auto insurance price when I am offered half of this rate elsewhere. I will change auto insurance I cannot pay as much it is completely unfair. I have an old car and more than 5 years of license without any accident I should not pay 50 € per month.</v>
      </c>
    </row>
    <row r="402" ht="15.75" customHeight="1">
      <c r="A402" s="2">
        <v>5.0</v>
      </c>
      <c r="B402" s="2" t="s">
        <v>1232</v>
      </c>
      <c r="C402" s="2" t="s">
        <v>1233</v>
      </c>
      <c r="D402" s="2" t="s">
        <v>87</v>
      </c>
      <c r="E402" s="2" t="s">
        <v>14</v>
      </c>
      <c r="F402" s="2" t="s">
        <v>15</v>
      </c>
      <c r="G402" s="2" t="s">
        <v>565</v>
      </c>
      <c r="H402" s="2" t="s">
        <v>190</v>
      </c>
      <c r="I402" s="2" t="str">
        <f>IFERROR(__xludf.DUMMYFUNCTION("GOOGLETRANSLATE(C402,""fr"",""en"")"),"I am very satisfied with the service, it is not complicated and it is easy to understand, there are good indications in order to follow the procedures. Thank you
")</f>
        <v>I am very satisfied with the service, it is not complicated and it is easy to understand, there are good indications in order to follow the procedures. Thank you
</v>
      </c>
    </row>
    <row r="403" ht="15.75" customHeight="1">
      <c r="A403" s="2">
        <v>1.0</v>
      </c>
      <c r="B403" s="2" t="s">
        <v>1234</v>
      </c>
      <c r="C403" s="2" t="s">
        <v>1235</v>
      </c>
      <c r="D403" s="2" t="s">
        <v>795</v>
      </c>
      <c r="E403" s="2" t="s">
        <v>246</v>
      </c>
      <c r="F403" s="2" t="s">
        <v>15</v>
      </c>
      <c r="G403" s="2" t="s">
        <v>1236</v>
      </c>
      <c r="H403" s="2" t="s">
        <v>179</v>
      </c>
      <c r="I403" s="2" t="str">
        <f>IFERROR(__xludf.DUMMYFUNCTION("GOOGLETRANSLATE(C403,""fr"",""en"")"),"A drama ! Customer service pretends not to understand anything to prevent you from terminating. Fortunately, the contract clearly stipulates that if you do not receive the maturity notice at least 15 days before the 2 months of notice required to terminat"&amp;"e the contract you can terminate within 20 days after the date of receipt of this one. Fortunately, I sent the AR mail within 20 days!")</f>
        <v>A drama ! Customer service pretends not to understand anything to prevent you from terminating. Fortunately, the contract clearly stipulates that if you do not receive the maturity notice at least 15 days before the 2 months of notice required to terminate the contract you can terminate within 20 days after the date of receipt of this one. Fortunately, I sent the AR mail within 20 days!</v>
      </c>
    </row>
    <row r="404" ht="15.75" customHeight="1">
      <c r="A404" s="2">
        <v>1.0</v>
      </c>
      <c r="B404" s="2" t="s">
        <v>1237</v>
      </c>
      <c r="C404" s="2" t="s">
        <v>1238</v>
      </c>
      <c r="D404" s="2" t="s">
        <v>45</v>
      </c>
      <c r="E404" s="2" t="s">
        <v>14</v>
      </c>
      <c r="F404" s="2" t="s">
        <v>15</v>
      </c>
      <c r="G404" s="2" t="s">
        <v>1239</v>
      </c>
      <c r="H404" s="2" t="s">
        <v>179</v>
      </c>
      <c r="I404" s="2" t="str">
        <f>IFERROR(__xludf.DUMMYFUNCTION("GOOGLETRANSLATE(C404,""fr"",""en"")"),"The Macif boasts everywhere to be united and in particular not to make you pay contributions for a year if you are unemployed. But it's a beautiful lie. They will do it and turn you on the first pretext. As far as I am concerned, for having called on assi"&amp;"stance when a repair costs Peanuts compared to a disaster. What a shame !!")</f>
        <v>The Macif boasts everywhere to be united and in particular not to make you pay contributions for a year if you are unemployed. But it's a beautiful lie. They will do it and turn you on the first pretext. As far as I am concerned, for having called on assistance when a repair costs Peanuts compared to a disaster. What a shame !!</v>
      </c>
    </row>
    <row r="405" ht="15.75" customHeight="1">
      <c r="A405" s="2">
        <v>4.0</v>
      </c>
      <c r="B405" s="2" t="s">
        <v>1240</v>
      </c>
      <c r="C405" s="2" t="s">
        <v>1241</v>
      </c>
      <c r="D405" s="2" t="s">
        <v>87</v>
      </c>
      <c r="E405" s="2" t="s">
        <v>14</v>
      </c>
      <c r="F405" s="2" t="s">
        <v>15</v>
      </c>
      <c r="G405" s="2" t="s">
        <v>417</v>
      </c>
      <c r="H405" s="2" t="s">
        <v>27</v>
      </c>
      <c r="I405" s="2" t="str">
        <f>IFERROR(__xludf.DUMMYFUNCTION("GOOGLETRANSLATE(C405,""fr"",""en"")"),"Auto insurance prices seem very suitable for me. Very practical online quote and very good communication by phone. Delighted to have found this insurance.")</f>
        <v>Auto insurance prices seem very suitable for me. Very practical online quote and very good communication by phone. Delighted to have found this insurance.</v>
      </c>
    </row>
    <row r="406" ht="15.75" customHeight="1">
      <c r="A406" s="2">
        <v>5.0</v>
      </c>
      <c r="B406" s="2" t="s">
        <v>1242</v>
      </c>
      <c r="C406" s="2" t="s">
        <v>1243</v>
      </c>
      <c r="D406" s="2" t="s">
        <v>87</v>
      </c>
      <c r="E406" s="2" t="s">
        <v>14</v>
      </c>
      <c r="F406" s="2" t="s">
        <v>15</v>
      </c>
      <c r="G406" s="2" t="s">
        <v>1244</v>
      </c>
      <c r="H406" s="2" t="s">
        <v>851</v>
      </c>
      <c r="I406" s="2" t="str">
        <f>IFERROR(__xludf.DUMMYFUNCTION("GOOGLETRANSLATE(C406,""fr"",""en"")"),"Insurance or you can request information via Facebook has competent customer officials who respond quickly.")</f>
        <v>Insurance or you can request information via Facebook has competent customer officials who respond quickly.</v>
      </c>
    </row>
    <row r="407" ht="15.75" customHeight="1">
      <c r="A407" s="2">
        <v>4.0</v>
      </c>
      <c r="B407" s="2" t="s">
        <v>1245</v>
      </c>
      <c r="C407" s="2" t="s">
        <v>1246</v>
      </c>
      <c r="D407" s="2" t="s">
        <v>87</v>
      </c>
      <c r="E407" s="2" t="s">
        <v>14</v>
      </c>
      <c r="F407" s="2" t="s">
        <v>15</v>
      </c>
      <c r="G407" s="2" t="s">
        <v>208</v>
      </c>
      <c r="H407" s="2" t="s">
        <v>209</v>
      </c>
      <c r="I407" s="2" t="str">
        <f>IFERROR(__xludf.DUMMYFUNCTION("GOOGLETRANSLATE(C407,""fr"",""en"")"),"Affordable and fair price. The advisers were very responsive to advise me and give me the necessary information.")</f>
        <v>Affordable and fair price. The advisers were very responsive to advise me and give me the necessary information.</v>
      </c>
    </row>
    <row r="408" ht="15.75" customHeight="1">
      <c r="A408" s="2">
        <v>2.0</v>
      </c>
      <c r="B408" s="2" t="s">
        <v>1247</v>
      </c>
      <c r="C408" s="2" t="s">
        <v>1248</v>
      </c>
      <c r="D408" s="2" t="s">
        <v>201</v>
      </c>
      <c r="E408" s="2" t="s">
        <v>21</v>
      </c>
      <c r="F408" s="2" t="s">
        <v>15</v>
      </c>
      <c r="G408" s="2" t="s">
        <v>1249</v>
      </c>
      <c r="H408" s="2" t="s">
        <v>67</v>
      </c>
      <c r="I408" s="2" t="str">
        <f>IFERROR(__xludf.DUMMYFUNCTION("GOOGLETRANSLATE(C408,""fr"",""en"")"),"Strichy by a driver who fled on March 11, 2017, I am desperately waiting for my file and my compensation so that I can have the medical care that is necessary for me. 24 odds. I have been receiving the same mail for almost 3 years: treatment in progress. "&amp;"I am blocked because I can't even sell my motorcycle. I am furious with the treatment of treatment. Scandalous!")</f>
        <v>Strichy by a driver who fled on March 11, 2017, I am desperately waiting for my file and my compensation so that I can have the medical care that is necessary for me. 24 odds. I have been receiving the same mail for almost 3 years: treatment in progress. I am blocked because I can't even sell my motorcycle. I am furious with the treatment of treatment. Scandalous!</v>
      </c>
    </row>
    <row r="409" ht="15.75" customHeight="1">
      <c r="A409" s="2">
        <v>1.0</v>
      </c>
      <c r="B409" s="2" t="s">
        <v>1250</v>
      </c>
      <c r="C409" s="2" t="s">
        <v>1251</v>
      </c>
      <c r="D409" s="2" t="s">
        <v>36</v>
      </c>
      <c r="E409" s="2" t="s">
        <v>14</v>
      </c>
      <c r="F409" s="2" t="s">
        <v>15</v>
      </c>
      <c r="G409" s="2" t="s">
        <v>1252</v>
      </c>
      <c r="H409" s="2" t="s">
        <v>117</v>
      </c>
      <c r="I409" s="2" t="str">
        <f>IFERROR(__xludf.DUMMYFUNCTION("GOOGLETRANSLATE(C409,""fr"",""en"")"),"First, there is a lack of transparency for the member. I have no visibility on the progress of my file, despite several reminders. The various intermediaries, (experts and garage owners) tell me that they need the green light of insurance. Insurance, tell"&amp;"s me that my file is good and that there is no longer any blockage. Unfortunately, I have just contacted the mechanic again this afternoon, who has given me the same return, for a few days. The expert, tells me that he had the manager of my file by phone,"&amp;" but as long as he has no writing from insurance, he can do nothing.
 It is really, distressing to leave these insured in this situation. Which has lasted for 1 month and a half. And which is always at the same starting point.")</f>
        <v>First, there is a lack of transparency for the member. I have no visibility on the progress of my file, despite several reminders. The various intermediaries, (experts and garage owners) tell me that they need the green light of insurance. Insurance, tells me that my file is good and that there is no longer any blockage. Unfortunately, I have just contacted the mechanic again this afternoon, who has given me the same return, for a few days. The expert, tells me that he had the manager of my file by phone, but as long as he has no writing from insurance, he can do nothing.
 It is really, distressing to leave these insured in this situation. Which has lasted for 1 month and a half. And which is always at the same starting point.</v>
      </c>
    </row>
    <row r="410" ht="15.75" customHeight="1">
      <c r="A410" s="2">
        <v>1.0</v>
      </c>
      <c r="B410" s="2" t="s">
        <v>1253</v>
      </c>
      <c r="C410" s="2" t="s">
        <v>1254</v>
      </c>
      <c r="D410" s="2" t="s">
        <v>36</v>
      </c>
      <c r="E410" s="2" t="s">
        <v>14</v>
      </c>
      <c r="F410" s="2" t="s">
        <v>15</v>
      </c>
      <c r="G410" s="2" t="s">
        <v>1255</v>
      </c>
      <c r="H410" s="2" t="s">
        <v>94</v>
      </c>
      <c r="I410" s="2" t="str">
        <f>IFERROR(__xludf.DUMMYFUNCTION("GOOGLETRANSLATE(C410,""fr"",""en"")"),"I started from this insurance because following a move from an area very populated at the bottom of the campaign, I had a spectacular increase and no justification. I did not know why and I had already settled my subscription so I left dragged (I was very"&amp;" taken during this period), I had the right to several penalty but never an explanation, after a recommended, they all the same ended up calling me to explain to me but not valid reasons!")</f>
        <v>I started from this insurance because following a move from an area very populated at the bottom of the campaign, I had a spectacular increase and no justification. I did not know why and I had already settled my subscription so I left dragged (I was very taken during this period), I had the right to several penalty but never an explanation, after a recommended, they all the same ended up calling me to explain to me but not valid reasons!</v>
      </c>
    </row>
    <row r="411" ht="15.75" customHeight="1">
      <c r="A411" s="2">
        <v>1.0</v>
      </c>
      <c r="B411" s="2" t="s">
        <v>1256</v>
      </c>
      <c r="C411" s="2" t="s">
        <v>1257</v>
      </c>
      <c r="D411" s="2" t="s">
        <v>1111</v>
      </c>
      <c r="E411" s="2" t="s">
        <v>288</v>
      </c>
      <c r="F411" s="2" t="s">
        <v>15</v>
      </c>
      <c r="G411" s="2" t="s">
        <v>1258</v>
      </c>
      <c r="H411" s="2" t="s">
        <v>52</v>
      </c>
      <c r="I411" s="2" t="str">
        <f>IFERROR(__xludf.DUMMYFUNCTION("GOOGLETRANSLATE(C411,""fr"",""en"")"),"A obstacle course to settle a life insurance file following the death of our father: 2 months to respond to the notary… 49 days to establish the regulatory documents… .12 days to “study” the file… .sans count the erroneous information during the Telephone"&amp;" exchanges: documents so -called not received…. In short we launched the file on March 25 and the regulations intervened on August 16 !!!!!!! Who says better .. and I do not emphasize the little defense of the said company…. When telephone contacts… .c. a"&amp;"re like that and you have nothing to say….
  ")</f>
        <v>A obstacle course to settle a life insurance file following the death of our father: 2 months to respond to the notary… 49 days to establish the regulatory documents… .12 days to “study” the file… .sans count the erroneous information during the Telephone exchanges: documents so -called not received…. In short we launched the file on March 25 and the regulations intervened on August 16 !!!!!!! Who says better .. and I do not emphasize the little defense of the said company…. When telephone contacts… .c. are like that and you have nothing to say….
  </v>
      </c>
    </row>
    <row r="412" ht="15.75" customHeight="1">
      <c r="A412" s="2">
        <v>2.0</v>
      </c>
      <c r="B412" s="2" t="s">
        <v>1259</v>
      </c>
      <c r="C412" s="2" t="s">
        <v>1260</v>
      </c>
      <c r="D412" s="2" t="s">
        <v>227</v>
      </c>
      <c r="E412" s="2" t="s">
        <v>65</v>
      </c>
      <c r="F412" s="2" t="s">
        <v>15</v>
      </c>
      <c r="G412" s="2" t="s">
        <v>1261</v>
      </c>
      <c r="H412" s="2" t="s">
        <v>446</v>
      </c>
      <c r="I412" s="2" t="str">
        <f>IFERROR(__xludf.DUMMYFUNCTION("GOOGLETRANSLATE(C412,""fr"",""en"")"),"We have subscribed through direct provident intermediary on 07/05/2017 a contract, among other things covering my wife against death assaults, inability, invalidity etc ... my wife victim of a violent assault with third parties identified 120 days ITT jud"&amp;"icial (FEV 2018), criminal prosecution etc ... We declare disaster, we regularly send medical documents. We send a certificate of consolidation with permanent disabling sequela evaluation during January 2019 so that the contract produces its effects. We h"&amp;"ave no correspondence from the Allianz group, nothing indicating the right taking into account of our process. I restart direct preventive and the disappointment he answered us that they have big problem with the group and times that can sometimes go up t"&amp;"o + 10 months. We ask us to be communicated to us our N of Allianz and coordinated in order to try to join them to find out more. On April 17, 2019 we contact them and we have as info that they would have relaunched the expert doctor so that an expertise "&amp;"on part is diligent and that they would not have had a return we are at D+ 3 months without counting the deadline that Go oppose the date of visit if an expert deign to give an appointment and then a study period and then a period of proposal and then a p"&amp;"eriod of payment of compensation. In addition under our general conditions it is indicated that the company Upon receipt of the supporting documents proceeds to pay compensation within fifteen. To date no return and in addition, it is clear to note a viol"&amp;"ation of the clauses of the insurance police of our contract! We also wrote via email to the services dedicated to complaints and to date have no return to date.")</f>
        <v>We have subscribed through direct provident intermediary on 07/05/2017 a contract, among other things covering my wife against death assaults, inability, invalidity etc ... my wife victim of a violent assault with third parties identified 120 days ITT judicial (FEV 2018), criminal prosecution etc ... We declare disaster, we regularly send medical documents. We send a certificate of consolidation with permanent disabling sequela evaluation during January 2019 so that the contract produces its effects. We have no correspondence from the Allianz group, nothing indicating the right taking into account of our process. I restart direct preventive and the disappointment he answered us that they have big problem with the group and times that can sometimes go up to + 10 months. We ask us to be communicated to us our N of Allianz and coordinated in order to try to join them to find out more. On April 17, 2019 we contact them and we have as info that they would have relaunched the expert doctor so that an expertise on part is diligent and that they would not have had a return we are at D+ 3 months without counting the deadline that Go oppose the date of visit if an expert deign to give an appointment and then a study period and then a period of proposal and then a period of payment of compensation. In addition under our general conditions it is indicated that the company Upon receipt of the supporting documents proceeds to pay compensation within fifteen. To date no return and in addition, it is clear to note a violation of the clauses of the insurance police of our contract! We also wrote via email to the services dedicated to complaints and to date have no return to date.</v>
      </c>
    </row>
    <row r="413" ht="15.75" customHeight="1">
      <c r="A413" s="2">
        <v>4.0</v>
      </c>
      <c r="B413" s="2" t="s">
        <v>1262</v>
      </c>
      <c r="C413" s="2" t="s">
        <v>1263</v>
      </c>
      <c r="D413" s="2" t="s">
        <v>832</v>
      </c>
      <c r="E413" s="2" t="s">
        <v>232</v>
      </c>
      <c r="F413" s="2" t="s">
        <v>15</v>
      </c>
      <c r="G413" s="2" t="s">
        <v>1264</v>
      </c>
      <c r="H413" s="2" t="s">
        <v>110</v>
      </c>
      <c r="I413" s="2" t="str">
        <f>IFERROR(__xludf.DUMMYFUNCTION("GOOGLETRANSLATE(C413,""fr"",""en"")"),"Super telephone follow -up after electronic signature with writing papers to send to the Bank, etc. very serious and professional. Small improvement on the use of the customer area on the website would be perfect")</f>
        <v>Super telephone follow -up after electronic signature with writing papers to send to the Bank, etc. very serious and professional. Small improvement on the use of the customer area on the website would be perfect</v>
      </c>
    </row>
    <row r="414" ht="15.75" customHeight="1">
      <c r="A414" s="2">
        <v>3.0</v>
      </c>
      <c r="B414" s="2" t="s">
        <v>1265</v>
      </c>
      <c r="C414" s="2" t="s">
        <v>1266</v>
      </c>
      <c r="D414" s="2" t="s">
        <v>87</v>
      </c>
      <c r="E414" s="2" t="s">
        <v>14</v>
      </c>
      <c r="F414" s="2" t="s">
        <v>15</v>
      </c>
      <c r="G414" s="2" t="s">
        <v>1123</v>
      </c>
      <c r="H414" s="2" t="s">
        <v>52</v>
      </c>
      <c r="I414" s="2" t="str">
        <f>IFERROR(__xludf.DUMMYFUNCTION("GOOGLETRANSLATE(C414,""fr"",""en"")"),"The quotes offered online are cheaper than those offered by interlocutors on the phone .... strange. For strictly identical conditions and parameters of course. Would they be paid to the COM. ?")</f>
        <v>The quotes offered online are cheaper than those offered by interlocutors on the phone .... strange. For strictly identical conditions and parameters of course. Would they be paid to the COM. ?</v>
      </c>
    </row>
    <row r="415" ht="15.75" customHeight="1">
      <c r="A415" s="2">
        <v>2.0</v>
      </c>
      <c r="B415" s="2" t="s">
        <v>1267</v>
      </c>
      <c r="C415" s="2" t="s">
        <v>1268</v>
      </c>
      <c r="D415" s="2" t="s">
        <v>13</v>
      </c>
      <c r="E415" s="2" t="s">
        <v>14</v>
      </c>
      <c r="F415" s="2" t="s">
        <v>15</v>
      </c>
      <c r="G415" s="2" t="s">
        <v>1269</v>
      </c>
      <c r="H415" s="2" t="s">
        <v>446</v>
      </c>
      <c r="I415" s="2" t="str">
        <f>IFERROR(__xludf.DUMMYFUNCTION("GOOGLETRANSLATE(C415,""fr"",""en"")"),"Impossible to have a follow -up when you have a disaster. The service has been walking since 04/12/2019. I have no answer. I put forward the costs because I wanted to go through my mechanic who I trust to do the work, I have advanced the costs and since I"&amp;" am told that the file is pending. Each time when I call the platform the person answers me that they cannot consult my file.")</f>
        <v>Impossible to have a follow -up when you have a disaster. The service has been walking since 04/12/2019. I have no answer. I put forward the costs because I wanted to go through my mechanic who I trust to do the work, I have advanced the costs and since I am told that the file is pending. Each time when I call the platform the person answers me that they cannot consult my file.</v>
      </c>
    </row>
    <row r="416" ht="15.75" customHeight="1">
      <c r="A416" s="2">
        <v>2.0</v>
      </c>
      <c r="B416" s="2" t="s">
        <v>1270</v>
      </c>
      <c r="C416" s="2" t="s">
        <v>1271</v>
      </c>
      <c r="D416" s="2" t="s">
        <v>13</v>
      </c>
      <c r="E416" s="2" t="s">
        <v>14</v>
      </c>
      <c r="F416" s="2" t="s">
        <v>15</v>
      </c>
      <c r="G416" s="2" t="s">
        <v>295</v>
      </c>
      <c r="H416" s="2" t="s">
        <v>42</v>
      </c>
      <c r="I416" s="2" t="str">
        <f>IFERROR(__xludf.DUMMYFUNCTION("GOOGLETRANSLATE(C416,""fr"",""en"")"),"Overall I am satisfied, there is just a problem in terms of price increase. I have the impression that we pay for bad drivers, that is to say if the number of disaster in region A, we increase the price for everyone.")</f>
        <v>Overall I am satisfied, there is just a problem in terms of price increase. I have the impression that we pay for bad drivers, that is to say if the number of disaster in region A, we increase the price for everyone.</v>
      </c>
    </row>
    <row r="417" ht="15.75" customHeight="1">
      <c r="A417" s="2">
        <v>5.0</v>
      </c>
      <c r="B417" s="2" t="s">
        <v>1272</v>
      </c>
      <c r="C417" s="2" t="s">
        <v>1273</v>
      </c>
      <c r="D417" s="2" t="s">
        <v>87</v>
      </c>
      <c r="E417" s="2" t="s">
        <v>14</v>
      </c>
      <c r="F417" s="2" t="s">
        <v>15</v>
      </c>
      <c r="G417" s="2" t="s">
        <v>964</v>
      </c>
      <c r="H417" s="2" t="s">
        <v>209</v>
      </c>
      <c r="I417" s="2" t="str">
        <f>IFERROR(__xludf.DUMMYFUNCTION("GOOGLETRANSLATE(C417,""fr"",""en"")"),"I am satisfied with the professionalism of my interlocutor, very kind, attentive, which offers us different formulas
Very satisfactory prices
")</f>
        <v>I am satisfied with the professionalism of my interlocutor, very kind, attentive, which offers us different formulas
Very satisfactory prices
</v>
      </c>
    </row>
    <row r="418" ht="15.75" customHeight="1">
      <c r="A418" s="2">
        <v>2.0</v>
      </c>
      <c r="B418" s="2" t="s">
        <v>1274</v>
      </c>
      <c r="C418" s="2" t="s">
        <v>1275</v>
      </c>
      <c r="D418" s="2" t="s">
        <v>70</v>
      </c>
      <c r="E418" s="2" t="s">
        <v>31</v>
      </c>
      <c r="F418" s="2" t="s">
        <v>15</v>
      </c>
      <c r="G418" s="2" t="s">
        <v>1276</v>
      </c>
      <c r="H418" s="2" t="s">
        <v>1277</v>
      </c>
      <c r="I418" s="2" t="str">
        <f>IFERROR(__xludf.DUMMYFUNCTION("GOOGLETRANSLATE(C418,""fr"",""en"")"),"Hello, I am Mrs. Perperot, I signed a mutual health contract in 2015. In March 2018, we must take my husband's professional mutual insurance company. We therefore ask for a termination of the contract. We are in the month of Aôut and this is still not set"&amp;"tled. A total of 3 recommended letters were sent. But that did not move even after multiple telephone calls. I specify that the work of administrative agents leaves something to be desired ... and again I am kind. If we had been communicated the exact pro"&amp;"cedure to follow from the start we would not be there today. In addition, we are asked for the sum of 530 euros for the months of unpaid contributions (we already pay the Mutual Pro). I even threatened them to initiate procedures against them. Nothing wor"&amp;"ks. We are threatened as a bailiff !! ASHAMED!! So I went to this forum where I saw that we were not the only ones in this situation. (Besides, I told them on the phone but according to them it is not true) ... I sent an email late Friday afternoon by ask"&amp;"ing to remember as soon as possible. And this morning appeal from Mr. Jérémie Thollot ... of an understanding and unparalleled professionalism. Thank you very much to you dear sir ... thanks to you my file has been closed in less than 10 minutes. I highly"&amp;" recommend to all people who have disputes with Néoliane to contact him. With him you will be helped and above all you will be listened to !!")</f>
        <v>Hello, I am Mrs. Perperot, I signed a mutual health contract in 2015. In March 2018, we must take my husband's professional mutual insurance company. We therefore ask for a termination of the contract. We are in the month of Aôut and this is still not settled. A total of 3 recommended letters were sent. But that did not move even after multiple telephone calls. I specify that the work of administrative agents leaves something to be desired ... and again I am kind. If we had been communicated the exact procedure to follow from the start we would not be there today. In addition, we are asked for the sum of 530 euros for the months of unpaid contributions (we already pay the Mutual Pro). I even threatened them to initiate procedures against them. Nothing works. We are threatened as a bailiff !! ASHAMED!! So I went to this forum where I saw that we were not the only ones in this situation. (Besides, I told them on the phone but according to them it is not true) ... I sent an email late Friday afternoon by asking to remember as soon as possible. And this morning appeal from Mr. Jérémie Thollot ... of an understanding and unparalleled professionalism. Thank you very much to you dear sir ... thanks to you my file has been closed in less than 10 minutes. I highly recommend to all people who have disputes with Néoliane to contact him. With him you will be helped and above all you will be listened to !!</v>
      </c>
    </row>
    <row r="419" ht="15.75" customHeight="1">
      <c r="A419" s="2">
        <v>3.0</v>
      </c>
      <c r="B419" s="2" t="s">
        <v>1278</v>
      </c>
      <c r="C419" s="2" t="s">
        <v>1279</v>
      </c>
      <c r="D419" s="2" t="s">
        <v>13</v>
      </c>
      <c r="E419" s="2" t="s">
        <v>14</v>
      </c>
      <c r="F419" s="2" t="s">
        <v>15</v>
      </c>
      <c r="G419" s="2" t="s">
        <v>570</v>
      </c>
      <c r="H419" s="2" t="s">
        <v>42</v>
      </c>
      <c r="I419" s="2" t="str">
        <f>IFERROR(__xludf.DUMMYFUNCTION("GOOGLETRANSLATE(C419,""fr"",""en"")"),"Could not add my 4th child.
Quite clear but price changes compared to the internet simulation. Why pay more than what is announced
")</f>
        <v>Could not add my 4th child.
Quite clear but price changes compared to the internet simulation. Why pay more than what is announced
</v>
      </c>
    </row>
    <row r="420" ht="15.75" customHeight="1">
      <c r="A420" s="2">
        <v>1.0</v>
      </c>
      <c r="B420" s="2" t="s">
        <v>1280</v>
      </c>
      <c r="C420" s="2" t="s">
        <v>1281</v>
      </c>
      <c r="D420" s="2" t="s">
        <v>74</v>
      </c>
      <c r="E420" s="2" t="s">
        <v>14</v>
      </c>
      <c r="F420" s="2" t="s">
        <v>15</v>
      </c>
      <c r="G420" s="2" t="s">
        <v>1142</v>
      </c>
      <c r="H420" s="2" t="s">
        <v>61</v>
      </c>
      <c r="I420" s="2" t="str">
        <f>IFERROR(__xludf.DUMMYFUNCTION("GOOGLETRANSLATE(C420,""fr"",""en"")"),"Having been hung with the open door a car that did not respect the stop hooked on me the door failed to ecrase myself and the GMF claim service gives me full responsibility having legal responsibility with the same company I Can not do anything but certai"&amp;"nly change society after more than 50 years with her.
How does a disaster manager little given an opinion without taking into account all the elements or witnesses of this attachment I was not behind the wheel of my vehicle I was pedestrian I do not know"&amp;" or turn to do justice?")</f>
        <v>Having been hung with the open door a car that did not respect the stop hooked on me the door failed to ecrase myself and the GMF claim service gives me full responsibility having legal responsibility with the same company I Can not do anything but certainly change society after more than 50 years with her.
How does a disaster manager little given an opinion without taking into account all the elements or witnesses of this attachment I was not behind the wheel of my vehicle I was pedestrian I do not know or turn to do justice?</v>
      </c>
    </row>
    <row r="421" ht="15.75" customHeight="1">
      <c r="A421" s="2">
        <v>5.0</v>
      </c>
      <c r="B421" s="2" t="s">
        <v>1282</v>
      </c>
      <c r="C421" s="2" t="s">
        <v>1283</v>
      </c>
      <c r="D421" s="2" t="s">
        <v>50</v>
      </c>
      <c r="E421" s="2" t="s">
        <v>21</v>
      </c>
      <c r="F421" s="2" t="s">
        <v>15</v>
      </c>
      <c r="G421" s="2" t="s">
        <v>1284</v>
      </c>
      <c r="H421" s="2" t="s">
        <v>169</v>
      </c>
      <c r="I421" s="2" t="str">
        <f>IFERROR(__xludf.DUMMYFUNCTION("GOOGLETRANSLATE(C421,""fr"",""en"")"),"Nothing to say superb explanation by the advisor on the phone to recommend to my family is my friends question of taking it is reasonable good day")</f>
        <v>Nothing to say superb explanation by the advisor on the phone to recommend to my family is my friends question of taking it is reasonable good day</v>
      </c>
    </row>
    <row r="422" ht="15.75" customHeight="1">
      <c r="A422" s="2">
        <v>3.0</v>
      </c>
      <c r="B422" s="2" t="s">
        <v>1285</v>
      </c>
      <c r="C422" s="2" t="s">
        <v>1286</v>
      </c>
      <c r="D422" s="2" t="s">
        <v>87</v>
      </c>
      <c r="E422" s="2" t="s">
        <v>14</v>
      </c>
      <c r="F422" s="2" t="s">
        <v>15</v>
      </c>
      <c r="G422" s="2" t="s">
        <v>1287</v>
      </c>
      <c r="H422" s="2" t="s">
        <v>52</v>
      </c>
      <c r="I422" s="2" t="str">
        <f>IFERROR(__xludf.DUMMYFUNCTION("GOOGLETRANSLATE(C422,""fr"",""en"")"),"After 3 years spent with another insurer and without ever having to declare an incident. I am not satisfied with the fact that my previous bonus was not taken into account.")</f>
        <v>After 3 years spent with another insurer and without ever having to declare an incident. I am not satisfied with the fact that my previous bonus was not taken into account.</v>
      </c>
    </row>
    <row r="423" ht="15.75" customHeight="1">
      <c r="A423" s="2">
        <v>1.0</v>
      </c>
      <c r="B423" s="2" t="s">
        <v>1288</v>
      </c>
      <c r="C423" s="2" t="s">
        <v>1289</v>
      </c>
      <c r="D423" s="2" t="s">
        <v>1290</v>
      </c>
      <c r="E423" s="2" t="s">
        <v>232</v>
      </c>
      <c r="F423" s="2" t="s">
        <v>15</v>
      </c>
      <c r="G423" s="2" t="s">
        <v>1162</v>
      </c>
      <c r="H423" s="2" t="s">
        <v>776</v>
      </c>
      <c r="I423" s="2" t="str">
        <f>IFERROR(__xludf.DUMMYFUNCTION("GOOGLETRANSLATE(C423,""fr"",""en"")"),"Incompetents who do not respond to the RA recommended and who do everything necessary to terminate contracts even if they are illegal, an impression that they have decided to oust the ancient AIG Life contracts.")</f>
        <v>Incompetents who do not respond to the RA recommended and who do everything necessary to terminate contracts even if they are illegal, an impression that they have decided to oust the ancient AIG Life contracts.</v>
      </c>
    </row>
    <row r="424" ht="15.75" customHeight="1">
      <c r="A424" s="2">
        <v>1.0</v>
      </c>
      <c r="B424" s="2" t="s">
        <v>1291</v>
      </c>
      <c r="C424" s="2" t="s">
        <v>1292</v>
      </c>
      <c r="D424" s="2" t="s">
        <v>13</v>
      </c>
      <c r="E424" s="2" t="s">
        <v>14</v>
      </c>
      <c r="F424" s="2" t="s">
        <v>15</v>
      </c>
      <c r="G424" s="2" t="s">
        <v>1293</v>
      </c>
      <c r="H424" s="2" t="s">
        <v>94</v>
      </c>
      <c r="I424" s="2" t="str">
        <f>IFERROR(__xludf.DUMMYFUNCTION("GOOGLETRANSLATE(C424,""fr"",""en"")"),"Hello,
I am very dissatisfied with direct insurance which increases its prices without notice and scruples. I found much cheaper insurance for the same guarantees. I will quickly go because having had no liable liable it is unacceptable!")</f>
        <v>Hello,
I am very dissatisfied with direct insurance which increases its prices without notice and scruples. I found much cheaper insurance for the same guarantees. I will quickly go because having had no liable liable it is unacceptable!</v>
      </c>
    </row>
    <row r="425" ht="15.75" customHeight="1">
      <c r="A425" s="2">
        <v>5.0</v>
      </c>
      <c r="B425" s="2" t="s">
        <v>1294</v>
      </c>
      <c r="C425" s="2" t="s">
        <v>1295</v>
      </c>
      <c r="D425" s="2" t="s">
        <v>13</v>
      </c>
      <c r="E425" s="2" t="s">
        <v>14</v>
      </c>
      <c r="F425" s="2" t="s">
        <v>15</v>
      </c>
      <c r="G425" s="2" t="s">
        <v>1221</v>
      </c>
      <c r="H425" s="2" t="s">
        <v>42</v>
      </c>
      <c r="I425" s="2" t="str">
        <f>IFERROR(__xludf.DUMMYFUNCTION("GOOGLETRANSLATE(C425,""fr"",""en"")"),"I am satisfied with the price and the speed to ensure very well explained and I would start this insurance to a friend report taken it or there is nothing to complain about")</f>
        <v>I am satisfied with the price and the speed to ensure very well explained and I would start this insurance to a friend report taken it or there is nothing to complain about</v>
      </c>
    </row>
    <row r="426" ht="15.75" customHeight="1">
      <c r="A426" s="2">
        <v>4.0</v>
      </c>
      <c r="B426" s="2" t="s">
        <v>1296</v>
      </c>
      <c r="C426" s="2" t="s">
        <v>1297</v>
      </c>
      <c r="D426" s="2" t="s">
        <v>334</v>
      </c>
      <c r="E426" s="2" t="s">
        <v>31</v>
      </c>
      <c r="F426" s="2" t="s">
        <v>15</v>
      </c>
      <c r="G426" s="2" t="s">
        <v>1298</v>
      </c>
      <c r="H426" s="2" t="s">
        <v>699</v>
      </c>
      <c r="I426" s="2" t="str">
        <f>IFERROR(__xludf.DUMMYFUNCTION("GOOGLETRANSLATE(C426,""fr"",""en"")"),"Very well received by Saram and all the staff very well informed to join your mutual")</f>
        <v>Very well received by Saram and all the staff very well informed to join your mutual</v>
      </c>
    </row>
    <row r="427" ht="15.75" customHeight="1">
      <c r="A427" s="2">
        <v>3.0</v>
      </c>
      <c r="B427" s="2" t="s">
        <v>1299</v>
      </c>
      <c r="C427" s="2" t="s">
        <v>1300</v>
      </c>
      <c r="D427" s="2" t="s">
        <v>45</v>
      </c>
      <c r="E427" s="2" t="s">
        <v>55</v>
      </c>
      <c r="F427" s="2" t="s">
        <v>15</v>
      </c>
      <c r="G427" s="2" t="s">
        <v>1301</v>
      </c>
      <c r="H427" s="2" t="s">
        <v>17</v>
      </c>
      <c r="I427" s="2" t="str">
        <f>IFERROR(__xludf.DUMMYFUNCTION("GOOGLETRANSLATE(C427,""fr"",""en"")"),"Member at the Macif for more than 25 years I will quickly recover but insurance contract to flee this insurance
A telephone platform at the picking up which transmits false information, an agency advisor who declares that despite 33 years of seniority he"&amp;" cannot intervene on my file.
In this case why stay with them, no more physical customer relationships possible")</f>
        <v>Member at the Macif for more than 25 years I will quickly recover but insurance contract to flee this insurance
A telephone platform at the picking up which transmits false information, an agency advisor who declares that despite 33 years of seniority he cannot intervene on my file.
In this case why stay with them, no more physical customer relationships possible</v>
      </c>
    </row>
    <row r="428" ht="15.75" customHeight="1">
      <c r="A428" s="2">
        <v>1.0</v>
      </c>
      <c r="B428" s="2" t="s">
        <v>1302</v>
      </c>
      <c r="C428" s="2" t="s">
        <v>1303</v>
      </c>
      <c r="D428" s="2" t="s">
        <v>319</v>
      </c>
      <c r="E428" s="2" t="s">
        <v>14</v>
      </c>
      <c r="F428" s="2" t="s">
        <v>15</v>
      </c>
      <c r="G428" s="2" t="s">
        <v>1304</v>
      </c>
      <c r="H428" s="2" t="s">
        <v>607</v>
      </c>
      <c r="I428" s="2" t="str">
        <f>IFERROR(__xludf.DUMMYFUNCTION("GOOGLETRANSLATE(C428,""fr"",""en"")"),"Very disappointed with this insurance which:
- is the wrong address when sending a recommended to terminate the previous insurance and finds a way to say that the customer has given bad info.
- Promises guarantees before the subscription of the contract"&amp;" and changes discourse with impunity once the contract is signed and started ... Again, we hear ourselves say on the phone that it is a ""misunderstanding"".")</f>
        <v>Very disappointed with this insurance which:
- is the wrong address when sending a recommended to terminate the previous insurance and finds a way to say that the customer has given bad info.
- Promises guarantees before the subscription of the contract and changes discourse with impunity once the contract is signed and started ... Again, we hear ourselves say on the phone that it is a "misunderstanding".</v>
      </c>
    </row>
    <row r="429" ht="15.75" customHeight="1">
      <c r="A429" s="2">
        <v>1.0</v>
      </c>
      <c r="B429" s="2" t="s">
        <v>1305</v>
      </c>
      <c r="C429" s="2" t="s">
        <v>1306</v>
      </c>
      <c r="D429" s="2" t="s">
        <v>164</v>
      </c>
      <c r="E429" s="2" t="s">
        <v>14</v>
      </c>
      <c r="F429" s="2" t="s">
        <v>15</v>
      </c>
      <c r="G429" s="2" t="s">
        <v>165</v>
      </c>
      <c r="H429" s="2" t="s">
        <v>89</v>
      </c>
      <c r="I429" s="2" t="str">
        <f>IFERROR(__xludf.DUMMYFUNCTION("GOOGLETRANSLATE(C429,""fr"",""en"")"),"The prices go up and when I terminate, no way to have an information statement: the advisor cuts me off and when I ask her to let me finish my sentence, hang up on me (on 02 35 03 68 68 the 03/12/2019 at 10:30 am). All this in the space of 30 seconds. And"&amp;" obviously, no answer either on the request I sent via the personal space last week ...
And during my previous call, another advisor had lied out, refraining from sending me the requested document.
What a relief to leave them! They can count on me f"&amp;"or their next samples from my bank account.")</f>
        <v>The prices go up and when I terminate, no way to have an information statement: the advisor cuts me off and when I ask her to let me finish my sentence, hang up on me (on 02 35 03 68 68 the 03/12/2019 at 10:30 am). All this in the space of 30 seconds. And obviously, no answer either on the request I sent via the personal space last week ...
And during my previous call, another advisor had lied out, refraining from sending me the requested document.
What a relief to leave them! They can count on me for their next samples from my bank account.</v>
      </c>
    </row>
    <row r="430" ht="15.75" customHeight="1">
      <c r="A430" s="2">
        <v>4.0</v>
      </c>
      <c r="B430" s="2" t="s">
        <v>1307</v>
      </c>
      <c r="C430" s="2" t="s">
        <v>1308</v>
      </c>
      <c r="D430" s="2" t="s">
        <v>13</v>
      </c>
      <c r="E430" s="2" t="s">
        <v>14</v>
      </c>
      <c r="F430" s="2" t="s">
        <v>15</v>
      </c>
      <c r="G430" s="2" t="s">
        <v>1309</v>
      </c>
      <c r="H430" s="2" t="s">
        <v>52</v>
      </c>
      <c r="I430" s="2" t="str">
        <f>IFERROR(__xludf.DUMMYFUNCTION("GOOGLETRANSLATE(C430,""fr"",""en"")"),"Satisfied with your prices and the website. thank you so much. I will see what your responsiveness gives during claims if there are. Thank you and thank you and voila")</f>
        <v>Satisfied with your prices and the website. thank you so much. I will see what your responsiveness gives during claims if there are. Thank you and thank you and voila</v>
      </c>
    </row>
    <row r="431" ht="15.75" customHeight="1">
      <c r="A431" s="2">
        <v>4.0</v>
      </c>
      <c r="B431" s="2" t="s">
        <v>1310</v>
      </c>
      <c r="C431" s="2" t="s">
        <v>1311</v>
      </c>
      <c r="D431" s="2" t="s">
        <v>50</v>
      </c>
      <c r="E431" s="2" t="s">
        <v>21</v>
      </c>
      <c r="F431" s="2" t="s">
        <v>15</v>
      </c>
      <c r="G431" s="2" t="s">
        <v>372</v>
      </c>
      <c r="H431" s="2" t="s">
        <v>42</v>
      </c>
      <c r="I431" s="2" t="str">
        <f>IFERROR(__xludf.DUMMYFUNCTION("GOOGLETRANSLATE(C431,""fr"",""en"")"),"I am satisfied with the service, the prices suit me, I found the quote simple and quite easy to make. I would recommend quotes on April Moto.")</f>
        <v>I am satisfied with the service, the prices suit me, I found the quote simple and quite easy to make. I would recommend quotes on April Moto.</v>
      </c>
    </row>
    <row r="432" ht="15.75" customHeight="1">
      <c r="A432" s="2">
        <v>1.0</v>
      </c>
      <c r="B432" s="2" t="s">
        <v>1312</v>
      </c>
      <c r="C432" s="2" t="s">
        <v>1313</v>
      </c>
      <c r="D432" s="2" t="s">
        <v>92</v>
      </c>
      <c r="E432" s="2" t="s">
        <v>31</v>
      </c>
      <c r="F432" s="2" t="s">
        <v>15</v>
      </c>
      <c r="G432" s="2" t="s">
        <v>1314</v>
      </c>
      <c r="H432" s="2" t="s">
        <v>1315</v>
      </c>
      <c r="I432" s="2" t="str">
        <f>IFERROR(__xludf.DUMMYFUNCTION("GOOGLETRANSLATE(C432,""fr"",""en"")"),"A horror, I was previously at the MGC mutual or everything was perfect. Unfortunately I had to take the business mutual which turns out to be April. Catastrophic customer service. An average of 30 minutes of waiting to have a telephone operator, more than"&amp;" 1 month to respond to an e -mail, more than a month to treat a refund. I think they have a serious problem of lack of personnel to process requests.")</f>
        <v>A horror, I was previously at the MGC mutual or everything was perfect. Unfortunately I had to take the business mutual which turns out to be April. Catastrophic customer service. An average of 30 minutes of waiting to have a telephone operator, more than 1 month to respond to an e -mail, more than a month to treat a refund. I think they have a serious problem of lack of personnel to process requests.</v>
      </c>
    </row>
    <row r="433" ht="15.75" customHeight="1">
      <c r="A433" s="2">
        <v>5.0</v>
      </c>
      <c r="B433" s="2" t="s">
        <v>1316</v>
      </c>
      <c r="C433" s="2" t="s">
        <v>1317</v>
      </c>
      <c r="D433" s="2" t="s">
        <v>13</v>
      </c>
      <c r="E433" s="2" t="s">
        <v>14</v>
      </c>
      <c r="F433" s="2" t="s">
        <v>15</v>
      </c>
      <c r="G433" s="2" t="s">
        <v>60</v>
      </c>
      <c r="H433" s="2" t="s">
        <v>61</v>
      </c>
      <c r="I433" s="2" t="str">
        <f>IFERROR(__xludf.DUMMYFUNCTION("GOOGLETRANSLATE(C433,""fr"",""en"")"),"I am satisfied with the service
The price suits me
Very easy to use. I hope I will have the documents in time.
For information, my car will be petrol and LPG")</f>
        <v>I am satisfied with the service
The price suits me
Very easy to use. I hope I will have the documents in time.
For information, my car will be petrol and LPG</v>
      </c>
    </row>
    <row r="434" ht="15.75" customHeight="1">
      <c r="A434" s="2">
        <v>1.0</v>
      </c>
      <c r="B434" s="2" t="s">
        <v>1318</v>
      </c>
      <c r="C434" s="2" t="s">
        <v>1319</v>
      </c>
      <c r="D434" s="2" t="s">
        <v>156</v>
      </c>
      <c r="E434" s="2" t="s">
        <v>31</v>
      </c>
      <c r="F434" s="2" t="s">
        <v>15</v>
      </c>
      <c r="G434" s="2" t="s">
        <v>1320</v>
      </c>
      <c r="H434" s="2" t="s">
        <v>239</v>
      </c>
      <c r="I434" s="2" t="str">
        <f>IFERROR(__xludf.DUMMYFUNCTION("GOOGLETRANSLATE(C434,""fr"",""en"")"),"5 times (tel - Internet) I asked for a summary table of my guarantees to allow me to see the competition. The site does not answer me about this contract. At tel. The answer st we send it to you and always nothing impossible to obtain
this document.")</f>
        <v>5 times (tel - Internet) I asked for a summary table of my guarantees to allow me to see the competition. The site does not answer me about this contract. At tel. The answer st we send it to you and always nothing impossible to obtain
this document.</v>
      </c>
    </row>
    <row r="435" ht="15.75" customHeight="1">
      <c r="A435" s="2">
        <v>5.0</v>
      </c>
      <c r="B435" s="2" t="s">
        <v>1321</v>
      </c>
      <c r="C435" s="2" t="s">
        <v>1322</v>
      </c>
      <c r="D435" s="2" t="s">
        <v>50</v>
      </c>
      <c r="E435" s="2" t="s">
        <v>21</v>
      </c>
      <c r="F435" s="2" t="s">
        <v>15</v>
      </c>
      <c r="G435" s="2" t="s">
        <v>1323</v>
      </c>
      <c r="H435" s="2" t="s">
        <v>27</v>
      </c>
      <c r="I435" s="2" t="str">
        <f>IFERROR(__xludf.DUMMYFUNCTION("GOOGLETRANSLATE(C435,""fr"",""en"")"),"I did not know this insurance The ferrets sent me to this site and I am delighted
Interesting price
Rapid quote
Well -explained service
Subscription facilitity")</f>
        <v>I did not know this insurance The ferrets sent me to this site and I am delighted
Interesting price
Rapid quote
Well -explained service
Subscription facilitity</v>
      </c>
    </row>
    <row r="436" ht="15.75" customHeight="1">
      <c r="A436" s="2">
        <v>4.0</v>
      </c>
      <c r="B436" s="2" t="s">
        <v>1324</v>
      </c>
      <c r="C436" s="2" t="s">
        <v>1325</v>
      </c>
      <c r="D436" s="2" t="s">
        <v>13</v>
      </c>
      <c r="E436" s="2" t="s">
        <v>14</v>
      </c>
      <c r="F436" s="2" t="s">
        <v>15</v>
      </c>
      <c r="G436" s="2" t="s">
        <v>125</v>
      </c>
      <c r="H436" s="2" t="s">
        <v>61</v>
      </c>
      <c r="I436" s="2" t="str">
        <f>IFERROR(__xludf.DUMMYFUNCTION("GOOGLETRANSLATE(C436,""fr"",""en"")"),"Simple and fast
Honest price, effective advisers.
Ease of communication
Well done and practical customer area allowing you to have all the answers easily.")</f>
        <v>Simple and fast
Honest price, effective advisers.
Ease of communication
Well done and practical customer area allowing you to have all the answers easily.</v>
      </c>
    </row>
    <row r="437" ht="15.75" customHeight="1">
      <c r="A437" s="2">
        <v>5.0</v>
      </c>
      <c r="B437" s="2" t="s">
        <v>1326</v>
      </c>
      <c r="C437" s="2" t="s">
        <v>1327</v>
      </c>
      <c r="D437" s="2" t="s">
        <v>13</v>
      </c>
      <c r="E437" s="2" t="s">
        <v>14</v>
      </c>
      <c r="F437" s="2" t="s">
        <v>15</v>
      </c>
      <c r="G437" s="2" t="s">
        <v>1328</v>
      </c>
      <c r="H437" s="2" t="s">
        <v>110</v>
      </c>
      <c r="I437" s="2" t="str">
        <f>IFERROR(__xludf.DUMMYFUNCTION("GOOGLETRANSLATE(C437,""fr"",""en"")"),"Very fast whether by email or by such - very professional customer service - cheap very competitive rates and very interesting sponsorship possibility")</f>
        <v>Very fast whether by email or by such - very professional customer service - cheap very competitive rates and very interesting sponsorship possibility</v>
      </c>
    </row>
    <row r="438" ht="15.75" customHeight="1">
      <c r="A438" s="2">
        <v>5.0</v>
      </c>
      <c r="B438" s="2" t="s">
        <v>1329</v>
      </c>
      <c r="C438" s="2" t="s">
        <v>1330</v>
      </c>
      <c r="D438" s="2" t="s">
        <v>50</v>
      </c>
      <c r="E438" s="2" t="s">
        <v>21</v>
      </c>
      <c r="F438" s="2" t="s">
        <v>15</v>
      </c>
      <c r="G438" s="2" t="s">
        <v>208</v>
      </c>
      <c r="H438" s="2" t="s">
        <v>209</v>
      </c>
      <c r="I438" s="2" t="str">
        <f>IFERROR(__xludf.DUMMYFUNCTION("GOOGLETRANSLATE(C438,""fr"",""en"")"),"I am satisfied with the service take the price suits me simple practical for 4 years how much desjardins of the gray card has been canceled due to the card")</f>
        <v>I am satisfied with the service take the price suits me simple practical for 4 years how much desjardins of the gray card has been canceled due to the card</v>
      </c>
    </row>
    <row r="439" ht="15.75" customHeight="1">
      <c r="A439" s="2">
        <v>4.0</v>
      </c>
      <c r="B439" s="2" t="s">
        <v>1331</v>
      </c>
      <c r="C439" s="2" t="s">
        <v>1332</v>
      </c>
      <c r="D439" s="2" t="s">
        <v>30</v>
      </c>
      <c r="E439" s="2" t="s">
        <v>31</v>
      </c>
      <c r="F439" s="2" t="s">
        <v>15</v>
      </c>
      <c r="G439" s="2" t="s">
        <v>1333</v>
      </c>
      <c r="H439" s="2" t="s">
        <v>179</v>
      </c>
      <c r="I439" s="2" t="str">
        <f>IFERROR(__xludf.DUMMYFUNCTION("GOOGLETRANSLATE(C439,""fr"",""en"")"),"Following the recommendation of friends I joined the MGP, in the first impression I will talk about rapid responsiveness to the requests made.
By changing mutual we are waiting for the next one to be different, for now, this is the case. A very positive "&amp;"opinion for the moment, except for the management of podology which is not clearly explained.
")</f>
        <v>Following the recommendation of friends I joined the MGP, in the first impression I will talk about rapid responsiveness to the requests made.
By changing mutual we are waiting for the next one to be different, for now, this is the case. A very positive opinion for the moment, except for the management of podology which is not clearly explained.
</v>
      </c>
    </row>
    <row r="440" ht="15.75" customHeight="1">
      <c r="A440" s="2">
        <v>1.0</v>
      </c>
      <c r="B440" s="2" t="s">
        <v>1334</v>
      </c>
      <c r="C440" s="2" t="s">
        <v>1335</v>
      </c>
      <c r="D440" s="2" t="s">
        <v>406</v>
      </c>
      <c r="E440" s="2" t="s">
        <v>65</v>
      </c>
      <c r="F440" s="2" t="s">
        <v>15</v>
      </c>
      <c r="G440" s="2" t="s">
        <v>1336</v>
      </c>
      <c r="H440" s="2" t="s">
        <v>386</v>
      </c>
      <c r="I440" s="2" t="str">
        <f>IFERROR(__xludf.DUMMYFUNCTION("GOOGLETRANSLATE(C440,""fr"",""en"")"),"After providing all the documents necessary to supplement the capital restitution file, several calls for the explanation of the advance of the file, I am coldly announced, with total contempt, the loss of the document sent by registered mail with ar . I "&amp;"am necessarily very upset but also unhappy. My mom was deprived to leave us ""a few small cents"" as she said, we take her every month on a regular date, and especially without delay, but to recover this capital ""you have to wait patiently"" and especial"&amp;"ly not raise your voice . Thank you CNP I would not advertise you.")</f>
        <v>After providing all the documents necessary to supplement the capital restitution file, several calls for the explanation of the advance of the file, I am coldly announced, with total contempt, the loss of the document sent by registered mail with ar . I am necessarily very upset but also unhappy. My mom was deprived to leave us "a few small cents" as she said, we take her every month on a regular date, and especially without delay, but to recover this capital "you have to wait patiently" and especially not raise your voice . Thank you CNP I would not advertise you.</v>
      </c>
    </row>
    <row r="441" ht="15.75" customHeight="1">
      <c r="A441" s="2">
        <v>4.0</v>
      </c>
      <c r="B441" s="2" t="s">
        <v>1337</v>
      </c>
      <c r="C441" s="2" t="s">
        <v>1338</v>
      </c>
      <c r="D441" s="2" t="s">
        <v>30</v>
      </c>
      <c r="E441" s="2" t="s">
        <v>31</v>
      </c>
      <c r="F441" s="2" t="s">
        <v>15</v>
      </c>
      <c r="G441" s="2" t="s">
        <v>414</v>
      </c>
      <c r="H441" s="2" t="s">
        <v>61</v>
      </c>
      <c r="I441" s="2" t="str">
        <f>IFERROR(__xludf.DUMMYFUNCTION("GOOGLETRANSLATE(C441,""fr"",""en"")"),"Serious mutual, at a slightly high price compared to competition, which, I think is offset by reimbursements and effective information ...")</f>
        <v>Serious mutual, at a slightly high price compared to competition, which, I think is offset by reimbursements and effective information ...</v>
      </c>
    </row>
    <row r="442" ht="15.75" customHeight="1">
      <c r="A442" s="2">
        <v>5.0</v>
      </c>
      <c r="B442" s="2" t="s">
        <v>1339</v>
      </c>
      <c r="C442" s="2" t="s">
        <v>1340</v>
      </c>
      <c r="D442" s="2" t="s">
        <v>30</v>
      </c>
      <c r="E442" s="2" t="s">
        <v>31</v>
      </c>
      <c r="F442" s="2" t="s">
        <v>15</v>
      </c>
      <c r="G442" s="2" t="s">
        <v>144</v>
      </c>
      <c r="H442" s="2" t="s">
        <v>27</v>
      </c>
      <c r="I442" s="2" t="str">
        <f>IFERROR(__xludf.DUMMYFUNCTION("GOOGLETRANSLATE(C442,""fr"",""en"")"),"Member of this mutual insurance company for a few years. The advisers are pleasant, friendly and very professional. The requests are immediately taken into account and a quick response is provided. I recently carried out a backup file with social action a"&amp;"nd I was delighted with the aid granted to me concerning an orthodontics treatment. I thank the social action service as well as all the staff of the MGP in whom I give all my confidence.")</f>
        <v>Member of this mutual insurance company for a few years. The advisers are pleasant, friendly and very professional. The requests are immediately taken into account and a quick response is provided. I recently carried out a backup file with social action and I was delighted with the aid granted to me concerning an orthodontics treatment. I thank the social action service as well as all the staff of the MGP in whom I give all my confidence.</v>
      </c>
    </row>
    <row r="443" ht="15.75" customHeight="1">
      <c r="A443" s="2">
        <v>5.0</v>
      </c>
      <c r="B443" s="2" t="s">
        <v>1341</v>
      </c>
      <c r="C443" s="2" t="s">
        <v>1342</v>
      </c>
      <c r="D443" s="2" t="s">
        <v>50</v>
      </c>
      <c r="E443" s="2" t="s">
        <v>21</v>
      </c>
      <c r="F443" s="2" t="s">
        <v>15</v>
      </c>
      <c r="G443" s="2" t="s">
        <v>504</v>
      </c>
      <c r="H443" s="2" t="s">
        <v>27</v>
      </c>
      <c r="I443" s="2" t="str">
        <f>IFERROR(__xludf.DUMMYFUNCTION("GOOGLETRANSLATE(C443,""fr"",""en"")"),"Very good agency Price very attractive response Questionnaire a little long, I am very happy, hoping when in case of notister, it will be so easy")</f>
        <v>Very good agency Price very attractive response Questionnaire a little long, I am very happy, hoping when in case of notister, it will be so easy</v>
      </c>
    </row>
    <row r="444" ht="15.75" customHeight="1">
      <c r="A444" s="2">
        <v>1.0</v>
      </c>
      <c r="B444" s="2" t="s">
        <v>1343</v>
      </c>
      <c r="C444" s="2" t="s">
        <v>1344</v>
      </c>
      <c r="D444" s="2" t="s">
        <v>1111</v>
      </c>
      <c r="E444" s="2" t="s">
        <v>288</v>
      </c>
      <c r="F444" s="2" t="s">
        <v>15</v>
      </c>
      <c r="G444" s="2" t="s">
        <v>1345</v>
      </c>
      <c r="H444" s="2" t="s">
        <v>209</v>
      </c>
      <c r="I444" s="2" t="str">
        <f>IFERROR(__xludf.DUMMYFUNCTION("GOOGLETRANSLATE(C444,""fr"",""en"")"),"In sickness since the november 2020 sequence of the knee despite the documents sent to the dedicated site and the various paper documents The same documents are again requested systematically and this has been going on for several months. I find myself in"&amp;" the various comments")</f>
        <v>In sickness since the november 2020 sequence of the knee despite the documents sent to the dedicated site and the various paper documents The same documents are again requested systematically and this has been going on for several months. I find myself in the various comments</v>
      </c>
    </row>
    <row r="445" ht="15.75" customHeight="1">
      <c r="A445" s="2">
        <v>1.0</v>
      </c>
      <c r="B445" s="2" t="s">
        <v>1346</v>
      </c>
      <c r="C445" s="2" t="s">
        <v>1347</v>
      </c>
      <c r="D445" s="2" t="s">
        <v>13</v>
      </c>
      <c r="E445" s="2" t="s">
        <v>14</v>
      </c>
      <c r="F445" s="2" t="s">
        <v>15</v>
      </c>
      <c r="G445" s="2" t="s">
        <v>248</v>
      </c>
      <c r="H445" s="2" t="s">
        <v>248</v>
      </c>
      <c r="I445" s="2" t="str">
        <f>IFERROR(__xludf.DUMMYFUNCTION("GOOGLETRANSLATE(C445,""fr"",""en"")"),"No satisfied, the price does not suit me and it is very complicated to make a quote .. and it is too vague with regard to the guarantee. But I have to do so.")</f>
        <v>No satisfied, the price does not suit me and it is very complicated to make a quote .. and it is too vague with regard to the guarantee. But I have to do so.</v>
      </c>
    </row>
    <row r="446" ht="15.75" customHeight="1">
      <c r="A446" s="2">
        <v>5.0</v>
      </c>
      <c r="B446" s="2" t="s">
        <v>1348</v>
      </c>
      <c r="C446" s="2" t="s">
        <v>1349</v>
      </c>
      <c r="D446" s="2" t="s">
        <v>87</v>
      </c>
      <c r="E446" s="2" t="s">
        <v>14</v>
      </c>
      <c r="F446" s="2" t="s">
        <v>15</v>
      </c>
      <c r="G446" s="2" t="s">
        <v>168</v>
      </c>
      <c r="H446" s="2" t="s">
        <v>169</v>
      </c>
      <c r="I446" s="2" t="str">
        <f>IFERROR(__xludf.DUMMYFUNCTION("GOOGLETRANSLATE(C446,""fr"",""en"")"),"Satisfied with this car insurance which meets my expectations. I highly recommend. I plan to take my home insurance from the Olivier Insurance.")</f>
        <v>Satisfied with this car insurance which meets my expectations. I highly recommend. I plan to take my home insurance from the Olivier Insurance.</v>
      </c>
    </row>
    <row r="447" ht="15.75" customHeight="1">
      <c r="A447" s="2">
        <v>5.0</v>
      </c>
      <c r="B447" s="2" t="s">
        <v>1350</v>
      </c>
      <c r="C447" s="2" t="s">
        <v>1351</v>
      </c>
      <c r="D447" s="2" t="s">
        <v>13</v>
      </c>
      <c r="E447" s="2" t="s">
        <v>14</v>
      </c>
      <c r="F447" s="2" t="s">
        <v>15</v>
      </c>
      <c r="G447" s="2" t="s">
        <v>934</v>
      </c>
      <c r="H447" s="2" t="s">
        <v>190</v>
      </c>
      <c r="I447" s="2" t="str">
        <f>IFERROR(__xludf.DUMMYFUNCTION("GOOGLETRANSLATE(C447,""fr"",""en"")"),"I am satisfied with the serving and the price, request made very quickly,
Send quick documents, the answer is very fast.
Wait for the validation of my file")</f>
        <v>I am satisfied with the serving and the price, request made very quickly,
Send quick documents, the answer is very fast.
Wait for the validation of my file</v>
      </c>
    </row>
    <row r="448" ht="15.75" customHeight="1">
      <c r="A448" s="2">
        <v>2.0</v>
      </c>
      <c r="B448" s="2" t="s">
        <v>1352</v>
      </c>
      <c r="C448" s="2" t="s">
        <v>1353</v>
      </c>
      <c r="D448" s="2" t="s">
        <v>45</v>
      </c>
      <c r="E448" s="2" t="s">
        <v>55</v>
      </c>
      <c r="F448" s="2" t="s">
        <v>15</v>
      </c>
      <c r="G448" s="2" t="s">
        <v>1354</v>
      </c>
      <c r="H448" s="2" t="s">
        <v>213</v>
      </c>
      <c r="I448" s="2" t="str">
        <f>IFERROR(__xludf.DUMMYFUNCTION("GOOGLETRANSLATE(C448,""fr"",""en"")"),"I have a claim since 2017 for electric damage and no response to date even after a complaint letter sent one year: no answer")</f>
        <v>I have a claim since 2017 for electric damage and no response to date even after a complaint letter sent one year: no answer</v>
      </c>
    </row>
    <row r="449" ht="15.75" customHeight="1">
      <c r="A449" s="2">
        <v>5.0</v>
      </c>
      <c r="B449" s="2" t="s">
        <v>1355</v>
      </c>
      <c r="C449" s="2" t="s">
        <v>1356</v>
      </c>
      <c r="D449" s="2" t="s">
        <v>87</v>
      </c>
      <c r="E449" s="2" t="s">
        <v>14</v>
      </c>
      <c r="F449" s="2" t="s">
        <v>15</v>
      </c>
      <c r="G449" s="2" t="s">
        <v>683</v>
      </c>
      <c r="H449" s="2" t="s">
        <v>190</v>
      </c>
      <c r="I449" s="2" t="str">
        <f>IFERROR(__xludf.DUMMYFUNCTION("GOOGLETRANSLATE(C449,""fr"",""en"")"),"Insurance company offering very good prices, very easy subscription. I have transferred all my auto insurance contracts to the olive tree soon. I highly recommend this company.")</f>
        <v>Insurance company offering very good prices, very easy subscription. I have transferred all my auto insurance contracts to the olive tree soon. I highly recommend this company.</v>
      </c>
    </row>
    <row r="450" ht="15.75" customHeight="1">
      <c r="A450" s="2">
        <v>4.0</v>
      </c>
      <c r="B450" s="2" t="s">
        <v>1357</v>
      </c>
      <c r="C450" s="2" t="s">
        <v>1358</v>
      </c>
      <c r="D450" s="2" t="s">
        <v>334</v>
      </c>
      <c r="E450" s="2" t="s">
        <v>31</v>
      </c>
      <c r="F450" s="2" t="s">
        <v>15</v>
      </c>
      <c r="G450" s="2" t="s">
        <v>295</v>
      </c>
      <c r="H450" s="2" t="s">
        <v>42</v>
      </c>
      <c r="I450" s="2" t="str">
        <f>IFERROR(__xludf.DUMMYFUNCTION("GOOGLETRANSLATE(C450,""fr"",""en"")"),"I just called for a refund, and an absolutely charming person of Emeline's first name reassured me she was very warm, courteous and not freezing, she met all my expectations")</f>
        <v>I just called for a refund, and an absolutely charming person of Emeline's first name reassured me she was very warm, courteous and not freezing, she met all my expectations</v>
      </c>
    </row>
    <row r="451" ht="15.75" customHeight="1">
      <c r="A451" s="2">
        <v>2.0</v>
      </c>
      <c r="B451" s="2" t="s">
        <v>1359</v>
      </c>
      <c r="C451" s="2" t="s">
        <v>1360</v>
      </c>
      <c r="D451" s="2" t="s">
        <v>13</v>
      </c>
      <c r="E451" s="2" t="s">
        <v>14</v>
      </c>
      <c r="F451" s="2" t="s">
        <v>15</v>
      </c>
      <c r="G451" s="2" t="s">
        <v>1361</v>
      </c>
      <c r="H451" s="2" t="s">
        <v>607</v>
      </c>
      <c r="I451" s="2" t="str">
        <f>IFERROR(__xludf.DUMMYFUNCTION("GOOGLETRANSLATE(C451,""fr"",""en"")"),"Registration without problem with a kind person who knew their job well, long but very detailed questionnaire (the same everywhere) so at the end we even take the most expensive options")</f>
        <v>Registration without problem with a kind person who knew their job well, long but very detailed questionnaire (the same everywhere) so at the end we even take the most expensive options</v>
      </c>
    </row>
    <row r="452" ht="15.75" customHeight="1">
      <c r="A452" s="2">
        <v>4.0</v>
      </c>
      <c r="B452" s="2" t="s">
        <v>1362</v>
      </c>
      <c r="C452" s="2" t="s">
        <v>1363</v>
      </c>
      <c r="D452" s="2" t="s">
        <v>120</v>
      </c>
      <c r="E452" s="2" t="s">
        <v>14</v>
      </c>
      <c r="F452" s="2" t="s">
        <v>15</v>
      </c>
      <c r="G452" s="2" t="s">
        <v>1364</v>
      </c>
      <c r="H452" s="2" t="s">
        <v>386</v>
      </c>
      <c r="I452" s="2" t="str">
        <f>IFERROR(__xludf.DUMMYFUNCTION("GOOGLETRANSLATE(C452,""fr"",""en"")"),"No problem whatsoever to the declara of claims, the connection with an interlocutor, care, regulation .....")</f>
        <v>No problem whatsoever to the declara of claims, the connection with an interlocutor, care, regulation .....</v>
      </c>
    </row>
    <row r="453" ht="15.75" customHeight="1">
      <c r="A453" s="2">
        <v>1.0</v>
      </c>
      <c r="B453" s="2" t="s">
        <v>1365</v>
      </c>
      <c r="C453" s="2" t="s">
        <v>1366</v>
      </c>
      <c r="D453" s="2" t="s">
        <v>64</v>
      </c>
      <c r="E453" s="2" t="s">
        <v>31</v>
      </c>
      <c r="F453" s="2" t="s">
        <v>15</v>
      </c>
      <c r="G453" s="2" t="s">
        <v>1057</v>
      </c>
      <c r="H453" s="2" t="s">
        <v>61</v>
      </c>
      <c r="I453" s="2" t="str">
        <f>IFERROR(__xludf.DUMMYFUNCTION("GOOGLETRANSLATE(C453,""fr"",""en"")"),"TO FLEE ! Non -reimbursed lenses. Glasses: 300 euros in my pocket.
I wanted to terminate my contract following the adhesion to the compulsory mutual of my employer: impossible to terminate before 1 year!
Unreachable advisers.
I do not recommend this mu"&amp;"tual.")</f>
        <v>TO FLEE ! Non -reimbursed lenses. Glasses: 300 euros in my pocket.
I wanted to terminate my contract following the adhesion to the compulsory mutual of my employer: impossible to terminate before 1 year!
Unreachable advisers.
I do not recommend this mutual.</v>
      </c>
    </row>
    <row r="454" ht="15.75" customHeight="1">
      <c r="A454" s="2">
        <v>2.0</v>
      </c>
      <c r="B454" s="2" t="s">
        <v>1367</v>
      </c>
      <c r="C454" s="2" t="s">
        <v>1368</v>
      </c>
      <c r="D454" s="2" t="s">
        <v>174</v>
      </c>
      <c r="E454" s="2" t="s">
        <v>31</v>
      </c>
      <c r="F454" s="2" t="s">
        <v>15</v>
      </c>
      <c r="G454" s="2" t="s">
        <v>857</v>
      </c>
      <c r="H454" s="2" t="s">
        <v>89</v>
      </c>
      <c r="I454" s="2" t="str">
        <f>IFERROR(__xludf.DUMMYFUNCTION("GOOGLETRANSLATE(C454,""fr"",""en"")"),"I receive my scale on 7/12 from a Courier from 23/11ervoye on 3/12 all this so as not to have time to terminate. 23rd increase per month 270th per year! Huge for nothing more. Warnings before nothing")</f>
        <v>I receive my scale on 7/12 from a Courier from 23/11ervoye on 3/12 all this so as not to have time to terminate. 23rd increase per month 270th per year! Huge for nothing more. Warnings before nothing</v>
      </c>
    </row>
    <row r="455" ht="15.75" customHeight="1">
      <c r="A455" s="2">
        <v>5.0</v>
      </c>
      <c r="B455" s="2" t="s">
        <v>1369</v>
      </c>
      <c r="C455" s="2" t="s">
        <v>1370</v>
      </c>
      <c r="D455" s="2" t="s">
        <v>87</v>
      </c>
      <c r="E455" s="2" t="s">
        <v>14</v>
      </c>
      <c r="F455" s="2" t="s">
        <v>15</v>
      </c>
      <c r="G455" s="2" t="s">
        <v>582</v>
      </c>
      <c r="H455" s="2" t="s">
        <v>209</v>
      </c>
      <c r="I455" s="2" t="str">
        <f>IFERROR(__xludf.DUMMYFUNCTION("GOOGLETRANSLATE(C455,""fr"",""en"")"),"Simple, efficient and fast satisfied. Thank you +++++++++
Just promo code that doesn't work
SMS certification very simple and easy to communicate")</f>
        <v>Simple, efficient and fast satisfied. Thank you +++++++++
Just promo code that doesn't work
SMS certification very simple and easy to communicate</v>
      </c>
    </row>
    <row r="456" ht="15.75" customHeight="1">
      <c r="A456" s="2">
        <v>1.0</v>
      </c>
      <c r="B456" s="2" t="s">
        <v>1371</v>
      </c>
      <c r="C456" s="2" t="s">
        <v>1372</v>
      </c>
      <c r="D456" s="2" t="s">
        <v>237</v>
      </c>
      <c r="E456" s="2" t="s">
        <v>14</v>
      </c>
      <c r="F456" s="2" t="s">
        <v>15</v>
      </c>
      <c r="G456" s="2" t="s">
        <v>1373</v>
      </c>
      <c r="H456" s="2" t="s">
        <v>52</v>
      </c>
      <c r="I456" s="2" t="str">
        <f>IFERROR(__xludf.DUMMYFUNCTION("GOOGLETRANSLATE(C456,""fr"",""en"")"),"Hello ensure any risk I get into it by a delivery man who fled. AXA opens the claim requires expertise. The figure and AXA expert confirms me to pay the costs. A month is going on and the mechanic tells me thatxa made the repairs stop. Axa has asked for a"&amp;" second expertise from the same cabinet. This one claims that my accident dates back a year in rear given corrosion. I specify that my accident dates from March Snow Sel we are in the Jura. I provide him with the PV of the DECEM 2020 CONTROL TECHICAL CONT"&amp;"ROL to show him that the disaster cannot go back to a year. Since AXA has blocked the backrest hangs over the nose and howls us as soon as we ask for an answer. I cannot ask for a counter expertise because on the 1st PV corrosion is not mentioned. Since t"&amp;"hen they have changed my contract without my agreement and with a good increase. Axa does not send me their decision by written. A absolutely fleeing")</f>
        <v>Hello ensure any risk I get into it by a delivery man who fled. AXA opens the claim requires expertise. The figure and AXA expert confirms me to pay the costs. A month is going on and the mechanic tells me thatxa made the repairs stop. Axa has asked for a second expertise from the same cabinet. This one claims that my accident dates back a year in rear given corrosion. I specify that my accident dates from March Snow Sel we are in the Jura. I provide him with the PV of the DECEM 2020 CONTROL TECHICAL CONTROL to show him that the disaster cannot go back to a year. Since AXA has blocked the backrest hangs over the nose and howls us as soon as we ask for an answer. I cannot ask for a counter expertise because on the 1st PV corrosion is not mentioned. Since then they have changed my contract without my agreement and with a good increase. Axa does not send me their decision by written. A absolutely fleeing</v>
      </c>
    </row>
    <row r="457" ht="15.75" customHeight="1">
      <c r="A457" s="2">
        <v>2.0</v>
      </c>
      <c r="B457" s="2" t="s">
        <v>1374</v>
      </c>
      <c r="C457" s="2" t="s">
        <v>1375</v>
      </c>
      <c r="D457" s="2" t="s">
        <v>36</v>
      </c>
      <c r="E457" s="2" t="s">
        <v>14</v>
      </c>
      <c r="F457" s="2" t="s">
        <v>15</v>
      </c>
      <c r="G457" s="2" t="s">
        <v>1376</v>
      </c>
      <c r="H457" s="2" t="s">
        <v>851</v>
      </c>
      <c r="I457" s="2" t="str">
        <f>IFERROR(__xludf.DUMMYFUNCTION("GOOGLETRANSLATE(C457,""fr"",""en"")"),"It's been almost 35 years that I have been in Maif (first of all on the mutual of my teacher dad) as well as my brother and my sister and my sister, and all our cars are in full insurance ... until now very satisfied , but since 1/02/2017 when a young per"&amp;"son came to go in my car at the arrest ... and having the name of this one, nothing is progressing ... I paid my franchise and j 'waits. I constantly relaunch by emails, we are on 7/03 and still nothing ... is it the fact of being in the South West ??? Be"&amp;"cause before I was in the Allier ...
If things do not accelerate, the whole family will go elsewhere ... And in addition I am asked to relaunch the witnesses ... The maif, you have a phone call to give ... I will not do your job, And you have all the ele"&amp;"ments ...")</f>
        <v>It's been almost 35 years that I have been in Maif (first of all on the mutual of my teacher dad) as well as my brother and my sister and my sister, and all our cars are in full insurance ... until now very satisfied , but since 1/02/2017 when a young person came to go in my car at the arrest ... and having the name of this one, nothing is progressing ... I paid my franchise and j 'waits. I constantly relaunch by emails, we are on 7/03 and still nothing ... is it the fact of being in the South West ??? Because before I was in the Allier ...
If things do not accelerate, the whole family will go elsewhere ... And in addition I am asked to relaunch the witnesses ... The maif, you have a phone call to give ... I will not do your job, And you have all the elements ...</v>
      </c>
    </row>
    <row r="458" ht="15.75" customHeight="1">
      <c r="A458" s="2">
        <v>1.0</v>
      </c>
      <c r="B458" s="2" t="s">
        <v>1377</v>
      </c>
      <c r="C458" s="2" t="s">
        <v>1378</v>
      </c>
      <c r="D458" s="2" t="s">
        <v>227</v>
      </c>
      <c r="E458" s="2" t="s">
        <v>14</v>
      </c>
      <c r="F458" s="2" t="s">
        <v>15</v>
      </c>
      <c r="G458" s="2" t="s">
        <v>1379</v>
      </c>
      <c r="H458" s="2" t="s">
        <v>263</v>
      </c>
      <c r="I458" s="2" t="str">
        <f>IFERROR(__xludf.DUMMYFUNCTION("GOOGLETRANSLATE(C458,""fr"",""en"")"),"Hello,
I will continue the negative comment cascade which is not in my habit. I subscribed on July 4 to a full risk insurance at Allianz Service issued by Calypso everything happens super quickly a reactive and attentive sales team ... But very quickly"&amp;" we see the pink post appear.
I send the documentation necessary during the week of subscription by email and then by mail the following week.
After two weeks I try to contact them by email and phone no answer and since every day I waste my time on "&amp;"the phone trying to have someone from the management service.
Tomorrow evening at midnight would I still be assured ??
Result of the races more than 120 € lost without talking about stress and time to waste.
Conclusion: I absolutely do not recomm"&amp;"end")</f>
        <v>Hello,
I will continue the negative comment cascade which is not in my habit. I subscribed on July 4 to a full risk insurance at Allianz Service issued by Calypso everything happens super quickly a reactive and attentive sales team ... But very quickly we see the pink post appear.
I send the documentation necessary during the week of subscription by email and then by mail the following week.
After two weeks I try to contact them by email and phone no answer and since every day I waste my time on the phone trying to have someone from the management service.
Tomorrow evening at midnight would I still be assured ??
Result of the races more than 120 € lost without talking about stress and time to waste.
Conclusion: I absolutely do not recommend</v>
      </c>
    </row>
    <row r="459" ht="15.75" customHeight="1">
      <c r="A459" s="2">
        <v>1.0</v>
      </c>
      <c r="B459" s="2" t="s">
        <v>1380</v>
      </c>
      <c r="C459" s="2" t="s">
        <v>1381</v>
      </c>
      <c r="D459" s="2" t="s">
        <v>36</v>
      </c>
      <c r="E459" s="2" t="s">
        <v>55</v>
      </c>
      <c r="F459" s="2" t="s">
        <v>15</v>
      </c>
      <c r="G459" s="2" t="s">
        <v>1382</v>
      </c>
      <c r="H459" s="2" t="s">
        <v>239</v>
      </c>
      <c r="I459" s="2" t="str">
        <f>IFERROR(__xludf.DUMMYFUNCTION("GOOGLETRANSLATE(C459,""fr"",""en"")"),"We have undergone a water shift for more than 3 years ... Despite our reminders, the file has not been covered and no repair costs of our property has been covered by the MAIF. Following our last revival the maif retorts that, as we have spent 2 years the"&amp;"y do not run out for our file")</f>
        <v>We have undergone a water shift for more than 3 years ... Despite our reminders, the file has not been covered and no repair costs of our property has been covered by the MAIF. Following our last revival the maif retorts that, as we have spent 2 years they do not run out for our file</v>
      </c>
    </row>
    <row r="460" ht="15.75" customHeight="1">
      <c r="A460" s="2">
        <v>5.0</v>
      </c>
      <c r="B460" s="2" t="s">
        <v>1383</v>
      </c>
      <c r="C460" s="2" t="s">
        <v>1384</v>
      </c>
      <c r="D460" s="2" t="s">
        <v>87</v>
      </c>
      <c r="E460" s="2" t="s">
        <v>14</v>
      </c>
      <c r="F460" s="2" t="s">
        <v>15</v>
      </c>
      <c r="G460" s="2" t="s">
        <v>1385</v>
      </c>
      <c r="H460" s="2" t="s">
        <v>209</v>
      </c>
      <c r="I460" s="2" t="str">
        <f>IFERROR(__xludf.DUMMYFUNCTION("GOOGLETRANSLATE(C460,""fr"",""en"")"),"Clear quote without unpleasant surprises. Very good value for money. Very good answer and interlocutors on the phone")</f>
        <v>Clear quote without unpleasant surprises. Very good value for money. Very good answer and interlocutors on the phone</v>
      </c>
    </row>
    <row r="461" ht="15.75" customHeight="1">
      <c r="A461" s="2">
        <v>2.0</v>
      </c>
      <c r="B461" s="2" t="s">
        <v>1386</v>
      </c>
      <c r="C461" s="2" t="s">
        <v>1387</v>
      </c>
      <c r="D461" s="2" t="s">
        <v>164</v>
      </c>
      <c r="E461" s="2" t="s">
        <v>14</v>
      </c>
      <c r="F461" s="2" t="s">
        <v>15</v>
      </c>
      <c r="G461" s="2" t="s">
        <v>1388</v>
      </c>
      <c r="H461" s="2" t="s">
        <v>67</v>
      </c>
      <c r="I461" s="2" t="str">
        <f>IFERROR(__xludf.DUMMYFUNCTION("GOOGLETRANSLATE(C461,""fr"",""en"")"),"In 36 years and 2 vehicles insured, respectively 57% and 65% of bonuses. But 4 minor claims for the past 36 months. So, without appeal: termination. Scandalous!")</f>
        <v>In 36 years and 2 vehicles insured, respectively 57% and 65% of bonuses. But 4 minor claims for the past 36 months. So, without appeal: termination. Scandalous!</v>
      </c>
    </row>
    <row r="462" ht="15.75" customHeight="1">
      <c r="A462" s="2">
        <v>2.0</v>
      </c>
      <c r="B462" s="2" t="s">
        <v>1389</v>
      </c>
      <c r="C462" s="2" t="s">
        <v>1390</v>
      </c>
      <c r="D462" s="2" t="s">
        <v>64</v>
      </c>
      <c r="E462" s="2" t="s">
        <v>31</v>
      </c>
      <c r="F462" s="2" t="s">
        <v>15</v>
      </c>
      <c r="G462" s="2" t="s">
        <v>1391</v>
      </c>
      <c r="H462" s="2" t="s">
        <v>473</v>
      </c>
      <c r="I462" s="2" t="str">
        <f>IFERROR(__xludf.DUMMYFUNCTION("GOOGLETRANSLATE(C462,""fr"",""en"")"),"8 months in disability and loss of documents sent by registered mail with AR. Do they wait for us to die?. I create a collective to denounce these methods. Several shipments of similar documents. No answers. Contact me to join the collective and make thin"&amp;"gs happen.")</f>
        <v>8 months in disability and loss of documents sent by registered mail with AR. Do they wait for us to die?. I create a collective to denounce these methods. Several shipments of similar documents. No answers. Contact me to join the collective and make things happen.</v>
      </c>
    </row>
    <row r="463" ht="15.75" customHeight="1">
      <c r="A463" s="2">
        <v>3.0</v>
      </c>
      <c r="B463" s="2" t="s">
        <v>1392</v>
      </c>
      <c r="C463" s="2" t="s">
        <v>1393</v>
      </c>
      <c r="D463" s="2" t="s">
        <v>13</v>
      </c>
      <c r="E463" s="2" t="s">
        <v>14</v>
      </c>
      <c r="F463" s="2" t="s">
        <v>15</v>
      </c>
      <c r="G463" s="2" t="s">
        <v>507</v>
      </c>
      <c r="H463" s="2" t="s">
        <v>52</v>
      </c>
      <c r="I463" s="2" t="str">
        <f>IFERROR(__xludf.DUMMYFUNCTION("GOOGLETRANSLATE(C463,""fr"",""en"")"),"Satisfying
Timeliness
No need to meet
It was done by internet without connection of connection time on the website")</f>
        <v>Satisfying
Timeliness
No need to meet
It was done by internet without connection of connection time on the website</v>
      </c>
    </row>
    <row r="464" ht="15.75" customHeight="1">
      <c r="A464" s="2">
        <v>3.0</v>
      </c>
      <c r="B464" s="2" t="s">
        <v>1394</v>
      </c>
      <c r="C464" s="2" t="s">
        <v>1395</v>
      </c>
      <c r="D464" s="2" t="s">
        <v>87</v>
      </c>
      <c r="E464" s="2" t="s">
        <v>14</v>
      </c>
      <c r="F464" s="2" t="s">
        <v>15</v>
      </c>
      <c r="G464" s="2" t="s">
        <v>1396</v>
      </c>
      <c r="H464" s="2" t="s">
        <v>169</v>
      </c>
      <c r="I464" s="2" t="str">
        <f>IFERROR(__xludf.DUMMYFUNCTION("GOOGLETRANSLATE(C464,""fr"",""en"")"),"I am satisfied with the service but I am not too happy with the increase in my other contract leaving that I had a child I do not find this too normal but good not too much the choice ...")</f>
        <v>I am satisfied with the service but I am not too happy with the increase in my other contract leaving that I had a child I do not find this too normal but good not too much the choice ...</v>
      </c>
    </row>
    <row r="465" ht="15.75" customHeight="1">
      <c r="A465" s="2">
        <v>4.0</v>
      </c>
      <c r="B465" s="2" t="s">
        <v>1397</v>
      </c>
      <c r="C465" s="2" t="s">
        <v>1398</v>
      </c>
      <c r="D465" s="2" t="s">
        <v>13</v>
      </c>
      <c r="E465" s="2" t="s">
        <v>14</v>
      </c>
      <c r="F465" s="2" t="s">
        <v>15</v>
      </c>
      <c r="G465" s="2" t="s">
        <v>347</v>
      </c>
      <c r="H465" s="2" t="s">
        <v>52</v>
      </c>
      <c r="I465" s="2" t="str">
        <f>IFERROR(__xludf.DUMMYFUNCTION("GOOGLETRANSLATE(C465,""fr"",""en"")"),"The prices suit me I am satisfied with the speed I was able to register quickly on the internet The steps are clear and understandable I would recommend")</f>
        <v>The prices suit me I am satisfied with the speed I was able to register quickly on the internet The steps are clear and understandable I would recommend</v>
      </c>
    </row>
    <row r="466" ht="15.75" customHeight="1">
      <c r="A466" s="2">
        <v>3.0</v>
      </c>
      <c r="B466" s="2" t="s">
        <v>1399</v>
      </c>
      <c r="C466" s="2" t="s">
        <v>1400</v>
      </c>
      <c r="D466" s="2" t="s">
        <v>87</v>
      </c>
      <c r="E466" s="2" t="s">
        <v>14</v>
      </c>
      <c r="F466" s="2" t="s">
        <v>15</v>
      </c>
      <c r="G466" s="2" t="s">
        <v>613</v>
      </c>
      <c r="H466" s="2" t="s">
        <v>52</v>
      </c>
      <c r="I466" s="2" t="str">
        <f>IFERROR(__xludf.DUMMYFUNCTION("GOOGLETRANSLATE(C466,""fr"",""en"")"),"Price, to review a little down.
Sympa and listening.
Reactive on sending documents.
To see in the long term guarantee levels.
But at first sight, he looked better than some assurance.")</f>
        <v>Price, to review a little down.
Sympa and listening.
Reactive on sending documents.
To see in the long term guarantee levels.
But at first sight, he looked better than some assurance.</v>
      </c>
    </row>
    <row r="467" ht="15.75" customHeight="1">
      <c r="A467" s="2">
        <v>1.0</v>
      </c>
      <c r="B467" s="2" t="s">
        <v>1401</v>
      </c>
      <c r="C467" s="2" t="s">
        <v>1402</v>
      </c>
      <c r="D467" s="2" t="s">
        <v>13</v>
      </c>
      <c r="E467" s="2" t="s">
        <v>14</v>
      </c>
      <c r="F467" s="2" t="s">
        <v>15</v>
      </c>
      <c r="G467" s="2" t="s">
        <v>1403</v>
      </c>
      <c r="H467" s="2" t="s">
        <v>400</v>
      </c>
      <c r="I467" s="2" t="str">
        <f>IFERROR(__xludf.DUMMYFUNCTION("GOOGLETRANSLATE(C467,""fr"",""en"")"),"Direct Insurance Indemnizes my all -risk vehicle a misery (the expert justifies its amount by vehicle advertisements not having the same characteristics), after a counter expertise at my expense, they do not modify compensation, lie and do not respond to "&amp;"the LRAC. I enter justice via my lawyer (at my expense) must pay legal expertise (at my expense) which validates the value of my vehicle justified by my documents. Direct Insurance therefore offers the amount of my vehicle after 2 years of procedure, but "&amp;"refuses to take charge of the expertise and my lawyers for several months before accepting under the threat of a trial. I advise you everyone to carry out your procedures at the end, even if the costs must be advanced.")</f>
        <v>Direct Insurance Indemnizes my all -risk vehicle a misery (the expert justifies its amount by vehicle advertisements not having the same characteristics), after a counter expertise at my expense, they do not modify compensation, lie and do not respond to the LRAC. I enter justice via my lawyer (at my expense) must pay legal expertise (at my expense) which validates the value of my vehicle justified by my documents. Direct Insurance therefore offers the amount of my vehicle after 2 years of procedure, but refuses to take charge of the expertise and my lawyers for several months before accepting under the threat of a trial. I advise you everyone to carry out your procedures at the end, even if the costs must be advanced.</v>
      </c>
    </row>
    <row r="468" ht="15.75" customHeight="1">
      <c r="A468" s="2">
        <v>5.0</v>
      </c>
      <c r="B468" s="2" t="s">
        <v>1404</v>
      </c>
      <c r="C468" s="2" t="s">
        <v>1405</v>
      </c>
      <c r="D468" s="2" t="s">
        <v>237</v>
      </c>
      <c r="E468" s="2" t="s">
        <v>55</v>
      </c>
      <c r="F468" s="2" t="s">
        <v>15</v>
      </c>
      <c r="G468" s="2" t="s">
        <v>1406</v>
      </c>
      <c r="H468" s="2" t="s">
        <v>282</v>
      </c>
      <c r="I468" s="2" t="str">
        <f>IFERROR(__xludf.DUMMYFUNCTION("GOOGLETRANSLATE(C468,""fr"",""en"")"),"I have compensated me for water damage for the moment I am happy with Axa its doing years that I have insurance with them I am not disappointed the files are well treated thank you axa")</f>
        <v>I have compensated me for water damage for the moment I am happy with Axa its doing years that I have insurance with them I am not disappointed the files are well treated thank you axa</v>
      </c>
    </row>
    <row r="469" ht="15.75" customHeight="1">
      <c r="A469" s="2">
        <v>1.0</v>
      </c>
      <c r="B469" s="2" t="s">
        <v>1407</v>
      </c>
      <c r="C469" s="2" t="s">
        <v>1408</v>
      </c>
      <c r="D469" s="2" t="s">
        <v>406</v>
      </c>
      <c r="E469" s="2" t="s">
        <v>65</v>
      </c>
      <c r="F469" s="2" t="s">
        <v>15</v>
      </c>
      <c r="G469" s="2" t="s">
        <v>1409</v>
      </c>
      <c r="H469" s="2" t="s">
        <v>33</v>
      </c>
      <c r="I469" s="2" t="str">
        <f>IFERROR(__xludf.DUMMYFUNCTION("GOOGLETRANSLATE(C469,""fr"",""en"")"),"Also to flee, no communication, compensation well below than expected, a very long file to be processed! In short, do not take this insurance.")</f>
        <v>Also to flee, no communication, compensation well below than expected, a very long file to be processed! In short, do not take this insurance.</v>
      </c>
    </row>
    <row r="470" ht="15.75" customHeight="1">
      <c r="A470" s="2">
        <v>4.0</v>
      </c>
      <c r="B470" s="2" t="s">
        <v>1410</v>
      </c>
      <c r="C470" s="2" t="s">
        <v>1411</v>
      </c>
      <c r="D470" s="2" t="s">
        <v>201</v>
      </c>
      <c r="E470" s="2" t="s">
        <v>21</v>
      </c>
      <c r="F470" s="2" t="s">
        <v>15</v>
      </c>
      <c r="G470" s="2" t="s">
        <v>1412</v>
      </c>
      <c r="H470" s="2" t="s">
        <v>117</v>
      </c>
      <c r="I470" s="2" t="str">
        <f>IFERROR(__xludf.DUMMYFUNCTION("GOOGLETRANSLATE(C470,""fr"",""en"")"),"Customer from 90's, I am still as satisfied with my insurance and I recommend it to those around me.
In 27 years of two -wheeled driving, I had some adventures and I have always been well supported.")</f>
        <v>Customer from 90's, I am still as satisfied with my insurance and I recommend it to those around me.
In 27 years of two -wheeled driving, I had some adventures and I have always been well supported.</v>
      </c>
    </row>
    <row r="471" ht="15.75" customHeight="1">
      <c r="A471" s="2">
        <v>4.0</v>
      </c>
      <c r="B471" s="2" t="s">
        <v>1413</v>
      </c>
      <c r="C471" s="2" t="s">
        <v>1414</v>
      </c>
      <c r="D471" s="2" t="s">
        <v>334</v>
      </c>
      <c r="E471" s="2" t="s">
        <v>31</v>
      </c>
      <c r="F471" s="2" t="s">
        <v>15</v>
      </c>
      <c r="G471" s="2" t="s">
        <v>1415</v>
      </c>
      <c r="H471" s="2" t="s">
        <v>861</v>
      </c>
      <c r="I471" s="2" t="str">
        <f>IFERROR(__xludf.DUMMYFUNCTION("GOOGLETRANSLATE(C471,""fr"",""en"")"),"The proposed solution is very good, clear explanation, and the competence of the worker very good.")</f>
        <v>The proposed solution is very good, clear explanation, and the competence of the worker very good.</v>
      </c>
    </row>
    <row r="472" ht="15.75" customHeight="1">
      <c r="A472" s="2">
        <v>5.0</v>
      </c>
      <c r="B472" s="2" t="s">
        <v>1416</v>
      </c>
      <c r="C472" s="2" t="s">
        <v>1417</v>
      </c>
      <c r="D472" s="2" t="s">
        <v>174</v>
      </c>
      <c r="E472" s="2" t="s">
        <v>31</v>
      </c>
      <c r="F472" s="2" t="s">
        <v>15</v>
      </c>
      <c r="G472" s="2" t="s">
        <v>1418</v>
      </c>
      <c r="H472" s="2" t="s">
        <v>761</v>
      </c>
      <c r="I472" s="2" t="str">
        <f>IFERROR(__xludf.DUMMYFUNCTION("GOOGLETRANSLATE(C472,""fr"",""en"")"),"I have been a member of Harmonie Mutuelle for some time and am very satisfied. Processing of files in time. Possibility of third -party dental paid ... really very happy.")</f>
        <v>I have been a member of Harmonie Mutuelle for some time and am very satisfied. Processing of files in time. Possibility of third -party dental paid ... really very happy.</v>
      </c>
    </row>
    <row r="473" ht="15.75" customHeight="1">
      <c r="A473" s="2">
        <v>5.0</v>
      </c>
      <c r="B473" s="2" t="s">
        <v>1419</v>
      </c>
      <c r="C473" s="2" t="s">
        <v>1420</v>
      </c>
      <c r="D473" s="2" t="s">
        <v>87</v>
      </c>
      <c r="E473" s="2" t="s">
        <v>14</v>
      </c>
      <c r="F473" s="2" t="s">
        <v>15</v>
      </c>
      <c r="G473" s="2" t="s">
        <v>1173</v>
      </c>
      <c r="H473" s="2" t="s">
        <v>209</v>
      </c>
      <c r="I473" s="2" t="str">
        <f>IFERROR(__xludf.DUMMYFUNCTION("GOOGLETRANSLATE(C473,""fr"",""en"")"),"The advisers are attentive and very professional, it is a pleasure to be able to exchange easily by phone! The termination procedures are taken into account, you have nothing to do.")</f>
        <v>The advisers are attentive and very professional, it is a pleasure to be able to exchange easily by phone! The termination procedures are taken into account, you have nothing to do.</v>
      </c>
    </row>
    <row r="474" ht="15.75" customHeight="1">
      <c r="A474" s="2">
        <v>2.0</v>
      </c>
      <c r="B474" s="2" t="s">
        <v>1421</v>
      </c>
      <c r="C474" s="2" t="s">
        <v>1422</v>
      </c>
      <c r="D474" s="2" t="s">
        <v>319</v>
      </c>
      <c r="E474" s="2" t="s">
        <v>14</v>
      </c>
      <c r="F474" s="2" t="s">
        <v>15</v>
      </c>
      <c r="G474" s="2" t="s">
        <v>1423</v>
      </c>
      <c r="H474" s="2" t="s">
        <v>1013</v>
      </c>
      <c r="I474" s="2" t="str">
        <f>IFERROR(__xludf.DUMMYFUNCTION("GOOGLETRANSLATE(C474,""fr"",""en"")"),"Legal bait since it takes only 24 months of bonus I had a car insured in collection for 6 months therefore I made false information since there is no bonus on vintage cars.
The cash payment of the year has not been reimbursed despite that they no longer "&amp;"assure me.")</f>
        <v>Legal bait since it takes only 24 months of bonus I had a car insured in collection for 6 months therefore I made false information since there is no bonus on vintage cars.
The cash payment of the year has not been reimbursed despite that they no longer assure me.</v>
      </c>
    </row>
    <row r="475" ht="15.75" customHeight="1">
      <c r="A475" s="2">
        <v>1.0</v>
      </c>
      <c r="B475" s="2" t="s">
        <v>1424</v>
      </c>
      <c r="C475" s="2" t="s">
        <v>1425</v>
      </c>
      <c r="D475" s="2" t="s">
        <v>64</v>
      </c>
      <c r="E475" s="2" t="s">
        <v>31</v>
      </c>
      <c r="F475" s="2" t="s">
        <v>15</v>
      </c>
      <c r="G475" s="2" t="s">
        <v>1426</v>
      </c>
      <c r="H475" s="2" t="s">
        <v>493</v>
      </c>
      <c r="I475" s="2" t="str">
        <f>IFERROR(__xludf.DUMMYFUNCTION("GOOGLETRANSLATE(C475,""fr"",""en"")"),"Mutual health that makes fun of the world; Following the death of my mother, the mutual had to pay us a slight contribution to the expense of funeral; After sending two complete files by registered letter with A/R (paper signed in return), seeing nothing "&amp;"coming, I contacted them to discover that they had no trace of the file;
I send them back the pieces scanned by email;
In response by email they still claim documents including an original funeral fees transmitted by letter with A/R;
Total and classic "&amp;"incompetence of these organizations of the genre in platform where no one is responsible for monitoring or simple scam knowing that you are not going to take a lawyer to recover a few tens of euros. Mystery !!")</f>
        <v>Mutual health that makes fun of the world; Following the death of my mother, the mutual had to pay us a slight contribution to the expense of funeral; After sending two complete files by registered letter with A/R (paper signed in return), seeing nothing coming, I contacted them to discover that they had no trace of the file;
I send them back the pieces scanned by email;
In response by email they still claim documents including an original funeral fees transmitted by letter with A/R;
Total and classic incompetence of these organizations of the genre in platform where no one is responsible for monitoring or simple scam knowing that you are not going to take a lawyer to recover a few tens of euros. Mystery !!</v>
      </c>
    </row>
    <row r="476" ht="15.75" customHeight="1">
      <c r="A476" s="2">
        <v>4.0</v>
      </c>
      <c r="B476" s="2" t="s">
        <v>1427</v>
      </c>
      <c r="C476" s="2" t="s">
        <v>1428</v>
      </c>
      <c r="D476" s="2" t="s">
        <v>13</v>
      </c>
      <c r="E476" s="2" t="s">
        <v>14</v>
      </c>
      <c r="F476" s="2" t="s">
        <v>15</v>
      </c>
      <c r="G476" s="2" t="s">
        <v>764</v>
      </c>
      <c r="H476" s="2" t="s">
        <v>110</v>
      </c>
      <c r="I476" s="2" t="str">
        <f>IFERROR(__xludf.DUMMYFUNCTION("GOOGLETRANSLATE(C476,""fr"",""en"")"),"satisfied with the contract opening service.
good value for money.
But I hope not having to fill out a satisfaction report with each connection.")</f>
        <v>satisfied with the contract opening service.
good value for money.
But I hope not having to fill out a satisfaction report with each connection.</v>
      </c>
    </row>
    <row r="477" ht="15.75" customHeight="1">
      <c r="A477" s="2">
        <v>2.0</v>
      </c>
      <c r="B477" s="2" t="s">
        <v>1429</v>
      </c>
      <c r="C477" s="2" t="s">
        <v>1430</v>
      </c>
      <c r="D477" s="2" t="s">
        <v>74</v>
      </c>
      <c r="E477" s="2" t="s">
        <v>14</v>
      </c>
      <c r="F477" s="2" t="s">
        <v>15</v>
      </c>
      <c r="G477" s="2" t="s">
        <v>888</v>
      </c>
      <c r="H477" s="2" t="s">
        <v>103</v>
      </c>
      <c r="I477" s="2" t="str">
        <f>IFERROR(__xludf.DUMMYFUNCTION("GOOGLETRANSLATE(C477,""fr"",""en"")"),"Termination overnight following claims that were not our fact")</f>
        <v>Termination overnight following claims that were not our fact</v>
      </c>
    </row>
    <row r="478" ht="15.75" customHeight="1">
      <c r="A478" s="2">
        <v>5.0</v>
      </c>
      <c r="B478" s="2" t="s">
        <v>1431</v>
      </c>
      <c r="C478" s="2" t="s">
        <v>1432</v>
      </c>
      <c r="D478" s="2" t="s">
        <v>277</v>
      </c>
      <c r="E478" s="2" t="s">
        <v>14</v>
      </c>
      <c r="F478" s="2" t="s">
        <v>15</v>
      </c>
      <c r="G478" s="2" t="s">
        <v>1433</v>
      </c>
      <c r="H478" s="2" t="s">
        <v>433</v>
      </c>
      <c r="I478" s="2" t="str">
        <f>IFERROR(__xludf.DUMMYFUNCTION("GOOGLETRANSLATE(C478,""fr"",""en"")"),"I have just had a self -disaster, Pacifica knew how to explain the process to be carried out to be repaired and accompanied me until I took charge by the convenience store. They paid the troubleshooting as well as the taxi that brought me home and pay the"&amp;" taxi so that I will get my car once repaired. I am very satisfied with this insurance and recommend it! Thanks again !")</f>
        <v>I have just had a self -disaster, Pacifica knew how to explain the process to be carried out to be repaired and accompanied me until I took charge by the convenience store. They paid the troubleshooting as well as the taxi that brought me home and pay the taxi so that I will get my car once repaired. I am very satisfied with this insurance and recommend it! Thanks again !</v>
      </c>
    </row>
    <row r="479" ht="15.75" customHeight="1">
      <c r="A479" s="2">
        <v>5.0</v>
      </c>
      <c r="B479" s="2" t="s">
        <v>1434</v>
      </c>
      <c r="C479" s="2" t="s">
        <v>1435</v>
      </c>
      <c r="D479" s="2" t="s">
        <v>50</v>
      </c>
      <c r="E479" s="2" t="s">
        <v>21</v>
      </c>
      <c r="F479" s="2" t="s">
        <v>15</v>
      </c>
      <c r="G479" s="2" t="s">
        <v>1436</v>
      </c>
      <c r="H479" s="2" t="s">
        <v>110</v>
      </c>
      <c r="I479" s="2" t="str">
        <f>IFERROR(__xludf.DUMMYFUNCTION("GOOGLETRANSLATE(C479,""fr"",""en"")"),"I am very satisfied with the service, simple, fast and efficient. I highly recommend the services of this online insurance.
Cordially
Merci
")</f>
        <v>I am very satisfied with the service, simple, fast and efficient. I highly recommend the services of this online insurance.
Cordially
Merci
</v>
      </c>
    </row>
    <row r="480" ht="15.75" customHeight="1">
      <c r="A480" s="2">
        <v>5.0</v>
      </c>
      <c r="B480" s="2" t="s">
        <v>1437</v>
      </c>
      <c r="C480" s="2" t="s">
        <v>1438</v>
      </c>
      <c r="D480" s="2" t="s">
        <v>334</v>
      </c>
      <c r="E480" s="2" t="s">
        <v>31</v>
      </c>
      <c r="F480" s="2" t="s">
        <v>15</v>
      </c>
      <c r="G480" s="2" t="s">
        <v>1439</v>
      </c>
      <c r="H480" s="2" t="s">
        <v>169</v>
      </c>
      <c r="I480" s="2" t="str">
        <f>IFERROR(__xludf.DUMMYFUNCTION("GOOGLETRANSLATE(C480,""fr"",""en"")"),"Very little waiting, fast for understanding and my insurer Mr Diallo very pleasant. Nowadays having a welcome as I received was very appreciable.
Thanks very much")</f>
        <v>Very little waiting, fast for understanding and my insurer Mr Diallo very pleasant. Nowadays having a welcome as I received was very appreciable.
Thanks very much</v>
      </c>
    </row>
    <row r="481" ht="15.75" customHeight="1">
      <c r="A481" s="2">
        <v>5.0</v>
      </c>
      <c r="B481" s="2" t="s">
        <v>1440</v>
      </c>
      <c r="C481" s="2" t="s">
        <v>1441</v>
      </c>
      <c r="D481" s="2" t="s">
        <v>13</v>
      </c>
      <c r="E481" s="2" t="s">
        <v>14</v>
      </c>
      <c r="F481" s="2" t="s">
        <v>15</v>
      </c>
      <c r="G481" s="2" t="s">
        <v>1442</v>
      </c>
      <c r="H481" s="2" t="s">
        <v>42</v>
      </c>
      <c r="I481" s="2" t="str">
        <f>IFERROR(__xludf.DUMMYFUNCTION("GOOGLETRANSLATE(C481,""fr"",""en"")"),"Very good price satisfied with the very fast online service is complete nothing more at the top I advise all direct insurance services .....")</f>
        <v>Very good price satisfied with the very fast online service is complete nothing more at the top I advise all direct insurance services .....</v>
      </c>
    </row>
    <row r="482" ht="15.75" customHeight="1">
      <c r="A482" s="2">
        <v>1.0</v>
      </c>
      <c r="B482" s="2" t="s">
        <v>1443</v>
      </c>
      <c r="C482" s="2" t="s">
        <v>1444</v>
      </c>
      <c r="D482" s="2" t="s">
        <v>948</v>
      </c>
      <c r="E482" s="2" t="s">
        <v>288</v>
      </c>
      <c r="F482" s="2" t="s">
        <v>15</v>
      </c>
      <c r="G482" s="2" t="s">
        <v>1445</v>
      </c>
      <c r="H482" s="2" t="s">
        <v>263</v>
      </c>
      <c r="I482" s="2" t="str">
        <f>IFERROR(__xludf.DUMMYFUNCTION("GOOGLETRANSLATE(C482,""fr"",""en"")"),"Swisslife has poorly managed my life insurance contract and does not respond to my LRAR. I don’t know what has become of a company error, however, this is my money. That does not inspire confidence I find the conduct of the casual and irresponsible compan"&amp;"y ??")</f>
        <v>Swisslife has poorly managed my life insurance contract and does not respond to my LRAR. I don’t know what has become of a company error, however, this is my money. That does not inspire confidence I find the conduct of the casual and irresponsible company ??</v>
      </c>
    </row>
    <row r="483" ht="15.75" customHeight="1">
      <c r="A483" s="2">
        <v>1.0</v>
      </c>
      <c r="B483" s="2" t="s">
        <v>1446</v>
      </c>
      <c r="C483" s="2" t="s">
        <v>1447</v>
      </c>
      <c r="D483" s="2" t="s">
        <v>201</v>
      </c>
      <c r="E483" s="2" t="s">
        <v>21</v>
      </c>
      <c r="F483" s="2" t="s">
        <v>15</v>
      </c>
      <c r="G483" s="2" t="s">
        <v>1448</v>
      </c>
      <c r="H483" s="2" t="s">
        <v>433</v>
      </c>
      <c r="I483" s="2" t="str">
        <f>IFERROR(__xludf.DUMMYFUNCTION("GOOGLETRANSLATE(C483,""fr"",""en"")"),"I needed AMV assistance. Categorical refusal of assistance to support my vehicle. Impossible to reach AMV in any way, do not respond to any email, does not answer the phone. To flee absolutely !! Far too expensive for the services offered.")</f>
        <v>I needed AMV assistance. Categorical refusal of assistance to support my vehicle. Impossible to reach AMV in any way, do not respond to any email, does not answer the phone. To flee absolutely !! Far too expensive for the services offered.</v>
      </c>
    </row>
    <row r="484" ht="15.75" customHeight="1">
      <c r="A484" s="2">
        <v>1.0</v>
      </c>
      <c r="B484" s="2" t="s">
        <v>1449</v>
      </c>
      <c r="C484" s="2" t="s">
        <v>1450</v>
      </c>
      <c r="D484" s="2" t="s">
        <v>87</v>
      </c>
      <c r="E484" s="2" t="s">
        <v>14</v>
      </c>
      <c r="F484" s="2" t="s">
        <v>15</v>
      </c>
      <c r="G484" s="2" t="s">
        <v>1103</v>
      </c>
      <c r="H484" s="2" t="s">
        <v>248</v>
      </c>
      <c r="I484" s="2" t="str">
        <f>IFERROR(__xludf.DUMMYFUNCTION("GOOGLETRANSLATE(C484,""fr"",""en"")"),"Incapable. Is not fleeing.")</f>
        <v>Incapable. Is not fleeing.</v>
      </c>
    </row>
    <row r="485" ht="15.75" customHeight="1">
      <c r="A485" s="2">
        <v>4.0</v>
      </c>
      <c r="B485" s="2" t="s">
        <v>1451</v>
      </c>
      <c r="C485" s="2" t="s">
        <v>1452</v>
      </c>
      <c r="D485" s="2" t="s">
        <v>201</v>
      </c>
      <c r="E485" s="2" t="s">
        <v>21</v>
      </c>
      <c r="F485" s="2" t="s">
        <v>15</v>
      </c>
      <c r="G485" s="2" t="s">
        <v>1453</v>
      </c>
      <c r="H485" s="2" t="s">
        <v>699</v>
      </c>
      <c r="I485" s="2" t="str">
        <f>IFERROR(__xludf.DUMMYFUNCTION("GOOGLETRANSLATE(C485,""fr"",""en"")"),"Very good value for money, quick responses, very good guarantees, ease of contact. I have subscribed my insurance quickly and easily, prices, deductibles are very competitive as well as guarantees.")</f>
        <v>Very good value for money, quick responses, very good guarantees, ease of contact. I have subscribed my insurance quickly and easily, prices, deductibles are very competitive as well as guarantees.</v>
      </c>
    </row>
    <row r="486" ht="15.75" customHeight="1">
      <c r="A486" s="2">
        <v>4.0</v>
      </c>
      <c r="B486" s="2" t="s">
        <v>1454</v>
      </c>
      <c r="C486" s="2" t="s">
        <v>1455</v>
      </c>
      <c r="D486" s="2" t="s">
        <v>13</v>
      </c>
      <c r="E486" s="2" t="s">
        <v>14</v>
      </c>
      <c r="F486" s="2" t="s">
        <v>15</v>
      </c>
      <c r="G486" s="2" t="s">
        <v>513</v>
      </c>
      <c r="H486" s="2" t="s">
        <v>61</v>
      </c>
      <c r="I486" s="2" t="str">
        <f>IFERROR(__xludf.DUMMYFUNCTION("GOOGLETRANSLATE(C486,""fr"",""en"")"),"Satisfied with the simplicity of the procedures and access to documents on his personal page, a little price effort for the recognition of customer loyalty and which has several contracts.")</f>
        <v>Satisfied with the simplicity of the procedures and access to documents on his personal page, a little price effort for the recognition of customer loyalty and which has several contracts.</v>
      </c>
    </row>
    <row r="487" ht="15.75" customHeight="1">
      <c r="A487" s="2">
        <v>1.0</v>
      </c>
      <c r="B487" s="2" t="s">
        <v>1456</v>
      </c>
      <c r="C487" s="2" t="s">
        <v>1457</v>
      </c>
      <c r="D487" s="2" t="s">
        <v>79</v>
      </c>
      <c r="E487" s="2" t="s">
        <v>14</v>
      </c>
      <c r="F487" s="2" t="s">
        <v>15</v>
      </c>
      <c r="G487" s="2" t="s">
        <v>1364</v>
      </c>
      <c r="H487" s="2" t="s">
        <v>386</v>
      </c>
      <c r="I487" s="2" t="str">
        <f>IFERROR(__xludf.DUMMYFUNCTION("GOOGLETRANSLATE(C487,""fr"",""en"")"),"a lot of back and forth
Too expensive customer service
Advisor lied to me by telling me that there is no right of withdrawal at Active Insurance
I did the online contract on April 1, 2018
What is the solution to retract me")</f>
        <v>a lot of back and forth
Too expensive customer service
Advisor lied to me by telling me that there is no right of withdrawal at Active Insurance
I did the online contract on April 1, 2018
What is the solution to retract me</v>
      </c>
    </row>
    <row r="488" ht="15.75" customHeight="1">
      <c r="A488" s="2">
        <v>2.0</v>
      </c>
      <c r="B488" s="2" t="s">
        <v>1458</v>
      </c>
      <c r="C488" s="2" t="s">
        <v>1459</v>
      </c>
      <c r="D488" s="2" t="s">
        <v>36</v>
      </c>
      <c r="E488" s="2" t="s">
        <v>14</v>
      </c>
      <c r="F488" s="2" t="s">
        <v>15</v>
      </c>
      <c r="G488" s="2" t="s">
        <v>1460</v>
      </c>
      <c r="H488" s="2" t="s">
        <v>195</v>
      </c>
      <c r="I488" s="2" t="str">
        <f>IFERROR(__xludf.DUMMYFUNCTION("GOOGLETRANSLATE(C488,""fr"",""en"")"),"When changing my vehicle I had to pay an increase in my contract. I was made to contract legal protection that I did not ask for. After contact I was assured that I could terminate but not possible after a few months. This day I completely terminated my c"&amp;"ontract. The maif has changed and not in good")</f>
        <v>When changing my vehicle I had to pay an increase in my contract. I was made to contract legal protection that I did not ask for. After contact I was assured that I could terminate but not possible after a few months. This day I completely terminated my contract. The maif has changed and not in good</v>
      </c>
    </row>
    <row r="489" ht="15.75" customHeight="1">
      <c r="A489" s="2">
        <v>5.0</v>
      </c>
      <c r="B489" s="2" t="s">
        <v>1461</v>
      </c>
      <c r="C489" s="2" t="s">
        <v>1462</v>
      </c>
      <c r="D489" s="2" t="s">
        <v>50</v>
      </c>
      <c r="E489" s="2" t="s">
        <v>21</v>
      </c>
      <c r="F489" s="2" t="s">
        <v>15</v>
      </c>
      <c r="G489" s="2" t="s">
        <v>559</v>
      </c>
      <c r="H489" s="2" t="s">
        <v>282</v>
      </c>
      <c r="I489" s="2" t="str">
        <f>IFERROR(__xludf.DUMMYFUNCTION("GOOGLETRANSLATE(C489,""fr"",""en"")"),"It's good but we must increase the delay
Your assurance these best and the price c a low paraport price to the other insurance
Thank you very much and good evening
")</f>
        <v>It's good but we must increase the delay
Your assurance these best and the price c a low paraport price to the other insurance
Thank you very much and good evening
</v>
      </c>
    </row>
    <row r="490" ht="15.75" customHeight="1">
      <c r="A490" s="2">
        <v>2.0</v>
      </c>
      <c r="B490" s="2" t="s">
        <v>1463</v>
      </c>
      <c r="C490" s="2" t="s">
        <v>1464</v>
      </c>
      <c r="D490" s="2" t="s">
        <v>13</v>
      </c>
      <c r="E490" s="2" t="s">
        <v>14</v>
      </c>
      <c r="F490" s="2" t="s">
        <v>15</v>
      </c>
      <c r="G490" s="2" t="s">
        <v>1465</v>
      </c>
      <c r="H490" s="2" t="s">
        <v>52</v>
      </c>
      <c r="I490" s="2" t="str">
        <f>IFERROR(__xludf.DUMMYFUNCTION("GOOGLETRANSLATE(C490,""fr"",""en"")"),"The service is not great because I could not subscribe with the advisor who made the quote I was old I wasted a lot of time with him and the prices being a little high for my taste I could not negotiate nor benefit from a small offer for new customer.")</f>
        <v>The service is not great because I could not subscribe with the advisor who made the quote I was old I wasted a lot of time with him and the prices being a little high for my taste I could not negotiate nor benefit from a small offer for new customer.</v>
      </c>
    </row>
    <row r="491" ht="15.75" customHeight="1">
      <c r="A491" s="2">
        <v>2.0</v>
      </c>
      <c r="B491" s="2" t="s">
        <v>1466</v>
      </c>
      <c r="C491" s="2" t="s">
        <v>1467</v>
      </c>
      <c r="D491" s="2" t="s">
        <v>45</v>
      </c>
      <c r="E491" s="2" t="s">
        <v>14</v>
      </c>
      <c r="F491" s="2" t="s">
        <v>15</v>
      </c>
      <c r="G491" s="2" t="s">
        <v>1468</v>
      </c>
      <c r="H491" s="2" t="s">
        <v>23</v>
      </c>
      <c r="I491" s="2" t="str">
        <f>IFERROR(__xludf.DUMMYFUNCTION("GOOGLETRANSLATE(C491,""fr"",""en"")"),"Customer for 10 years, a disaster of March 04 ... Tel of such yesterday of the garage to tell me that I have 24 hours to recover my vehicle otherwise I am charged the guard costs.
Expert report sent since May 13, Passage in agency, call for 2 days and no"&amp;"body can tell me why there is no care on my vehicle, I therefore recover my vehicle with broken window that will park outside Do not have a garage so if someone arrives again I find myself without great thank you")</f>
        <v>Customer for 10 years, a disaster of March 04 ... Tel of such yesterday of the garage to tell me that I have 24 hours to recover my vehicle otherwise I am charged the guard costs.
Expert report sent since May 13, Passage in agency, call for 2 days and nobody can tell me why there is no care on my vehicle, I therefore recover my vehicle with broken window that will park outside Do not have a garage so if someone arrives again I find myself without great thank you</v>
      </c>
    </row>
    <row r="492" ht="15.75" customHeight="1">
      <c r="A492" s="2">
        <v>5.0</v>
      </c>
      <c r="B492" s="2" t="s">
        <v>1469</v>
      </c>
      <c r="C492" s="2" t="s">
        <v>1470</v>
      </c>
      <c r="D492" s="2" t="s">
        <v>13</v>
      </c>
      <c r="E492" s="2" t="s">
        <v>14</v>
      </c>
      <c r="F492" s="2" t="s">
        <v>15</v>
      </c>
      <c r="G492" s="2" t="s">
        <v>1239</v>
      </c>
      <c r="H492" s="2" t="s">
        <v>179</v>
      </c>
      <c r="I492" s="2" t="str">
        <f>IFERROR(__xludf.DUMMYFUNCTION("GOOGLETRANSLATE(C492,""fr"",""en"")"),"Online subscription for a change of company via Direct Insurance is really simple, as well as for supporting documents to provide via their application.
The answers are reactive, I recommend.")</f>
        <v>Online subscription for a change of company via Direct Insurance is really simple, as well as for supporting documents to provide via their application.
The answers are reactive, I recommend.</v>
      </c>
    </row>
    <row r="493" ht="15.75" customHeight="1">
      <c r="A493" s="2">
        <v>2.0</v>
      </c>
      <c r="B493" s="2" t="s">
        <v>1471</v>
      </c>
      <c r="C493" s="2" t="s">
        <v>1472</v>
      </c>
      <c r="D493" s="2" t="s">
        <v>87</v>
      </c>
      <c r="E493" s="2" t="s">
        <v>14</v>
      </c>
      <c r="F493" s="2" t="s">
        <v>15</v>
      </c>
      <c r="G493" s="2" t="s">
        <v>1473</v>
      </c>
      <c r="H493" s="2" t="s">
        <v>248</v>
      </c>
      <c r="I493" s="2" t="str">
        <f>IFERROR(__xludf.DUMMYFUNCTION("GOOGLETRANSLATE(C493,""fr"",""en"")"),"Management of my deplorable claim which lasted 1 year 1/2 lost file of repairer worthy of a sketche and incompetent customer service. Go your way there is no consideration for the customer at the Olivier")</f>
        <v>Management of my deplorable claim which lasted 1 year 1/2 lost file of repairer worthy of a sketche and incompetent customer service. Go your way there is no consideration for the customer at the Olivier</v>
      </c>
    </row>
    <row r="494" ht="15.75" customHeight="1">
      <c r="A494" s="2">
        <v>2.0</v>
      </c>
      <c r="B494" s="2" t="s">
        <v>1474</v>
      </c>
      <c r="C494" s="2" t="s">
        <v>1475</v>
      </c>
      <c r="D494" s="2" t="s">
        <v>319</v>
      </c>
      <c r="E494" s="2" t="s">
        <v>14</v>
      </c>
      <c r="F494" s="2" t="s">
        <v>15</v>
      </c>
      <c r="G494" s="2" t="s">
        <v>1126</v>
      </c>
      <c r="H494" s="2" t="s">
        <v>248</v>
      </c>
      <c r="I494" s="2" t="str">
        <f>IFERROR(__xludf.DUMMYFUNCTION("GOOGLETRANSLATE(C494,""fr"",""en"")"),"Client since 2005 with a bonus at 0.50 without any payment incident.
I unfortunately declare on 12 months slippery:
- 1 ice cream
- 1 hanging (bodywork) where I am responsible
 - 1 non -responsible accident
I specify that the last claim before these "&amp;"dates back to 2007 !!
I was simply terminated by Eurofil !!
It's amazing and grotesque at the same time!
A quick calculation brings me to a total contributions paid by around € 25,000 in 15 years.
This is a comment!
Your turn to judge :)")</f>
        <v>Client since 2005 with a bonus at 0.50 without any payment incident.
I unfortunately declare on 12 months slippery:
- 1 ice cream
- 1 hanging (bodywork) where I am responsible
 - 1 non -responsible accident
I specify that the last claim before these dates back to 2007 !!
I was simply terminated by Eurofil !!
It's amazing and grotesque at the same time!
A quick calculation brings me to a total contributions paid by around € 25,000 in 15 years.
This is a comment!
Your turn to judge :)</v>
      </c>
    </row>
    <row r="495" ht="15.75" customHeight="1">
      <c r="A495" s="2">
        <v>1.0</v>
      </c>
      <c r="B495" s="2" t="s">
        <v>1476</v>
      </c>
      <c r="C495" s="2" t="s">
        <v>1477</v>
      </c>
      <c r="D495" s="2" t="s">
        <v>375</v>
      </c>
      <c r="E495" s="2" t="s">
        <v>288</v>
      </c>
      <c r="F495" s="2" t="s">
        <v>15</v>
      </c>
      <c r="G495" s="2" t="s">
        <v>1478</v>
      </c>
      <c r="H495" s="2" t="s">
        <v>47</v>
      </c>
      <c r="I495" s="2" t="str">
        <f>IFERROR(__xludf.DUMMYFUNCTION("GOOGLETRANSLATE(C495,""fr"",""en"")"),"In March 2012, I placed 14,000th on Himalaya from Generali who was supposed to bring me more than 7% per year. Against my will, Generali transferred the funds to a medium that does not bring anything. In May 2018, the capital is € 14,153.39. Given the cos"&amp;"ts, I can only recover € 12,737.84.
My lawyer wrote to Generali. Generali never deigned to answer.")</f>
        <v>In March 2012, I placed 14,000th on Himalaya from Generali who was supposed to bring me more than 7% per year. Against my will, Generali transferred the funds to a medium that does not bring anything. In May 2018, the capital is € 14,153.39. Given the costs, I can only recover € 12,737.84.
My lawyer wrote to Generali. Generali never deigned to answer.</v>
      </c>
    </row>
    <row r="496" ht="15.75" customHeight="1">
      <c r="A496" s="2">
        <v>1.0</v>
      </c>
      <c r="B496" s="2" t="s">
        <v>1479</v>
      </c>
      <c r="C496" s="2" t="s">
        <v>1480</v>
      </c>
      <c r="D496" s="2" t="s">
        <v>231</v>
      </c>
      <c r="E496" s="2" t="s">
        <v>232</v>
      </c>
      <c r="F496" s="2" t="s">
        <v>15</v>
      </c>
      <c r="G496" s="2" t="s">
        <v>1481</v>
      </c>
      <c r="H496" s="2" t="s">
        <v>761</v>
      </c>
      <c r="I496" s="2" t="str">
        <f>IFERROR(__xludf.DUMMYFUNCTION("GOOGLETRANSLATE(C496,""fr"",""en"")"),"Here I am in the same spiral as you. Declare invalid category 2 cardif informs me that following the visit of their expert doctor I can no longer benefit from the guarantees Car - 66% obviously the same letter as you! During my sick leave on the other han"&amp;"d everything went well from where my astonishment. For once, when your condition is recognized by doctors experts in social security and their decisions are discredited by an ""expert"" doctor that you meet 5 min and who judges you in perfect condition! H"&amp;"allucing !! This treatment is inhuman. I wonder how we can treat your members in this way! Then I want to say it is so easy the expert is paying by insurance so he goes in the interest of his client of course! It's pitiful! I plan to fight too! If a colle"&amp;"ctive is set up I sign ... I made a request from Cardif to have the expert's report I expect to receive it.
In any case, good luck to all.")</f>
        <v>Here I am in the same spiral as you. Declare invalid category 2 cardif informs me that following the visit of their expert doctor I can no longer benefit from the guarantees Car - 66% obviously the same letter as you! During my sick leave on the other hand everything went well from where my astonishment. For once, when your condition is recognized by doctors experts in social security and their decisions are discredited by an "expert" doctor that you meet 5 min and who judges you in perfect condition! Hallucing !! This treatment is inhuman. I wonder how we can treat your members in this way! Then I want to say it is so easy the expert is paying by insurance so he goes in the interest of his client of course! It's pitiful! I plan to fight too! If a collective is set up I sign ... I made a request from Cardif to have the expert's report I expect to receive it.
In any case, good luck to all.</v>
      </c>
    </row>
    <row r="497" ht="15.75" customHeight="1">
      <c r="A497" s="2">
        <v>4.0</v>
      </c>
      <c r="B497" s="2" t="s">
        <v>1482</v>
      </c>
      <c r="C497" s="2" t="s">
        <v>1483</v>
      </c>
      <c r="D497" s="2" t="s">
        <v>334</v>
      </c>
      <c r="E497" s="2" t="s">
        <v>31</v>
      </c>
      <c r="F497" s="2" t="s">
        <v>15</v>
      </c>
      <c r="G497" s="2" t="s">
        <v>1484</v>
      </c>
      <c r="H497" s="2" t="s">
        <v>480</v>
      </c>
      <c r="I497" s="2" t="str">
        <f>IFERROR(__xludf.DUMMYFUNCTION("GOOGLETRANSLATE(C497,""fr"",""en"")"),"Very well received the people I had well explained and very reactive information on the emails and very kind I recommend Auture of my professionalism
")</f>
        <v>Very well received the people I had well explained and very reactive information on the emails and very kind I recommend Auture of my professionalism
</v>
      </c>
    </row>
    <row r="498" ht="15.75" customHeight="1">
      <c r="A498" s="2">
        <v>3.0</v>
      </c>
      <c r="B498" s="2" t="s">
        <v>1485</v>
      </c>
      <c r="C498" s="2" t="s">
        <v>1486</v>
      </c>
      <c r="D498" s="2" t="s">
        <v>1487</v>
      </c>
      <c r="E498" s="2" t="s">
        <v>21</v>
      </c>
      <c r="F498" s="2" t="s">
        <v>15</v>
      </c>
      <c r="G498" s="2" t="s">
        <v>1488</v>
      </c>
      <c r="H498" s="2" t="s">
        <v>493</v>
      </c>
      <c r="I498" s="2" t="str">
        <f>IFERROR(__xludf.DUMMYFUNCTION("GOOGLETRANSLATE(C498,""fr"",""en"")"),"First, note that it is a subsidiary of the Parisian Assurances. Victim of a non -responsible disaster with physical damage, no news for 3 months, no compensation or provision, no guarantee, a total vagueness because they are agents from another country th"&amp;"at meet requests. Disconnected completely from reality, and especially in the event of a claim of course, but is this not why we are insured? You have to go back to the parent company for coordinating them from the opposing insurance, without a lawyer the"&amp;"y do not want to communicate them, it makes no effort for their customer in litigation. If you choose this insurance make sure you have a good lawyer in your contacts")</f>
        <v>First, note that it is a subsidiary of the Parisian Assurances. Victim of a non -responsible disaster with physical damage, no news for 3 months, no compensation or provision, no guarantee, a total vagueness because they are agents from another country that meet requests. Disconnected completely from reality, and especially in the event of a claim of course, but is this not why we are insured? You have to go back to the parent company for coordinating them from the opposing insurance, without a lawyer they do not want to communicate them, it makes no effort for their customer in litigation. If you choose this insurance make sure you have a good lawyer in your contacts</v>
      </c>
    </row>
    <row r="499" ht="15.75" customHeight="1">
      <c r="A499" s="2">
        <v>4.0</v>
      </c>
      <c r="B499" s="2" t="s">
        <v>1489</v>
      </c>
      <c r="C499" s="2" t="s">
        <v>1490</v>
      </c>
      <c r="D499" s="2" t="s">
        <v>70</v>
      </c>
      <c r="E499" s="2" t="s">
        <v>31</v>
      </c>
      <c r="F499" s="2" t="s">
        <v>15</v>
      </c>
      <c r="G499" s="2" t="s">
        <v>893</v>
      </c>
      <c r="H499" s="2" t="s">
        <v>209</v>
      </c>
      <c r="I499" s="2" t="str">
        <f>IFERROR(__xludf.DUMMYFUNCTION("GOOGLETRANSLATE(C499,""fr"",""en"")"),"Hello
I just had a telephone conversation, about a refund and I congratulate a very friendly advisor Emeline, a big thank you for her kindness !!
Marcelle Delarue")</f>
        <v>Hello
I just had a telephone conversation, about a refund and I congratulate a very friendly advisor Emeline, a big thank you for her kindness !!
Marcelle Delarue</v>
      </c>
    </row>
    <row r="500" ht="15.75" customHeight="1">
      <c r="A500" s="2">
        <v>5.0</v>
      </c>
      <c r="B500" s="2" t="s">
        <v>1491</v>
      </c>
      <c r="C500" s="2" t="s">
        <v>1492</v>
      </c>
      <c r="D500" s="2" t="s">
        <v>13</v>
      </c>
      <c r="E500" s="2" t="s">
        <v>14</v>
      </c>
      <c r="F500" s="2" t="s">
        <v>15</v>
      </c>
      <c r="G500" s="2" t="s">
        <v>216</v>
      </c>
      <c r="H500" s="2" t="s">
        <v>42</v>
      </c>
      <c r="I500" s="2" t="str">
        <f>IFERROR(__xludf.DUMMYFUNCTION("GOOGLETRANSLATE(C500,""fr"",""en"")"),"
The quote was made from the guarantees of my former insurer. I have a less important deductible and guarantees that I did not have with my previous insurer.
In Ginzj, I will pay 40th a month instead of 61.")</f>
        <v>
The quote was made from the guarantees of my former insurer. I have a less important deductible and guarantees that I did not have with my previous insurer.
In Ginzj, I will pay 40th a month instead of 61.</v>
      </c>
    </row>
    <row r="501" ht="15.75" customHeight="1">
      <c r="A501" s="2">
        <v>4.0</v>
      </c>
      <c r="B501" s="2" t="s">
        <v>1493</v>
      </c>
      <c r="C501" s="2" t="s">
        <v>1494</v>
      </c>
      <c r="D501" s="2" t="s">
        <v>13</v>
      </c>
      <c r="E501" s="2" t="s">
        <v>14</v>
      </c>
      <c r="F501" s="2" t="s">
        <v>15</v>
      </c>
      <c r="G501" s="2" t="s">
        <v>1495</v>
      </c>
      <c r="H501" s="2" t="s">
        <v>209</v>
      </c>
      <c r="I501" s="2" t="str">
        <f>IFERROR(__xludf.DUMMYFUNCTION("GOOGLETRANSLATE(C501,""fr"",""en"")"),"Reasonable cost, quick and precise responses on the phone, only the reduced number of approved garage surprised me, the one I use regularly next to my home (Peugeot agent) which was approved by my previous insurance (Macif) does not is not what forces me "&amp;"to pay the repair costs in advance")</f>
        <v>Reasonable cost, quick and precise responses on the phone, only the reduced number of approved garage surprised me, the one I use regularly next to my home (Peugeot agent) which was approved by my previous insurance (Macif) does not is not what forces me to pay the repair costs in advance</v>
      </c>
    </row>
    <row r="502" ht="15.75" customHeight="1">
      <c r="A502" s="2">
        <v>5.0</v>
      </c>
      <c r="B502" s="2" t="s">
        <v>1496</v>
      </c>
      <c r="C502" s="2" t="s">
        <v>1497</v>
      </c>
      <c r="D502" s="2" t="s">
        <v>50</v>
      </c>
      <c r="E502" s="2" t="s">
        <v>21</v>
      </c>
      <c r="F502" s="2" t="s">
        <v>15</v>
      </c>
      <c r="G502" s="2" t="s">
        <v>1498</v>
      </c>
      <c r="H502" s="2" t="s">
        <v>110</v>
      </c>
      <c r="I502" s="2" t="str">
        <f>IFERROR(__xludf.DUMMYFUNCTION("GOOGLETRANSLATE(C502,""fr"",""en"")"),"Very good, fast and efficient.
I hope to receive my green card as soon as possible to be quiet.
Thank you for acting as soon as possible.
Thank you, thank you")</f>
        <v>Very good, fast and efficient.
I hope to receive my green card as soon as possible to be quiet.
Thank you for acting as soon as possible.
Thank you, thank you</v>
      </c>
    </row>
    <row r="503" ht="15.75" customHeight="1">
      <c r="A503" s="2">
        <v>5.0</v>
      </c>
      <c r="B503" s="2" t="s">
        <v>1499</v>
      </c>
      <c r="C503" s="2" t="s">
        <v>1500</v>
      </c>
      <c r="D503" s="2" t="s">
        <v>13</v>
      </c>
      <c r="E503" s="2" t="s">
        <v>14</v>
      </c>
      <c r="F503" s="2" t="s">
        <v>15</v>
      </c>
      <c r="G503" s="2" t="s">
        <v>573</v>
      </c>
      <c r="H503" s="2" t="s">
        <v>209</v>
      </c>
      <c r="I503" s="2" t="str">
        <f>IFERROR(__xludf.DUMMYFUNCTION("GOOGLETRANSLATE(C503,""fr"",""en"")"),"I am satisfied with the contact with the customer relations manager. Kind and listening to the customer.
Prices are correct for value for money")</f>
        <v>I am satisfied with the contact with the customer relations manager. Kind and listening to the customer.
Prices are correct for value for money</v>
      </c>
    </row>
    <row r="504" ht="15.75" customHeight="1">
      <c r="A504" s="2">
        <v>5.0</v>
      </c>
      <c r="B504" s="2" t="s">
        <v>1501</v>
      </c>
      <c r="C504" s="2" t="s">
        <v>1502</v>
      </c>
      <c r="D504" s="2" t="s">
        <v>36</v>
      </c>
      <c r="E504" s="2" t="s">
        <v>14</v>
      </c>
      <c r="F504" s="2" t="s">
        <v>15</v>
      </c>
      <c r="G504" s="2" t="s">
        <v>1503</v>
      </c>
      <c r="H504" s="2" t="s">
        <v>103</v>
      </c>
      <c r="I504" s="2" t="str">
        <f>IFERROR(__xludf.DUMMYFUNCTION("GOOGLETRANSLATE(C504,""fr"",""en"")"),"For having made several insurers, I find that the maif is very reactive in the event of a disaster. I tried several other insurers and I have always returned to MAIF except for one of my two vehicles because their price is not competitive for it while the"&amp;" vehicle begins to age. Otherwise in general the prices are rather correct depending on the vehicle.")</f>
        <v>For having made several insurers, I find that the maif is very reactive in the event of a disaster. I tried several other insurers and I have always returned to MAIF except for one of my two vehicles because their price is not competitive for it while the vehicle begins to age. Otherwise in general the prices are rather correct depending on the vehicle.</v>
      </c>
    </row>
    <row r="505" ht="15.75" customHeight="1">
      <c r="A505" s="2">
        <v>2.0</v>
      </c>
      <c r="B505" s="2" t="s">
        <v>1504</v>
      </c>
      <c r="C505" s="2" t="s">
        <v>1505</v>
      </c>
      <c r="D505" s="2" t="s">
        <v>30</v>
      </c>
      <c r="E505" s="2" t="s">
        <v>65</v>
      </c>
      <c r="F505" s="2" t="s">
        <v>15</v>
      </c>
      <c r="G505" s="2" t="s">
        <v>1506</v>
      </c>
      <c r="H505" s="2" t="s">
        <v>589</v>
      </c>
      <c r="I505" s="2" t="str">
        <f>IFERROR(__xludf.DUMMYFUNCTION("GOOGLETRANSLATE(C505,""fr"",""en"")"),"I have signed an MGP Lyria contract additional salary in May 2018. Today I ask for support relating to this contract. Your answer is negative. I do not respect the months of deficiencies, while your advertisement on the MGP Lyria ""site strong"" no defici"&amp;"ency. At my subscription to this contract, my interlocutor (who is no longer part of the MGP) did not tell me about this period of so -called deficiency. Since February 1, 2019 I have been at 1/2 salary. Despite my multiple reminders, the MGP asks me to w"&amp;"ait, except that financial organizations do not wait.")</f>
        <v>I have signed an MGP Lyria contract additional salary in May 2018. Today I ask for support relating to this contract. Your answer is negative. I do not respect the months of deficiencies, while your advertisement on the MGP Lyria "site strong" no deficiency. At my subscription to this contract, my interlocutor (who is no longer part of the MGP) did not tell me about this period of so -called deficiency. Since February 1, 2019 I have been at 1/2 salary. Despite my multiple reminders, the MGP asks me to wait, except that financial organizations do not wait.</v>
      </c>
    </row>
    <row r="506" ht="15.75" customHeight="1">
      <c r="A506" s="2">
        <v>3.0</v>
      </c>
      <c r="B506" s="2" t="s">
        <v>1507</v>
      </c>
      <c r="C506" s="2" t="s">
        <v>1508</v>
      </c>
      <c r="D506" s="2" t="s">
        <v>87</v>
      </c>
      <c r="E506" s="2" t="s">
        <v>14</v>
      </c>
      <c r="F506" s="2" t="s">
        <v>15</v>
      </c>
      <c r="G506" s="2" t="s">
        <v>131</v>
      </c>
      <c r="H506" s="2" t="s">
        <v>27</v>
      </c>
      <c r="I506" s="2" t="str">
        <f>IFERROR(__xludf.DUMMYFUNCTION("GOOGLETRANSLATE(C506,""fr"",""en"")"),"The price is correct but it will part that I sold a vehicle in November 2020 I sent the contracts and I was taken until April 2021 I would like to have a reimbursement as quickly as possible thank you")</f>
        <v>The price is correct but it will part that I sold a vehicle in November 2020 I sent the contracts and I was taken until April 2021 I would like to have a reimbursement as quickly as possible thank you</v>
      </c>
    </row>
    <row r="507" ht="15.75" customHeight="1">
      <c r="A507" s="2">
        <v>2.0</v>
      </c>
      <c r="B507" s="2" t="s">
        <v>1509</v>
      </c>
      <c r="C507" s="2" t="s">
        <v>1510</v>
      </c>
      <c r="D507" s="2" t="s">
        <v>70</v>
      </c>
      <c r="E507" s="2" t="s">
        <v>31</v>
      </c>
      <c r="F507" s="2" t="s">
        <v>15</v>
      </c>
      <c r="G507" s="2" t="s">
        <v>364</v>
      </c>
      <c r="H507" s="2" t="s">
        <v>117</v>
      </c>
      <c r="I507" s="2" t="str">
        <f>IFERROR(__xludf.DUMMYFUNCTION("GOOGLETRANSLATE(C507,""fr"",""en"")"),"Not received my insured card, waiting for telephone without comment impossible to reach the office or by email or sms customer service ????")</f>
        <v>Not received my insured card, waiting for telephone without comment impossible to reach the office or by email or sms customer service ????</v>
      </c>
    </row>
    <row r="508" ht="15.75" customHeight="1">
      <c r="A508" s="2">
        <v>5.0</v>
      </c>
      <c r="B508" s="2" t="s">
        <v>1511</v>
      </c>
      <c r="C508" s="2" t="s">
        <v>1512</v>
      </c>
      <c r="D508" s="2" t="s">
        <v>13</v>
      </c>
      <c r="E508" s="2" t="s">
        <v>14</v>
      </c>
      <c r="F508" s="2" t="s">
        <v>15</v>
      </c>
      <c r="G508" s="2" t="s">
        <v>1057</v>
      </c>
      <c r="H508" s="2" t="s">
        <v>61</v>
      </c>
      <c r="I508" s="2" t="str">
        <f>IFERROR(__xludf.DUMMYFUNCTION("GOOGLETRANSLATE(C508,""fr"",""en"")"),"Nice reception on the phone, advantageous price, clear and precise information and documents. Easy to connect and sign the documents. Thank you all")</f>
        <v>Nice reception on the phone, advantageous price, clear and precise information and documents. Easy to connect and sign the documents. Thank you all</v>
      </c>
    </row>
    <row r="509" ht="15.75" customHeight="1">
      <c r="A509" s="2">
        <v>5.0</v>
      </c>
      <c r="B509" s="2" t="s">
        <v>1513</v>
      </c>
      <c r="C509" s="2" t="s">
        <v>1514</v>
      </c>
      <c r="D509" s="2" t="s">
        <v>13</v>
      </c>
      <c r="E509" s="2" t="s">
        <v>14</v>
      </c>
      <c r="F509" s="2" t="s">
        <v>15</v>
      </c>
      <c r="G509" s="2" t="s">
        <v>464</v>
      </c>
      <c r="H509" s="2" t="s">
        <v>52</v>
      </c>
      <c r="I509" s="2" t="str">
        <f>IFERROR(__xludf.DUMMYFUNCTION("GOOGLETRANSLATE(C509,""fr"",""en"")"),"Easy and practical. I recommend Direct Insurance for the home and the car.
The prices are very interesting and the choice of insurance is variable.")</f>
        <v>Easy and practical. I recommend Direct Insurance for the home and the car.
The prices are very interesting and the choice of insurance is variable.</v>
      </c>
    </row>
    <row r="510" ht="15.75" customHeight="1">
      <c r="A510" s="2">
        <v>1.0</v>
      </c>
      <c r="B510" s="2" t="s">
        <v>1515</v>
      </c>
      <c r="C510" s="2" t="s">
        <v>1516</v>
      </c>
      <c r="D510" s="2" t="s">
        <v>330</v>
      </c>
      <c r="E510" s="2" t="s">
        <v>31</v>
      </c>
      <c r="F510" s="2" t="s">
        <v>15</v>
      </c>
      <c r="G510" s="2" t="s">
        <v>1320</v>
      </c>
      <c r="H510" s="2" t="s">
        <v>239</v>
      </c>
      <c r="I510" s="2" t="str">
        <f>IFERROR(__xludf.DUMMYFUNCTION("GOOGLETRANSLATE(C510,""fr"",""en"")"),"To be reviewed in full. It is time for the M.G.E.N. Stop wasting the money of members in the advertising campaign and taking care of the well -being of his members who would then make him the best advertising.")</f>
        <v>To be reviewed in full. It is time for the M.G.E.N. Stop wasting the money of members in the advertising campaign and taking care of the well -being of his members who would then make him the best advertising.</v>
      </c>
    </row>
    <row r="511" ht="15.75" customHeight="1">
      <c r="A511" s="2">
        <v>5.0</v>
      </c>
      <c r="B511" s="2" t="s">
        <v>1517</v>
      </c>
      <c r="C511" s="2" t="s">
        <v>1518</v>
      </c>
      <c r="D511" s="2" t="s">
        <v>13</v>
      </c>
      <c r="E511" s="2" t="s">
        <v>14</v>
      </c>
      <c r="F511" s="2" t="s">
        <v>15</v>
      </c>
      <c r="G511" s="2" t="s">
        <v>741</v>
      </c>
      <c r="H511" s="2" t="s">
        <v>61</v>
      </c>
      <c r="I511" s="2" t="str">
        <f>IFERROR(__xludf.DUMMYFUNCTION("GOOGLETRANSLATE(C511,""fr"",""en"")"),"Very satisfied with the reception, fast and courteous service. Very competitive insurance. Very good quality of service. I will recommend direct insurance services")</f>
        <v>Very satisfied with the reception, fast and courteous service. Very competitive insurance. Very good quality of service. I will recommend direct insurance services</v>
      </c>
    </row>
    <row r="512" ht="15.75" customHeight="1">
      <c r="A512" s="2">
        <v>1.0</v>
      </c>
      <c r="B512" s="2" t="s">
        <v>1519</v>
      </c>
      <c r="C512" s="2" t="s">
        <v>1520</v>
      </c>
      <c r="D512" s="2" t="s">
        <v>330</v>
      </c>
      <c r="E512" s="2" t="s">
        <v>31</v>
      </c>
      <c r="F512" s="2" t="s">
        <v>15</v>
      </c>
      <c r="G512" s="2" t="s">
        <v>1031</v>
      </c>
      <c r="H512" s="2" t="s">
        <v>209</v>
      </c>
      <c r="I512" s="2" t="str">
        <f>IFERROR(__xludf.DUMMYFUNCTION("GOOGLETRANSLATE(C512,""fr"",""en"")"),"Interlocutors that are difficult to reachable and often with a paternalistic attitude. Slowness of the care of procedures, the second knife of the Social Security which always has a delay in the management of the problems of its customers. In addition, fo"&amp;"r certain steps, their digital platform is inexiqtent on the doctor side (EX ALD renewal) which causes monstrous deadlines in the management of diseases which generate sometimes very heavy treatments. If I was not a civil servant and forced to go through "&amp;"them I would gladly do without it, this is already the case for the mutual. Go your way!")</f>
        <v>Interlocutors that are difficult to reachable and often with a paternalistic attitude. Slowness of the care of procedures, the second knife of the Social Security which always has a delay in the management of the problems of its customers. In addition, for certain steps, their digital platform is inexiqtent on the doctor side (EX ALD renewal) which causes monstrous deadlines in the management of diseases which generate sometimes very heavy treatments. If I was not a civil servant and forced to go through them I would gladly do without it, this is already the case for the mutual. Go your way!</v>
      </c>
    </row>
    <row r="513" ht="15.75" customHeight="1">
      <c r="A513" s="2">
        <v>5.0</v>
      </c>
      <c r="B513" s="2" t="s">
        <v>1521</v>
      </c>
      <c r="C513" s="2" t="s">
        <v>1522</v>
      </c>
      <c r="D513" s="2" t="s">
        <v>13</v>
      </c>
      <c r="E513" s="2" t="s">
        <v>14</v>
      </c>
      <c r="F513" s="2" t="s">
        <v>15</v>
      </c>
      <c r="G513" s="2" t="s">
        <v>403</v>
      </c>
      <c r="H513" s="2" t="s">
        <v>42</v>
      </c>
      <c r="I513" s="2" t="str">
        <f>IFERROR(__xludf.DUMMYFUNCTION("GOOGLETRANSLATE(C513,""fr"",""en"")"),"Satisfaction The information is clear, and the positive customer relations, I will speak around me about your insurance and customer service guides us well in our efforts")</f>
        <v>Satisfaction The information is clear, and the positive customer relations, I will speak around me about your insurance and customer service guides us well in our efforts</v>
      </c>
    </row>
    <row r="514" ht="15.75" customHeight="1">
      <c r="A514" s="2">
        <v>2.0</v>
      </c>
      <c r="B514" s="2" t="s">
        <v>1523</v>
      </c>
      <c r="C514" s="2" t="s">
        <v>1524</v>
      </c>
      <c r="D514" s="2" t="s">
        <v>334</v>
      </c>
      <c r="E514" s="2" t="s">
        <v>31</v>
      </c>
      <c r="F514" s="2" t="s">
        <v>15</v>
      </c>
      <c r="G514" s="2" t="s">
        <v>613</v>
      </c>
      <c r="H514" s="2" t="s">
        <v>52</v>
      </c>
      <c r="I514" s="2" t="str">
        <f>IFERROR(__xludf.DUMMYFUNCTION("GOOGLETRANSLATE(C514,""fr"",""en"")"),"Lamia has shown patience and sweetness to explain to me access to the site that I had forgotten and especially my email prob (which persisted and which was not changed) is settled and I was well reassured.
My answers to the questions were given perfect"&amp;"ly
Thank you Lamia
goodbye")</f>
        <v>Lamia has shown patience and sweetness to explain to me access to the site that I had forgotten and especially my email prob (which persisted and which was not changed) is settled and I was well reassured.
My answers to the questions were given perfectly
Thank you Lamia
goodbye</v>
      </c>
    </row>
    <row r="515" ht="15.75" customHeight="1">
      <c r="A515" s="2">
        <v>4.0</v>
      </c>
      <c r="B515" s="2" t="s">
        <v>1525</v>
      </c>
      <c r="C515" s="2" t="s">
        <v>1526</v>
      </c>
      <c r="D515" s="2" t="s">
        <v>87</v>
      </c>
      <c r="E515" s="2" t="s">
        <v>14</v>
      </c>
      <c r="F515" s="2" t="s">
        <v>15</v>
      </c>
      <c r="G515" s="2" t="s">
        <v>1527</v>
      </c>
      <c r="H515" s="2" t="s">
        <v>282</v>
      </c>
      <c r="I515" s="2" t="str">
        <f>IFERROR(__xludf.DUMMYFUNCTION("GOOGLETRANSLATE(C515,""fr"",""en"")"),"Pleasant, kind and very helpful advisor. She answered all my questions and was able to advise me the right options.
Only negative point, the sponsorship not possible.")</f>
        <v>Pleasant, kind and very helpful advisor. She answered all my questions and was able to advise me the right options.
Only negative point, the sponsorship not possible.</v>
      </c>
    </row>
    <row r="516" ht="15.75" customHeight="1">
      <c r="A516" s="2">
        <v>5.0</v>
      </c>
      <c r="B516" s="2" t="s">
        <v>1528</v>
      </c>
      <c r="C516" s="2" t="s">
        <v>1529</v>
      </c>
      <c r="D516" s="2" t="s">
        <v>87</v>
      </c>
      <c r="E516" s="2" t="s">
        <v>14</v>
      </c>
      <c r="F516" s="2" t="s">
        <v>15</v>
      </c>
      <c r="G516" s="2" t="s">
        <v>872</v>
      </c>
      <c r="H516" s="2" t="s">
        <v>209</v>
      </c>
      <c r="I516" s="2" t="str">
        <f>IFERROR(__xludf.DUMMYFUNCTION("GOOGLETRANSLATE(C516,""fr"",""en"")"),"Following the different conversations I have had with different very friendly agents, the information that has been given to me is clear and satisfactory. I am glad.")</f>
        <v>Following the different conversations I have had with different very friendly agents, the information that has been given to me is clear and satisfactory. I am glad.</v>
      </c>
    </row>
    <row r="517" ht="15.75" customHeight="1">
      <c r="A517" s="2">
        <v>3.0</v>
      </c>
      <c r="B517" s="2" t="s">
        <v>1530</v>
      </c>
      <c r="C517" s="2" t="s">
        <v>1531</v>
      </c>
      <c r="D517" s="2" t="s">
        <v>13</v>
      </c>
      <c r="E517" s="2" t="s">
        <v>14</v>
      </c>
      <c r="F517" s="2" t="s">
        <v>15</v>
      </c>
      <c r="G517" s="2" t="s">
        <v>26</v>
      </c>
      <c r="H517" s="2" t="s">
        <v>27</v>
      </c>
      <c r="I517" s="2" t="str">
        <f>IFERROR(__xludf.DUMMYFUNCTION("GOOGLETRANSLATE(C517,""fr"",""en"")"),"IT bug difficult to accept in 2021 ...
I’m sending me an SMS to a bad number without any possibility of changing it. Makes the process long and tedious by overcount and bad user test a priori ... Too bad")</f>
        <v>IT bug difficult to accept in 2021 ...
I’m sending me an SMS to a bad number without any possibility of changing it. Makes the process long and tedious by overcount and bad user test a priori ... Too bad</v>
      </c>
    </row>
    <row r="518" ht="15.75" customHeight="1">
      <c r="A518" s="2">
        <v>5.0</v>
      </c>
      <c r="B518" s="2" t="s">
        <v>1532</v>
      </c>
      <c r="C518" s="2" t="s">
        <v>1533</v>
      </c>
      <c r="D518" s="2" t="s">
        <v>87</v>
      </c>
      <c r="E518" s="2" t="s">
        <v>14</v>
      </c>
      <c r="F518" s="2" t="s">
        <v>15</v>
      </c>
      <c r="G518" s="2" t="s">
        <v>945</v>
      </c>
      <c r="H518" s="2" t="s">
        <v>195</v>
      </c>
      <c r="I518" s="2" t="str">
        <f>IFERROR(__xludf.DUMMYFUNCTION("GOOGLETRANSLATE(C518,""fr"",""en"")"),"Very competitive price, simple procedures, acceptable telephone expectations, dynamic and understandable interlocutors. Clear and easy -to -use computer site. I recommend")</f>
        <v>Very competitive price, simple procedures, acceptable telephone expectations, dynamic and understandable interlocutors. Clear and easy -to -use computer site. I recommend</v>
      </c>
    </row>
    <row r="519" ht="15.75" customHeight="1">
      <c r="A519" s="2">
        <v>3.0</v>
      </c>
      <c r="B519" s="2" t="s">
        <v>1534</v>
      </c>
      <c r="C519" s="2" t="s">
        <v>1535</v>
      </c>
      <c r="D519" s="2" t="s">
        <v>13</v>
      </c>
      <c r="E519" s="2" t="s">
        <v>14</v>
      </c>
      <c r="F519" s="2" t="s">
        <v>15</v>
      </c>
      <c r="G519" s="2" t="s">
        <v>61</v>
      </c>
      <c r="H519" s="2" t="s">
        <v>61</v>
      </c>
      <c r="I519" s="2" t="str">
        <f>IFERROR(__xludf.DUMMYFUNCTION("GOOGLETRANSLATE(C519,""fr"",""en"")"),"Customer since 2017 and the invoice has only increased since ...
No loyalty advantage ... I had only 1 sinister relating to my para break since 2017. No accident or other annoying situation.
")</f>
        <v>Customer since 2017 and the invoice has only increased since ...
No loyalty advantage ... I had only 1 sinister relating to my para break since 2017. No accident or other annoying situation.
</v>
      </c>
    </row>
    <row r="520" ht="15.75" customHeight="1">
      <c r="A520" s="2">
        <v>3.0</v>
      </c>
      <c r="B520" s="2" t="s">
        <v>1536</v>
      </c>
      <c r="C520" s="2" t="s">
        <v>1537</v>
      </c>
      <c r="D520" s="2" t="s">
        <v>45</v>
      </c>
      <c r="E520" s="2" t="s">
        <v>55</v>
      </c>
      <c r="F520" s="2" t="s">
        <v>15</v>
      </c>
      <c r="G520" s="2" t="s">
        <v>1538</v>
      </c>
      <c r="H520" s="2" t="s">
        <v>493</v>
      </c>
      <c r="I520" s="2" t="str">
        <f>IFERROR(__xludf.DUMMYFUNCTION("GOOGLETRANSLATE(C520,""fr"",""en"")"),"Macif is certainly the worst insurance company on the market ...
The management of claims with damage to the waters is subcontracted by a telephone platform with incompetent personnel which gives you false information which in the end is detrimental to y"&amp;"ou.
Impossible to have an online manager.
Incomplete file
Double speech.
Loss of time and money.
To flee !!!!!!!")</f>
        <v>Macif is certainly the worst insurance company on the market ...
The management of claims with damage to the waters is subcontracted by a telephone platform with incompetent personnel which gives you false information which in the end is detrimental to you.
Impossible to have an online manager.
Incomplete file
Double speech.
Loss of time and money.
To flee !!!!!!!</v>
      </c>
    </row>
    <row r="521" ht="15.75" customHeight="1">
      <c r="A521" s="2">
        <v>3.0</v>
      </c>
      <c r="B521" s="2" t="s">
        <v>1539</v>
      </c>
      <c r="C521" s="2" t="s">
        <v>1540</v>
      </c>
      <c r="D521" s="2" t="s">
        <v>13</v>
      </c>
      <c r="E521" s="2" t="s">
        <v>14</v>
      </c>
      <c r="F521" s="2" t="s">
        <v>15</v>
      </c>
      <c r="G521" s="2" t="s">
        <v>1541</v>
      </c>
      <c r="H521" s="2" t="s">
        <v>190</v>
      </c>
      <c r="I521" s="2" t="str">
        <f>IFERROR(__xludf.DUMMYFUNCTION("GOOGLETRANSLATE(C521,""fr"",""en"")"),"Customer service being unreachable by phone and only works on the Internet via my personal space is really heartbreaking and not being able to chat with a person on French territory would be very useful.")</f>
        <v>Customer service being unreachable by phone and only works on the Internet via my personal space is really heartbreaking and not being able to chat with a person on French territory would be very useful.</v>
      </c>
    </row>
    <row r="522" ht="15.75" customHeight="1">
      <c r="A522" s="2">
        <v>4.0</v>
      </c>
      <c r="B522" s="2" t="s">
        <v>1542</v>
      </c>
      <c r="C522" s="2" t="s">
        <v>1543</v>
      </c>
      <c r="D522" s="2" t="s">
        <v>87</v>
      </c>
      <c r="E522" s="2" t="s">
        <v>14</v>
      </c>
      <c r="F522" s="2" t="s">
        <v>15</v>
      </c>
      <c r="G522" s="2" t="s">
        <v>1544</v>
      </c>
      <c r="H522" s="2" t="s">
        <v>209</v>
      </c>
      <c r="I522" s="2" t="str">
        <f>IFERROR(__xludf.DUMMYFUNCTION("GOOGLETRANSLATE(C522,""fr"",""en"")"),"My customer service interlocutor was very professional and kind. The prices of this insurance defy any competition but to be seen in the long term if the insurance meets our expectations.")</f>
        <v>My customer service interlocutor was very professional and kind. The prices of this insurance defy any competition but to be seen in the long term if the insurance meets our expectations.</v>
      </c>
    </row>
    <row r="523" ht="15.75" customHeight="1">
      <c r="A523" s="2">
        <v>1.0</v>
      </c>
      <c r="B523" s="2" t="s">
        <v>1545</v>
      </c>
      <c r="C523" s="2" t="s">
        <v>1546</v>
      </c>
      <c r="D523" s="2" t="s">
        <v>13</v>
      </c>
      <c r="E523" s="2" t="s">
        <v>14</v>
      </c>
      <c r="F523" s="2" t="s">
        <v>15</v>
      </c>
      <c r="G523" s="2" t="s">
        <v>1547</v>
      </c>
      <c r="H523" s="2" t="s">
        <v>94</v>
      </c>
      <c r="I523" s="2" t="str">
        <f>IFERROR(__xludf.DUMMYFUNCTION("GOOGLETRANSLATE(C523,""fr"",""en"")"),"Impossible to contact, I had to phone more than ten times before having a so -called advisor. When I finally had an interlocutor, it was more than unpleasant, useless and incompetent.")</f>
        <v>Impossible to contact, I had to phone more than ten times before having a so -called advisor. When I finally had an interlocutor, it was more than unpleasant, useless and incompetent.</v>
      </c>
    </row>
    <row r="524" ht="15.75" customHeight="1">
      <c r="A524" s="2">
        <v>4.0</v>
      </c>
      <c r="B524" s="2" t="s">
        <v>1548</v>
      </c>
      <c r="C524" s="2" t="s">
        <v>1549</v>
      </c>
      <c r="D524" s="2" t="s">
        <v>87</v>
      </c>
      <c r="E524" s="2" t="s">
        <v>14</v>
      </c>
      <c r="F524" s="2" t="s">
        <v>15</v>
      </c>
      <c r="G524" s="2" t="s">
        <v>42</v>
      </c>
      <c r="H524" s="2" t="s">
        <v>42</v>
      </c>
      <c r="I524" s="2" t="str">
        <f>IFERROR(__xludf.DUMMYFUNCTION("GOOGLETRANSLATE(C524,""fr"",""en"")"),"The prices are attractive and the site rather fun. I will recommend the olive tree for the next contracts. Besides, I think I switch my wife's with you")</f>
        <v>The prices are attractive and the site rather fun. I will recommend the olive tree for the next contracts. Besides, I think I switch my wife's with you</v>
      </c>
    </row>
    <row r="525" ht="15.75" customHeight="1">
      <c r="A525" s="2">
        <v>1.0</v>
      </c>
      <c r="B525" s="2" t="s">
        <v>1550</v>
      </c>
      <c r="C525" s="2" t="s">
        <v>1551</v>
      </c>
      <c r="D525" s="2" t="s">
        <v>277</v>
      </c>
      <c r="E525" s="2" t="s">
        <v>55</v>
      </c>
      <c r="F525" s="2" t="s">
        <v>15</v>
      </c>
      <c r="G525" s="2" t="s">
        <v>285</v>
      </c>
      <c r="H525" s="2" t="s">
        <v>103</v>
      </c>
      <c r="I525" s="2" t="str">
        <f>IFERROR(__xludf.DUMMYFUNCTION("GOOGLETRANSLATE(C525,""fr"",""en"")"),"Infiltration in my basement following leak on buried rainwater network. 1st file, there are 3 years and 2nd last year. Same expert mandated 2 years apart to find the flaw to refuse care. Customer service requested and as a solution, they propose that I do"&amp;" a counter expertise at my expense which will lead to a 3rd expertise (shared costs) ... deterrent method allowing them not to compensate")</f>
        <v>Infiltration in my basement following leak on buried rainwater network. 1st file, there are 3 years and 2nd last year. Same expert mandated 2 years apart to find the flaw to refuse care. Customer service requested and as a solution, they propose that I do a counter expertise at my expense which will lead to a 3rd expertise (shared costs) ... deterrent method allowing them not to compensate</v>
      </c>
    </row>
    <row r="526" ht="15.75" customHeight="1">
      <c r="A526" s="2">
        <v>1.0</v>
      </c>
      <c r="B526" s="2" t="s">
        <v>1552</v>
      </c>
      <c r="C526" s="2" t="s">
        <v>1553</v>
      </c>
      <c r="D526" s="2" t="s">
        <v>227</v>
      </c>
      <c r="E526" s="2" t="s">
        <v>55</v>
      </c>
      <c r="F526" s="2" t="s">
        <v>15</v>
      </c>
      <c r="G526" s="2" t="s">
        <v>1554</v>
      </c>
      <c r="H526" s="2" t="s">
        <v>400</v>
      </c>
      <c r="I526" s="2" t="str">
        <f>IFERROR(__xludf.DUMMYFUNCTION("GOOGLETRANSLATE(C526,""fr"",""en"")"),"Following the death of my mother, I terminated her home insurance. I had to pay fees because I had a 2 month (normal) payment delay. On the other hand, it has been more than 6 months since they have to reimburse me too perceived and there, it is an unname"&amp;"d galley. My advisor sends me back to the parent company, which does not respond. I had an exchange of emails (ten) with Dialogweb which always has the same answer: ""I relaunch the service concerned"", but nothing happens, no one is able to respond. I th"&amp;"ink all employees work in the litigation and invoicing service, but no one in customer service. A shame, there are no other words.")</f>
        <v>Following the death of my mother, I terminated her home insurance. I had to pay fees because I had a 2 month (normal) payment delay. On the other hand, it has been more than 6 months since they have to reimburse me too perceived and there, it is an unnamed galley. My advisor sends me back to the parent company, which does not respond. I had an exchange of emails (ten) with Dialogweb which always has the same answer: "I relaunch the service concerned", but nothing happens, no one is able to respond. I think all employees work in the litigation and invoicing service, but no one in customer service. A shame, there are no other words.</v>
      </c>
    </row>
    <row r="527" ht="15.75" customHeight="1">
      <c r="A527" s="2">
        <v>2.0</v>
      </c>
      <c r="B527" s="2" t="s">
        <v>1555</v>
      </c>
      <c r="C527" s="2" t="s">
        <v>1556</v>
      </c>
      <c r="D527" s="2" t="s">
        <v>245</v>
      </c>
      <c r="E527" s="2" t="s">
        <v>246</v>
      </c>
      <c r="F527" s="2" t="s">
        <v>15</v>
      </c>
      <c r="G527" s="2" t="s">
        <v>1557</v>
      </c>
      <c r="H527" s="2" t="s">
        <v>607</v>
      </c>
      <c r="I527" s="2" t="str">
        <f>IFERROR(__xludf.DUMMYFUNCTION("GOOGLETRANSLATE(C527,""fr"",""en"")"),"hello my opinion on this insurance prices are good my rest leaves for 3 years that I am home never send a treatment sheet I send a care sheet in 3 years and no answer 2 weeks later and the service Customer is not to answer me with assuropoil all goes well"&amp;" as soon as your dog goes to veterinaire is that the invoice mounted is that we need them there could be my note 2/10")</f>
        <v>hello my opinion on this insurance prices are good my rest leaves for 3 years that I am home never send a treatment sheet I send a care sheet in 3 years and no answer 2 weeks later and the service Customer is not to answer me with assuropoil all goes well as soon as your dog goes to veterinaire is that the invoice mounted is that we need them there could be my note 2/10</v>
      </c>
    </row>
    <row r="528" ht="15.75" customHeight="1">
      <c r="A528" s="2">
        <v>5.0</v>
      </c>
      <c r="B528" s="2" t="s">
        <v>1558</v>
      </c>
      <c r="C528" s="2" t="s">
        <v>1559</v>
      </c>
      <c r="D528" s="2" t="s">
        <v>92</v>
      </c>
      <c r="E528" s="2" t="s">
        <v>31</v>
      </c>
      <c r="F528" s="2" t="s">
        <v>15</v>
      </c>
      <c r="G528" s="2" t="s">
        <v>1560</v>
      </c>
      <c r="H528" s="2" t="s">
        <v>169</v>
      </c>
      <c r="I528" s="2" t="str">
        <f>IFERROR(__xludf.DUMMYFUNCTION("GOOGLETRANSLATE(C528,""fr"",""en"")"),"Perfect welcome
Detail services and services 10/10
Easy availability and contacts
I go from 182 € to 141 € !!!
In my opinion one of the best if not the best. I hope there will be no price increase for 2022.
Cheer!!! Continue ...")</f>
        <v>Perfect welcome
Detail services and services 10/10
Easy availability and contacts
I go from 182 € to 141 € !!!
In my opinion one of the best if not the best. I hope there will be no price increase for 2022.
Cheer!!! Continue ...</v>
      </c>
    </row>
    <row r="529" ht="15.75" customHeight="1">
      <c r="A529" s="2">
        <v>2.0</v>
      </c>
      <c r="B529" s="2" t="s">
        <v>1357</v>
      </c>
      <c r="C529" s="2" t="s">
        <v>1561</v>
      </c>
      <c r="D529" s="2" t="s">
        <v>334</v>
      </c>
      <c r="E529" s="2" t="s">
        <v>31</v>
      </c>
      <c r="F529" s="2" t="s">
        <v>15</v>
      </c>
      <c r="G529" s="2" t="s">
        <v>1076</v>
      </c>
      <c r="H529" s="2" t="s">
        <v>433</v>
      </c>
      <c r="I529" s="2" t="str">
        <f>IFERROR(__xludf.DUMMYFUNCTION("GOOGLETRANSLATE(C529,""fr"",""en"")"),"Hello I confirm it is a mutual to flee I regret a lot I subscribed in early June and since I no longer sleep there is no fact reimbursement of social security does not reimburse but the mutual does not reimburse when they are called They do not know how t"&amp;"o give us a concrete concrete answer so I strongly advise you not to adhere to this mutual")</f>
        <v>Hello I confirm it is a mutual to flee I regret a lot I subscribed in early June and since I no longer sleep there is no fact reimbursement of social security does not reimburse but the mutual does not reimburse when they are called They do not know how to give us a concrete concrete answer so I strongly advise you not to adhere to this mutual</v>
      </c>
    </row>
    <row r="530" ht="15.75" customHeight="1">
      <c r="A530" s="2">
        <v>3.0</v>
      </c>
      <c r="B530" s="2" t="s">
        <v>1562</v>
      </c>
      <c r="C530" s="2" t="s">
        <v>1563</v>
      </c>
      <c r="D530" s="2" t="s">
        <v>13</v>
      </c>
      <c r="E530" s="2" t="s">
        <v>14</v>
      </c>
      <c r="F530" s="2" t="s">
        <v>15</v>
      </c>
      <c r="G530" s="2" t="s">
        <v>1473</v>
      </c>
      <c r="H530" s="2" t="s">
        <v>248</v>
      </c>
      <c r="I530" s="2" t="str">
        <f>IFERROR(__xludf.DUMMYFUNCTION("GOOGLETRANSLATE(C530,""fr"",""en"")"),"The explanations are clear and precise. The profile assessment is fast and effective !! L The terms of the contract are simple and I appreciate this approach online.")</f>
        <v>The explanations are clear and precise. The profile assessment is fast and effective !! L The terms of the contract are simple and I appreciate this approach online.</v>
      </c>
    </row>
    <row r="531" ht="15.75" customHeight="1">
      <c r="A531" s="2">
        <v>5.0</v>
      </c>
      <c r="B531" s="2" t="s">
        <v>1564</v>
      </c>
      <c r="C531" s="2" t="s">
        <v>1565</v>
      </c>
      <c r="D531" s="2" t="s">
        <v>13</v>
      </c>
      <c r="E531" s="2" t="s">
        <v>14</v>
      </c>
      <c r="F531" s="2" t="s">
        <v>15</v>
      </c>
      <c r="G531" s="2" t="s">
        <v>1184</v>
      </c>
      <c r="H531" s="2" t="s">
        <v>52</v>
      </c>
      <c r="I531" s="2" t="str">
        <f>IFERROR(__xludf.DUMMYFUNCTION("GOOGLETRANSLATE(C531,""fr"",""en"")"),"Very satisfied what is price level that level protection I think to have my second vehicle inside here can be a air conditioning 4 all risk")</f>
        <v>Very satisfied what is price level that level protection I think to have my second vehicle inside here can be a air conditioning 4 all risk</v>
      </c>
    </row>
    <row r="532" ht="15.75" customHeight="1">
      <c r="A532" s="2">
        <v>4.0</v>
      </c>
      <c r="B532" s="2" t="s">
        <v>1566</v>
      </c>
      <c r="C532" s="2" t="s">
        <v>1567</v>
      </c>
      <c r="D532" s="2" t="s">
        <v>87</v>
      </c>
      <c r="E532" s="2" t="s">
        <v>14</v>
      </c>
      <c r="F532" s="2" t="s">
        <v>15</v>
      </c>
      <c r="G532" s="2" t="s">
        <v>839</v>
      </c>
      <c r="H532" s="2" t="s">
        <v>110</v>
      </c>
      <c r="I532" s="2" t="str">
        <f>IFERROR(__xludf.DUMMYFUNCTION("GOOGLETRANSLATE(C532,""fr"",""en"")"),"I hesitated between you and direct insurance. What made me lean was your prices and advice by phone. At Direct, they are not very pleasant.
The prices are really very attractive but a pity that it does not excavate the option ""Zero franchise"" for broke"&amp;"n ice.")</f>
        <v>I hesitated between you and direct insurance. What made me lean was your prices and advice by phone. At Direct, they are not very pleasant.
The prices are really very attractive but a pity that it does not excavate the option "Zero franchise" for broken ice.</v>
      </c>
    </row>
    <row r="533" ht="15.75" customHeight="1">
      <c r="A533" s="2">
        <v>4.0</v>
      </c>
      <c r="B533" s="2" t="s">
        <v>1568</v>
      </c>
      <c r="C533" s="2" t="s">
        <v>1569</v>
      </c>
      <c r="D533" s="2" t="s">
        <v>87</v>
      </c>
      <c r="E533" s="2" t="s">
        <v>14</v>
      </c>
      <c r="F533" s="2" t="s">
        <v>15</v>
      </c>
      <c r="G533" s="2" t="s">
        <v>1570</v>
      </c>
      <c r="H533" s="2" t="s">
        <v>169</v>
      </c>
      <c r="I533" s="2" t="str">
        <f>IFERROR(__xludf.DUMMYFUNCTION("GOOGLETRANSLATE(C533,""fr"",""en"")"),"I am satisfied with the service and the speed of management of my request. I recommend.
The prices are affordable, I will see in time if it continues. For a start I am very happy")</f>
        <v>I am satisfied with the service and the speed of management of my request. I recommend.
The prices are affordable, I will see in time if it continues. For a start I am very happy</v>
      </c>
    </row>
    <row r="534" ht="15.75" customHeight="1">
      <c r="A534" s="2">
        <v>1.0</v>
      </c>
      <c r="B534" s="2" t="s">
        <v>1571</v>
      </c>
      <c r="C534" s="2" t="s">
        <v>1572</v>
      </c>
      <c r="D534" s="2" t="s">
        <v>237</v>
      </c>
      <c r="E534" s="2" t="s">
        <v>21</v>
      </c>
      <c r="F534" s="2" t="s">
        <v>15</v>
      </c>
      <c r="G534" s="2" t="s">
        <v>1573</v>
      </c>
      <c r="H534" s="2" t="s">
        <v>408</v>
      </c>
      <c r="I534" s="2" t="str">
        <f>IFERROR(__xludf.DUMMYFUNCTION("GOOGLETRANSLATE(C534,""fr"",""en"")"),"I have been any customer from AXA for many years. No accident or incident since obtaining my license in 1996. Insurance was imposed on me only under legality.
Last year, a non -responsible traffic accident generated 100 days of ITT and greatly complicate"&amp;"d my financial situation.
But psychologically, the most difficult was to face the AXA body compensation service where everything is done to despair: information retention, bad faith, mockery, etc ...
In the case of a bodily file, I advise you to assist "&amp;"a lawyer from the start of the file, which will prevent you from being confronted with so much stupidity and dishonesty.
No progress of the file is transmitted, it is systematically I who forced the information. Emails that have remained unanswered. When"&amp;" I dared to make reminders on deadlines supervised by Badinter law, I have been laughing at the nose. We are 16 months from the accident and payment is still long in coming.
Last week, I reminded the person struggling with my file that I was surprised no"&amp;"t to have received compensation or response to my emails requesting confirmation of the smooth running of payment. Alas for me, she took note at the moment of my emails sent 15 days earlier and announced that she ""thought"" that I disputed the offer conc"&amp;"luded a month ago and whose withdrawal period by recommended was widely exceeded ....
In short, do not expect any support even as a victim from this insurance because their villainous behavior will disconcert you.
And I was going to forget, my vehicle"&amp;" was never restored.
In view of the absence of a state of mind, consideration and skills, the AXA group should also open a banking establishment.
")</f>
        <v>I have been any customer from AXA for many years. No accident or incident since obtaining my license in 1996. Insurance was imposed on me only under legality.
Last year, a non -responsible traffic accident generated 100 days of ITT and greatly complicated my financial situation.
But psychologically, the most difficult was to face the AXA body compensation service where everything is done to despair: information retention, bad faith, mockery, etc ...
In the case of a bodily file, I advise you to assist a lawyer from the start of the file, which will prevent you from being confronted with so much stupidity and dishonesty.
No progress of the file is transmitted, it is systematically I who forced the information. Emails that have remained unanswered. When I dared to make reminders on deadlines supervised by Badinter law, I have been laughing at the nose. We are 16 months from the accident and payment is still long in coming.
Last week, I reminded the person struggling with my file that I was surprised not to have received compensation or response to my emails requesting confirmation of the smooth running of payment. Alas for me, she took note at the moment of my emails sent 15 days earlier and announced that she "thought" that I disputed the offer concluded a month ago and whose withdrawal period by recommended was widely exceeded ....
In short, do not expect any support even as a victim from this insurance because their villainous behavior will disconcert you.
And I was going to forget, my vehicle was never restored.
In view of the absence of a state of mind, consideration and skills, the AXA group should also open a banking establishment.
</v>
      </c>
    </row>
    <row r="535" ht="15.75" customHeight="1">
      <c r="A535" s="2">
        <v>4.0</v>
      </c>
      <c r="B535" s="2" t="s">
        <v>1574</v>
      </c>
      <c r="C535" s="2" t="s">
        <v>1575</v>
      </c>
      <c r="D535" s="2" t="s">
        <v>13</v>
      </c>
      <c r="E535" s="2" t="s">
        <v>14</v>
      </c>
      <c r="F535" s="2" t="s">
        <v>15</v>
      </c>
      <c r="G535" s="2" t="s">
        <v>278</v>
      </c>
      <c r="H535" s="2" t="s">
        <v>52</v>
      </c>
      <c r="I535" s="2" t="str">
        <f>IFERROR(__xludf.DUMMYFUNCTION("GOOGLETRANSLATE(C535,""fr"",""en"")"),"I just subscribed, we will see in time ...
Correct price,
Simplicity to subscribe
downside on the non -existent withdrawal period with online subscription")</f>
        <v>I just subscribed, we will see in time ...
Correct price,
Simplicity to subscribe
downside on the non -existent withdrawal period with online subscription</v>
      </c>
    </row>
    <row r="536" ht="15.75" customHeight="1">
      <c r="A536" s="2">
        <v>5.0</v>
      </c>
      <c r="B536" s="2" t="s">
        <v>1576</v>
      </c>
      <c r="C536" s="2" t="s">
        <v>1577</v>
      </c>
      <c r="D536" s="2" t="s">
        <v>87</v>
      </c>
      <c r="E536" s="2" t="s">
        <v>14</v>
      </c>
      <c r="F536" s="2" t="s">
        <v>15</v>
      </c>
      <c r="G536" s="2" t="s">
        <v>1578</v>
      </c>
      <c r="H536" s="2" t="s">
        <v>861</v>
      </c>
      <c r="I536" s="2" t="str">
        <f>IFERROR(__xludf.DUMMYFUNCTION("GOOGLETRANSLATE(C536,""fr"",""en"")"),"Nothing in particular. I am very satisfied with the service rendered")</f>
        <v>Nothing in particular. I am very satisfied with the service rendered</v>
      </c>
    </row>
    <row r="537" ht="15.75" customHeight="1">
      <c r="A537" s="2">
        <v>2.0</v>
      </c>
      <c r="B537" s="2" t="s">
        <v>1579</v>
      </c>
      <c r="C537" s="2" t="s">
        <v>1580</v>
      </c>
      <c r="D537" s="2" t="s">
        <v>13</v>
      </c>
      <c r="E537" s="2" t="s">
        <v>14</v>
      </c>
      <c r="F537" s="2" t="s">
        <v>15</v>
      </c>
      <c r="G537" s="2" t="s">
        <v>1132</v>
      </c>
      <c r="H537" s="2" t="s">
        <v>27</v>
      </c>
      <c r="I537" s="2" t="str">
        <f>IFERROR(__xludf.DUMMYFUNCTION("GOOGLETRANSLATE(C537,""fr"",""en"")"),"NO. Above all, don't have a claim. !! Between incompetent experts (my Volvo dealer was catastrophe !!) and stopped managers .... what happiness !!")</f>
        <v>NO. Above all, don't have a claim. !! Between incompetent experts (my Volvo dealer was catastrophe !!) and stopped managers .... what happiness !!</v>
      </c>
    </row>
    <row r="538" ht="15.75" customHeight="1">
      <c r="A538" s="2">
        <v>1.0</v>
      </c>
      <c r="B538" s="2" t="s">
        <v>1581</v>
      </c>
      <c r="C538" s="2" t="s">
        <v>1582</v>
      </c>
      <c r="D538" s="2" t="s">
        <v>79</v>
      </c>
      <c r="E538" s="2" t="s">
        <v>14</v>
      </c>
      <c r="F538" s="2" t="s">
        <v>15</v>
      </c>
      <c r="G538" s="2" t="s">
        <v>1583</v>
      </c>
      <c r="H538" s="2" t="s">
        <v>312</v>
      </c>
      <c r="I538" s="2" t="str">
        <f>IFERROR(__xludf.DUMMYFUNCTION("GOOGLETRANSLATE(C538,""fr"",""en"")"),"Vigilance vigilance
This insurance is not serious. They brought you with the quotes, take you 218.40 at the opening. They send you the insurance certificate and then 3 weeks after they say to you to refuse you and invoice you 60 euros in the fees of the "&amp;"fees and 60 euros in termination fees. They block your access to your account and then you can no longer do anything and get in touch with them.")</f>
        <v>Vigilance vigilance
This insurance is not serious. They brought you with the quotes, take you 218.40 at the opening. They send you the insurance certificate and then 3 weeks after they say to you to refuse you and invoice you 60 euros in the fees of the fees and 60 euros in termination fees. They block your access to your account and then you can no longer do anything and get in touch with them.</v>
      </c>
    </row>
    <row r="539" ht="15.75" customHeight="1">
      <c r="A539" s="2">
        <v>3.0</v>
      </c>
      <c r="B539" s="2" t="s">
        <v>1584</v>
      </c>
      <c r="C539" s="2" t="s">
        <v>1585</v>
      </c>
      <c r="D539" s="2" t="s">
        <v>87</v>
      </c>
      <c r="E539" s="2" t="s">
        <v>14</v>
      </c>
      <c r="F539" s="2" t="s">
        <v>15</v>
      </c>
      <c r="G539" s="2" t="s">
        <v>1586</v>
      </c>
      <c r="H539" s="2" t="s">
        <v>209</v>
      </c>
      <c r="I539" s="2" t="str">
        <f>IFERROR(__xludf.DUMMYFUNCTION("GOOGLETRANSLATE(C539,""fr"",""en"")"),"I am satisfied with the price as well as the available packs.
I surely plan to ensure my scooter at home also, I hope you have good after -sales service thank you very much your site is fast and reliable.")</f>
        <v>I am satisfied with the price as well as the available packs.
I surely plan to ensure my scooter at home also, I hope you have good after -sales service thank you very much your site is fast and reliable.</v>
      </c>
    </row>
    <row r="540" ht="15.75" customHeight="1">
      <c r="A540" s="2">
        <v>5.0</v>
      </c>
      <c r="B540" s="2" t="s">
        <v>1587</v>
      </c>
      <c r="C540" s="2" t="s">
        <v>1588</v>
      </c>
      <c r="D540" s="2" t="s">
        <v>74</v>
      </c>
      <c r="E540" s="2" t="s">
        <v>14</v>
      </c>
      <c r="F540" s="2" t="s">
        <v>15</v>
      </c>
      <c r="G540" s="2" t="s">
        <v>1495</v>
      </c>
      <c r="H540" s="2" t="s">
        <v>209</v>
      </c>
      <c r="I540" s="2" t="str">
        <f>IFERROR(__xludf.DUMMYFUNCTION("GOOGLETRANSLATE(C540,""fr"",""en"")"),"value for money nothing to report
As usual we are always well advised well to help and very practical the application and very easy to use.")</f>
        <v>value for money nothing to report
As usual we are always well advised well to help and very practical the application and very easy to use.</v>
      </c>
    </row>
    <row r="541" ht="15.75" customHeight="1">
      <c r="A541" s="2">
        <v>5.0</v>
      </c>
      <c r="B541" s="2" t="s">
        <v>1589</v>
      </c>
      <c r="C541" s="2" t="s">
        <v>1590</v>
      </c>
      <c r="D541" s="2" t="s">
        <v>13</v>
      </c>
      <c r="E541" s="2" t="s">
        <v>14</v>
      </c>
      <c r="F541" s="2" t="s">
        <v>15</v>
      </c>
      <c r="G541" s="2" t="s">
        <v>60</v>
      </c>
      <c r="H541" s="2" t="s">
        <v>61</v>
      </c>
      <c r="I541" s="2" t="str">
        <f>IFERROR(__xludf.DUMMYFUNCTION("GOOGLETRANSLATE(C541,""fr"",""en"")"),"I am satisfied with the service The price is correct and fast service and I don't know what to add I would be more after having changed my windshield")</f>
        <v>I am satisfied with the service The price is correct and fast service and I don't know what to add I would be more after having changed my windshield</v>
      </c>
    </row>
    <row r="542" ht="15.75" customHeight="1">
      <c r="A542" s="2">
        <v>1.0</v>
      </c>
      <c r="B542" s="2" t="s">
        <v>1591</v>
      </c>
      <c r="C542" s="2" t="s">
        <v>1592</v>
      </c>
      <c r="D542" s="2" t="s">
        <v>948</v>
      </c>
      <c r="E542" s="2" t="s">
        <v>288</v>
      </c>
      <c r="F542" s="2" t="s">
        <v>15</v>
      </c>
      <c r="G542" s="2" t="s">
        <v>1593</v>
      </c>
      <c r="H542" s="2" t="s">
        <v>400</v>
      </c>
      <c r="I542" s="2" t="str">
        <f>IFERROR(__xludf.DUMMYFUNCTION("GOOGLETRANSLATE(C542,""fr"",""en"")"),"No recommended letters enamel and always understood nothing on their part it is withdrawals that I authorized on this new CCP it was done in January then in April with the documents and nothing if a liabilitation default claim")</f>
        <v>No recommended letters enamel and always understood nothing on their part it is withdrawals that I authorized on this new CCP it was done in January then in April with the documents and nothing if a liabilitation default claim</v>
      </c>
    </row>
    <row r="543" ht="15.75" customHeight="1">
      <c r="A543" s="2">
        <v>4.0</v>
      </c>
      <c r="B543" s="2" t="s">
        <v>1594</v>
      </c>
      <c r="C543" s="2" t="s">
        <v>1595</v>
      </c>
      <c r="D543" s="2" t="s">
        <v>13</v>
      </c>
      <c r="E543" s="2" t="s">
        <v>14</v>
      </c>
      <c r="F543" s="2" t="s">
        <v>15</v>
      </c>
      <c r="G543" s="2" t="s">
        <v>1596</v>
      </c>
      <c r="H543" s="2" t="s">
        <v>42</v>
      </c>
      <c r="I543" s="2" t="str">
        <f>IFERROR(__xludf.DUMMYFUNCTION("GOOGLETRANSLATE(C543,""fr"",""en"")"),"Lea price suits me fast and efficient! I am already at Direct Assurance Pr A first car I continue so much I had no bp with them pr le mmt!")</f>
        <v>Lea price suits me fast and efficient! I am already at Direct Assurance Pr A first car I continue so much I had no bp with them pr le mmt!</v>
      </c>
    </row>
    <row r="544" ht="15.75" customHeight="1">
      <c r="A544" s="2">
        <v>5.0</v>
      </c>
      <c r="B544" s="2" t="s">
        <v>1597</v>
      </c>
      <c r="C544" s="2" t="s">
        <v>1598</v>
      </c>
      <c r="D544" s="2" t="s">
        <v>70</v>
      </c>
      <c r="E544" s="2" t="s">
        <v>31</v>
      </c>
      <c r="F544" s="2" t="s">
        <v>15</v>
      </c>
      <c r="G544" s="2" t="s">
        <v>1599</v>
      </c>
      <c r="H544" s="2" t="s">
        <v>493</v>
      </c>
      <c r="I544" s="2" t="str">
        <f>IFERROR(__xludf.DUMMYFUNCTION("GOOGLETRANSLATE(C544,""fr"",""en"")"),"Good insurance, on my part I am very happy with the Mutual Néoliane, reasonable prices compared to other mutuals! To recommend")</f>
        <v>Good insurance, on my part I am very happy with the Mutual Néoliane, reasonable prices compared to other mutuals! To recommend</v>
      </c>
    </row>
    <row r="545" ht="15.75" customHeight="1">
      <c r="A545" s="2">
        <v>3.0</v>
      </c>
      <c r="B545" s="2" t="s">
        <v>1600</v>
      </c>
      <c r="C545" s="2" t="s">
        <v>1601</v>
      </c>
      <c r="D545" s="2" t="s">
        <v>74</v>
      </c>
      <c r="E545" s="2" t="s">
        <v>14</v>
      </c>
      <c r="F545" s="2" t="s">
        <v>15</v>
      </c>
      <c r="G545" s="2" t="s">
        <v>854</v>
      </c>
      <c r="H545" s="2" t="s">
        <v>473</v>
      </c>
      <c r="I545" s="2" t="str">
        <f>IFERROR(__xludf.DUMMYFUNCTION("GOOGLETRANSLATE(C545,""fr"",""en"")"),"Customer for + 25 years with 2 car insurance 1 home insurance 1 accident and family insurance and having set out only 2 very slight car accidents for 10 years (person who hangs your vehicle when leaving the parking lot without leaving an address) did not "&amp;"have a commercial gesture on one of the contributions.
")</f>
        <v>Customer for + 25 years with 2 car insurance 1 home insurance 1 accident and family insurance and having set out only 2 very slight car accidents for 10 years (person who hangs your vehicle when leaving the parking lot without leaving an address) did not have a commercial gesture on one of the contributions.
</v>
      </c>
    </row>
    <row r="546" ht="15.75" customHeight="1">
      <c r="A546" s="2">
        <v>1.0</v>
      </c>
      <c r="B546" s="2" t="s">
        <v>1602</v>
      </c>
      <c r="C546" s="2" t="s">
        <v>1603</v>
      </c>
      <c r="D546" s="2" t="s">
        <v>13</v>
      </c>
      <c r="E546" s="2" t="s">
        <v>14</v>
      </c>
      <c r="F546" s="2" t="s">
        <v>15</v>
      </c>
      <c r="G546" s="2" t="s">
        <v>1255</v>
      </c>
      <c r="H546" s="2" t="s">
        <v>94</v>
      </c>
      <c r="I546" s="2" t="str">
        <f>IFERROR(__xludf.DUMMYFUNCTION("GOOGLETRANSLATE(C546,""fr"",""en"")"),"A year at home and disappointed with customer service who does not hold their words and leaves me with a big problem !!! So I find myself without insurance with my new vehicle and what is said by customer service is not logical and each person on the phon"&amp;"e is against it! No results at the end !!!")</f>
        <v>A year at home and disappointed with customer service who does not hold their words and leaves me with a big problem !!! So I find myself without insurance with my new vehicle and what is said by customer service is not logical and each person on the phone is against it! No results at the end !!!</v>
      </c>
    </row>
    <row r="547" ht="15.75" customHeight="1">
      <c r="A547" s="2">
        <v>1.0</v>
      </c>
      <c r="B547" s="2" t="s">
        <v>1604</v>
      </c>
      <c r="C547" s="2" t="s">
        <v>1605</v>
      </c>
      <c r="D547" s="2" t="s">
        <v>87</v>
      </c>
      <c r="E547" s="2" t="s">
        <v>14</v>
      </c>
      <c r="F547" s="2" t="s">
        <v>15</v>
      </c>
      <c r="G547" s="2" t="s">
        <v>1606</v>
      </c>
      <c r="H547" s="2" t="s">
        <v>17</v>
      </c>
      <c r="I547" s="2" t="str">
        <f>IFERROR(__xludf.DUMMYFUNCTION("GOOGLETRANSLATE(C547,""fr"",""en"")"),"The insurance olive tree manages the claims very badly to avoid
I had a non -responsible accident and I paid the franchise !!!!! To repair my car")</f>
        <v>The insurance olive tree manages the claims very badly to avoid
I had a non -responsible accident and I paid the franchise !!!!! To repair my car</v>
      </c>
    </row>
    <row r="548" ht="15.75" customHeight="1">
      <c r="A548" s="2">
        <v>5.0</v>
      </c>
      <c r="B548" s="2" t="s">
        <v>1607</v>
      </c>
      <c r="C548" s="2" t="s">
        <v>1608</v>
      </c>
      <c r="D548" s="2" t="s">
        <v>87</v>
      </c>
      <c r="E548" s="2" t="s">
        <v>14</v>
      </c>
      <c r="F548" s="2" t="s">
        <v>15</v>
      </c>
      <c r="G548" s="2" t="s">
        <v>1609</v>
      </c>
      <c r="H548" s="2" t="s">
        <v>103</v>
      </c>
      <c r="I548" s="2" t="str">
        <f>IFERROR(__xludf.DUMMYFUNCTION("GOOGLETRANSLATE(C548,""fr"",""en"")"),"Nothing to say for the moment, very well received by phone with advisers of a kindness. 4 vehicles insured with them and everything went perfectly with the announced price.")</f>
        <v>Nothing to say for the moment, very well received by phone with advisers of a kindness. 4 vehicles insured with them and everything went perfectly with the announced price.</v>
      </c>
    </row>
    <row r="549" ht="15.75" customHeight="1">
      <c r="A549" s="2">
        <v>1.0</v>
      </c>
      <c r="B549" s="2" t="s">
        <v>1610</v>
      </c>
      <c r="C549" s="2" t="s">
        <v>1611</v>
      </c>
      <c r="D549" s="2" t="s">
        <v>45</v>
      </c>
      <c r="E549" s="2" t="s">
        <v>14</v>
      </c>
      <c r="F549" s="2" t="s">
        <v>15</v>
      </c>
      <c r="G549" s="2" t="s">
        <v>1612</v>
      </c>
      <c r="H549" s="2" t="s">
        <v>52</v>
      </c>
      <c r="I549" s="2" t="str">
        <f>IFERROR(__xludf.DUMMYFUNCTION("GOOGLETRANSLATE(C549,""fr"",""en"")"),"Customer for 25 years (car and home) I only had two claims. Both refused because not saying in the contract. I had to dispute to obtain a care of the first, and it will be necessary to do the same for the second. Cher insurance and customer service and ju"&amp;"st there to sell. Go your way, low cost will not be worse.")</f>
        <v>Customer for 25 years (car and home) I only had two claims. Both refused because not saying in the contract. I had to dispute to obtain a care of the first, and it will be necessary to do the same for the second. Cher insurance and customer service and just there to sell. Go your way, low cost will not be worse.</v>
      </c>
    </row>
    <row r="550" ht="15.75" customHeight="1">
      <c r="A550" s="2">
        <v>1.0</v>
      </c>
      <c r="B550" s="2" t="s">
        <v>1613</v>
      </c>
      <c r="C550" s="2" t="s">
        <v>1614</v>
      </c>
      <c r="D550" s="2" t="s">
        <v>120</v>
      </c>
      <c r="E550" s="2" t="s">
        <v>14</v>
      </c>
      <c r="F550" s="2" t="s">
        <v>15</v>
      </c>
      <c r="G550" s="2" t="s">
        <v>1615</v>
      </c>
      <c r="H550" s="2" t="s">
        <v>776</v>
      </c>
      <c r="I550" s="2" t="str">
        <f>IFERROR(__xludf.DUMMYFUNCTION("GOOGLETRANSLATE(C550,""fr"",""en"")"),"I have been riding without insurance certificate for fifteen days, inadmissible to campaign for road prevention, while stress is generating psychological and physical disturbance and more behind the wheel. Panic fear of finding myself verbalized while my "&amp;"only offense is to have an insurer not conscientious")</f>
        <v>I have been riding without insurance certificate for fifteen days, inadmissible to campaign for road prevention, while stress is generating psychological and physical disturbance and more behind the wheel. Panic fear of finding myself verbalized while my only offense is to have an insurer not conscientious</v>
      </c>
    </row>
    <row r="551" ht="15.75" customHeight="1">
      <c r="A551" s="2">
        <v>2.0</v>
      </c>
      <c r="B551" s="2" t="s">
        <v>1616</v>
      </c>
      <c r="C551" s="2" t="s">
        <v>1617</v>
      </c>
      <c r="D551" s="2" t="s">
        <v>201</v>
      </c>
      <c r="E551" s="2" t="s">
        <v>21</v>
      </c>
      <c r="F551" s="2" t="s">
        <v>15</v>
      </c>
      <c r="G551" s="2" t="s">
        <v>1618</v>
      </c>
      <c r="H551" s="2" t="s">
        <v>158</v>
      </c>
      <c r="I551" s="2" t="str">
        <f>IFERROR(__xludf.DUMMYFUNCTION("GOOGLETRANSLATE(C551,""fr"",""en"")"),"RAS price and customer relationship level! On the other hand beware of the claim. A heavy weight struck me on a motorcycle. Throughout the procedure I was assured that I could not be 100%responsible. Yet it happened .... insurer to avoid urgently !!")</f>
        <v>RAS price and customer relationship level! On the other hand beware of the claim. A heavy weight struck me on a motorcycle. Throughout the procedure I was assured that I could not be 100%responsible. Yet it happened .... insurer to avoid urgently !!</v>
      </c>
    </row>
    <row r="552" ht="15.75" customHeight="1">
      <c r="A552" s="2">
        <v>3.0</v>
      </c>
      <c r="B552" s="2" t="s">
        <v>1619</v>
      </c>
      <c r="C552" s="2" t="s">
        <v>1620</v>
      </c>
      <c r="D552" s="2" t="s">
        <v>13</v>
      </c>
      <c r="E552" s="2" t="s">
        <v>14</v>
      </c>
      <c r="F552" s="2" t="s">
        <v>15</v>
      </c>
      <c r="G552" s="2" t="s">
        <v>550</v>
      </c>
      <c r="H552" s="2" t="s">
        <v>42</v>
      </c>
      <c r="I552" s="2" t="str">
        <f>IFERROR(__xludf.DUMMYFUNCTION("GOOGLETRANSLATE(C552,""fr"",""en"")"),"The price suits me, I hope I would find satisfaction after my contract.
Really hoping in case of concerns my insurance will intervene")</f>
        <v>The price suits me, I hope I would find satisfaction after my contract.
Really hoping in case of concerns my insurance will intervene</v>
      </c>
    </row>
    <row r="553" ht="15.75" customHeight="1">
      <c r="A553" s="2">
        <v>3.0</v>
      </c>
      <c r="B553" s="2" t="s">
        <v>1621</v>
      </c>
      <c r="C553" s="2" t="s">
        <v>1622</v>
      </c>
      <c r="D553" s="2" t="s">
        <v>13</v>
      </c>
      <c r="E553" s="2" t="s">
        <v>14</v>
      </c>
      <c r="F553" s="2" t="s">
        <v>15</v>
      </c>
      <c r="G553" s="2" t="s">
        <v>61</v>
      </c>
      <c r="H553" s="2" t="s">
        <v>61</v>
      </c>
      <c r="I553" s="2" t="str">
        <f>IFERROR(__xludf.DUMMYFUNCTION("GOOGLETRANSLATE(C553,""fr"",""en"")"),"I am satisfied with the quick service advantageous conditions I hope that of the same if I have an accident I do not wish it and if the serevice after sale will be as effective")</f>
        <v>I am satisfied with the quick service advantageous conditions I hope that of the same if I have an accident I do not wish it and if the serevice after sale will be as effective</v>
      </c>
    </row>
    <row r="554" ht="15.75" customHeight="1">
      <c r="A554" s="2">
        <v>1.0</v>
      </c>
      <c r="B554" s="2" t="s">
        <v>1623</v>
      </c>
      <c r="C554" s="2" t="s">
        <v>1624</v>
      </c>
      <c r="D554" s="2" t="s">
        <v>64</v>
      </c>
      <c r="E554" s="2" t="s">
        <v>31</v>
      </c>
      <c r="F554" s="2" t="s">
        <v>15</v>
      </c>
      <c r="G554" s="2" t="s">
        <v>1625</v>
      </c>
      <c r="H554" s="2" t="s">
        <v>234</v>
      </c>
      <c r="I554" s="2" t="str">
        <f>IFERROR(__xludf.DUMMYFUNCTION("GOOGLETRANSLATE(C554,""fr"",""en"")"),"Up to date my contributions, this mutual insurance company only reimburses doctors care. Tele operators are content to respond: we are trzipating the service concerned. Next step: Settlement of the dispute by my legal protection")</f>
        <v>Up to date my contributions, this mutual insurance company only reimburses doctors care. Tele operators are content to respond: we are trzipating the service concerned. Next step: Settlement of the dispute by my legal protection</v>
      </c>
    </row>
    <row r="555" ht="15.75" customHeight="1">
      <c r="A555" s="2">
        <v>3.0</v>
      </c>
      <c r="B555" s="2" t="s">
        <v>1626</v>
      </c>
      <c r="C555" s="2" t="s">
        <v>1627</v>
      </c>
      <c r="D555" s="2" t="s">
        <v>13</v>
      </c>
      <c r="E555" s="2" t="s">
        <v>14</v>
      </c>
      <c r="F555" s="2" t="s">
        <v>15</v>
      </c>
      <c r="G555" s="2" t="s">
        <v>867</v>
      </c>
      <c r="H555" s="2" t="s">
        <v>42</v>
      </c>
      <c r="I555" s="2" t="str">
        <f>IFERROR(__xludf.DUMMYFUNCTION("GOOGLETRANSLATE(C555,""fr"",""en"")"),"Perfect, easy to use, speed of implementation, the only problem impossible to reach by telephone line.
I am fifteen minutes away to wait to finally be hanging up in the nose")</f>
        <v>Perfect, easy to use, speed of implementation, the only problem impossible to reach by telephone line.
I am fifteen minutes away to wait to finally be hanging up in the nose</v>
      </c>
    </row>
    <row r="556" ht="15.75" customHeight="1">
      <c r="A556" s="2">
        <v>5.0</v>
      </c>
      <c r="B556" s="2" t="s">
        <v>1628</v>
      </c>
      <c r="C556" s="2" t="s">
        <v>1629</v>
      </c>
      <c r="D556" s="2" t="s">
        <v>13</v>
      </c>
      <c r="E556" s="2" t="s">
        <v>14</v>
      </c>
      <c r="F556" s="2" t="s">
        <v>15</v>
      </c>
      <c r="G556" s="2" t="s">
        <v>1630</v>
      </c>
      <c r="H556" s="2" t="s">
        <v>42</v>
      </c>
      <c r="I556" s="2" t="str">
        <f>IFERROR(__xludf.DUMMYFUNCTION("GOOGLETRANSLATE(C556,""fr"",""en"")"),"I am satisfied with the service and the rapidity of the processing of the file. As well as the attractive price of direct insurance. Hoping that your company will be present and reachable in the event of problems.")</f>
        <v>I am satisfied with the service and the rapidity of the processing of the file. As well as the attractive price of direct insurance. Hoping that your company will be present and reachable in the event of problems.</v>
      </c>
    </row>
    <row r="557" ht="15.75" customHeight="1">
      <c r="A557" s="2">
        <v>3.0</v>
      </c>
      <c r="B557" s="2" t="s">
        <v>1631</v>
      </c>
      <c r="C557" s="2" t="s">
        <v>1632</v>
      </c>
      <c r="D557" s="2" t="s">
        <v>87</v>
      </c>
      <c r="E557" s="2" t="s">
        <v>14</v>
      </c>
      <c r="F557" s="2" t="s">
        <v>15</v>
      </c>
      <c r="G557" s="2" t="s">
        <v>1633</v>
      </c>
      <c r="H557" s="2" t="s">
        <v>190</v>
      </c>
      <c r="I557" s="2" t="str">
        <f>IFERROR(__xludf.DUMMYFUNCTION("GOOGLETRANSLATE(C557,""fr"",""en"")"),"I'm waiting to see me for the moment I am satisfied the prices are reasonable and advisor are benevolent and has listened and looking for solutions")</f>
        <v>I'm waiting to see me for the moment I am satisfied the prices are reasonable and advisor are benevolent and has listened and looking for solutions</v>
      </c>
    </row>
    <row r="558" ht="15.75" customHeight="1">
      <c r="A558" s="2">
        <v>1.0</v>
      </c>
      <c r="B558" s="2" t="s">
        <v>1634</v>
      </c>
      <c r="C558" s="2" t="s">
        <v>1635</v>
      </c>
      <c r="D558" s="2" t="s">
        <v>174</v>
      </c>
      <c r="E558" s="2" t="s">
        <v>31</v>
      </c>
      <c r="F558" s="2" t="s">
        <v>15</v>
      </c>
      <c r="G558" s="2" t="s">
        <v>1636</v>
      </c>
      <c r="H558" s="2" t="s">
        <v>195</v>
      </c>
      <c r="I558" s="2" t="str">
        <f>IFERROR(__xludf.DUMMYFUNCTION("GOOGLETRANSLATE(C558,""fr"",""en"")"),"
Hello,
I've been waiting for a refund for 3 months, and it's been 3 weeks ago that I am taken for a fool! PitYable Service, they make fun of members! I am still not reimbursed and no one deigns to answer me. Strongly decreed!")</f>
        <v>
Hello,
I've been waiting for a refund for 3 months, and it's been 3 weeks ago that I am taken for a fool! PitYable Service, they make fun of members! I am still not reimbursed and no one deigns to answer me. Strongly decreed!</v>
      </c>
    </row>
    <row r="559" ht="15.75" customHeight="1">
      <c r="A559" s="2">
        <v>4.0</v>
      </c>
      <c r="B559" s="2" t="s">
        <v>1637</v>
      </c>
      <c r="C559" s="2" t="s">
        <v>1638</v>
      </c>
      <c r="D559" s="2" t="s">
        <v>50</v>
      </c>
      <c r="E559" s="2" t="s">
        <v>21</v>
      </c>
      <c r="F559" s="2" t="s">
        <v>15</v>
      </c>
      <c r="G559" s="2" t="s">
        <v>1639</v>
      </c>
      <c r="H559" s="2" t="s">
        <v>209</v>
      </c>
      <c r="I559" s="2" t="str">
        <f>IFERROR(__xludf.DUMMYFUNCTION("GOOGLETRANSLATE(C559,""fr"",""en"")"),"I am satisfied with the service and the price of motorcycle insurance and the management for the driver myself in this case thank you very much for your efficiency")</f>
        <v>I am satisfied with the service and the price of motorcycle insurance and the management for the driver myself in this case thank you very much for your efficiency</v>
      </c>
    </row>
    <row r="560" ht="15.75" customHeight="1">
      <c r="A560" s="2">
        <v>1.0</v>
      </c>
      <c r="B560" s="2" t="s">
        <v>1640</v>
      </c>
      <c r="C560" s="2" t="s">
        <v>1641</v>
      </c>
      <c r="D560" s="2" t="s">
        <v>20</v>
      </c>
      <c r="E560" s="2" t="s">
        <v>21</v>
      </c>
      <c r="F560" s="2" t="s">
        <v>15</v>
      </c>
      <c r="G560" s="2" t="s">
        <v>1642</v>
      </c>
      <c r="H560" s="2" t="s">
        <v>433</v>
      </c>
      <c r="I560" s="2" t="str">
        <f>IFERROR(__xludf.DUMMYFUNCTION("GOOGLETRANSLATE(C560,""fr"",""en"")"),"I regret having chosen this insurer a few months ago, I had to orient myself elsewhere from the start where I even had problems to ensure my motorcycle because of incompetent and rough agents. I told myself that I had the misfortune to come across a parti"&amp;"cular case. And today, all MDM bikers are actually not insured, where the insurer is not reachable, and even the automatic procedures on the customer account do not work. As soon as I can change insurer I do, I hope I will have no claims during this time!")</f>
        <v>I regret having chosen this insurer a few months ago, I had to orient myself elsewhere from the start where I even had problems to ensure my motorcycle because of incompetent and rough agents. I told myself that I had the misfortune to come across a particular case. And today, all MDM bikers are actually not insured, where the insurer is not reachable, and even the automatic procedures on the customer account do not work. As soon as I can change insurer I do, I hope I will have no claims during this time!</v>
      </c>
    </row>
    <row r="561" ht="15.75" customHeight="1">
      <c r="A561" s="2">
        <v>5.0</v>
      </c>
      <c r="B561" s="2" t="s">
        <v>1643</v>
      </c>
      <c r="C561" s="2" t="s">
        <v>1644</v>
      </c>
      <c r="D561" s="2" t="s">
        <v>87</v>
      </c>
      <c r="E561" s="2" t="s">
        <v>14</v>
      </c>
      <c r="F561" s="2" t="s">
        <v>15</v>
      </c>
      <c r="G561" s="2" t="s">
        <v>1645</v>
      </c>
      <c r="H561" s="2" t="s">
        <v>52</v>
      </c>
      <c r="I561" s="2" t="str">
        <f>IFERROR(__xludf.DUMMYFUNCTION("GOOGLETRANSLATE(C561,""fr"",""en"")"),"Effective and above all competitive. I have seen a real gap, especially with regard to my historic insurer. To see in use now, but for the time being satisfied")</f>
        <v>Effective and above all competitive. I have seen a real gap, especially with regard to my historic insurer. To see in use now, but for the time being satisfied</v>
      </c>
    </row>
    <row r="562" ht="15.75" customHeight="1">
      <c r="A562" s="2">
        <v>2.0</v>
      </c>
      <c r="B562" s="2" t="s">
        <v>1646</v>
      </c>
      <c r="C562" s="2" t="s">
        <v>1647</v>
      </c>
      <c r="D562" s="2" t="s">
        <v>1111</v>
      </c>
      <c r="E562" s="2" t="s">
        <v>288</v>
      </c>
      <c r="F562" s="2" t="s">
        <v>15</v>
      </c>
      <c r="G562" s="2" t="s">
        <v>991</v>
      </c>
      <c r="H562" s="2" t="s">
        <v>110</v>
      </c>
      <c r="I562" s="2" t="str">
        <f>IFERROR(__xludf.DUMMYFUNCTION("GOOGLETRANSLATE(C562,""fr"",""en"")"),"I have been on sick leave for several months I have been contacting them but I speak to a wall. Then a dismissal ditto impossible to have an interlocutor (when he should have paid me compensation during my stop, and for my loss of job (I threw my money ou"&amp;"t the window) no professionalism, have this believe safe from these concerns but it is the obstacle course. No contact on the phone (loss of time) I am furax")</f>
        <v>I have been on sick leave for several months I have been contacting them but I speak to a wall. Then a dismissal ditto impossible to have an interlocutor (when he should have paid me compensation during my stop, and for my loss of job (I threw my money out the window) no professionalism, have this believe safe from these concerns but it is the obstacle course. No contact on the phone (loss of time) I am furax</v>
      </c>
    </row>
    <row r="563" ht="15.75" customHeight="1">
      <c r="A563" s="2">
        <v>1.0</v>
      </c>
      <c r="B563" s="2" t="s">
        <v>1648</v>
      </c>
      <c r="C563" s="2" t="s">
        <v>1649</v>
      </c>
      <c r="D563" s="2" t="s">
        <v>64</v>
      </c>
      <c r="E563" s="2" t="s">
        <v>65</v>
      </c>
      <c r="F563" s="2" t="s">
        <v>15</v>
      </c>
      <c r="G563" s="2" t="s">
        <v>1650</v>
      </c>
      <c r="H563" s="2" t="s">
        <v>158</v>
      </c>
      <c r="I563" s="2" t="str">
        <f>IFERROR(__xludf.DUMMYFUNCTION("GOOGLETRANSLATE(C563,""fr"",""en"")"),"No serious interlocutor, letters never achieved, dilatory measures to discourage you; several advice: send everything in RAR, do not hesitate to group together by region with 1 lawyer and assign the systematically to make them move, exchange your informat"&amp;"ion through certificates on honor for judges, etc.")</f>
        <v>No serious interlocutor, letters never achieved, dilatory measures to discourage you; several advice: send everything in RAR, do not hesitate to group together by region with 1 lawyer and assign the systematically to make them move, exchange your information through certificates on honor for judges, etc.</v>
      </c>
    </row>
    <row r="564" ht="15.75" customHeight="1">
      <c r="A564" s="2">
        <v>4.0</v>
      </c>
      <c r="B564" s="2" t="s">
        <v>1651</v>
      </c>
      <c r="C564" s="2" t="s">
        <v>1652</v>
      </c>
      <c r="D564" s="2" t="s">
        <v>87</v>
      </c>
      <c r="E564" s="2" t="s">
        <v>14</v>
      </c>
      <c r="F564" s="2" t="s">
        <v>15</v>
      </c>
      <c r="G564" s="2" t="s">
        <v>1653</v>
      </c>
      <c r="H564" s="2" t="s">
        <v>52</v>
      </c>
      <c r="I564" s="2" t="str">
        <f>IFERROR(__xludf.DUMMYFUNCTION("GOOGLETRANSLATE(C564,""fr"",""en"")"),"For the moment it suits me.
Hoping that it will last over time.
I would like to have discounts on other contracts possibly soon.")</f>
        <v>For the moment it suits me.
Hoping that it will last over time.
I would like to have discounts on other contracts possibly soon.</v>
      </c>
    </row>
    <row r="565" ht="15.75" customHeight="1">
      <c r="A565" s="2">
        <v>3.0</v>
      </c>
      <c r="B565" s="2" t="s">
        <v>1654</v>
      </c>
      <c r="C565" s="2" t="s">
        <v>1655</v>
      </c>
      <c r="D565" s="2" t="s">
        <v>13</v>
      </c>
      <c r="E565" s="2" t="s">
        <v>14</v>
      </c>
      <c r="F565" s="2" t="s">
        <v>15</v>
      </c>
      <c r="G565" s="2" t="s">
        <v>109</v>
      </c>
      <c r="H565" s="2" t="s">
        <v>110</v>
      </c>
      <c r="I565" s="2" t="str">
        <f>IFERROR(__xludf.DUMMYFUNCTION("GOOGLETRANSLATE(C565,""fr"",""en"")"),"Prices are high for diesel cars. Nothing to do with the entry offer for petrol cars. I am quite disappointed with the discovery. And even more from being able to benefit from the connected offer not being a young driver.")</f>
        <v>Prices are high for diesel cars. Nothing to do with the entry offer for petrol cars. I am quite disappointed with the discovery. And even more from being able to benefit from the connected offer not being a young driver.</v>
      </c>
    </row>
    <row r="566" ht="15.75" customHeight="1">
      <c r="A566" s="2">
        <v>5.0</v>
      </c>
      <c r="B566" s="2" t="s">
        <v>1656</v>
      </c>
      <c r="C566" s="2" t="s">
        <v>1657</v>
      </c>
      <c r="D566" s="2" t="s">
        <v>13</v>
      </c>
      <c r="E566" s="2" t="s">
        <v>14</v>
      </c>
      <c r="F566" s="2" t="s">
        <v>15</v>
      </c>
      <c r="G566" s="2" t="s">
        <v>1658</v>
      </c>
      <c r="H566" s="2" t="s">
        <v>61</v>
      </c>
      <c r="I566" s="2" t="str">
        <f>IFERROR(__xludf.DUMMYFUNCTION("GOOGLETRANSLATE(C566,""fr"",""en"")"),"Very satisfied with the service very good value for money quickly meets the principle of 2 months is good because we have 1 month without paying it is practical thank you")</f>
        <v>Very satisfied with the service very good value for money quickly meets the principle of 2 months is good because we have 1 month without paying it is practical thank you</v>
      </c>
    </row>
    <row r="567" ht="15.75" customHeight="1">
      <c r="A567" s="2">
        <v>1.0</v>
      </c>
      <c r="B567" s="2" t="s">
        <v>1659</v>
      </c>
      <c r="C567" s="2" t="s">
        <v>1660</v>
      </c>
      <c r="D567" s="2" t="s">
        <v>13</v>
      </c>
      <c r="E567" s="2" t="s">
        <v>14</v>
      </c>
      <c r="F567" s="2" t="s">
        <v>15</v>
      </c>
      <c r="G567" s="2" t="s">
        <v>1661</v>
      </c>
      <c r="H567" s="2" t="s">
        <v>61</v>
      </c>
      <c r="I567" s="2" t="str">
        <f>IFERROR(__xludf.DUMMYFUNCTION("GOOGLETRANSLATE(C567,""fr"",""en"")"),"For a simple third party that makes a little dear compared to the other vehicles that I provided in your home in all risk there is not much difference, moreover I assured my home at home")</f>
        <v>For a simple third party that makes a little dear compared to the other vehicles that I provided in your home in all risk there is not much difference, moreover I assured my home at home</v>
      </c>
    </row>
    <row r="568" ht="15.75" customHeight="1">
      <c r="A568" s="2">
        <v>2.0</v>
      </c>
      <c r="B568" s="2" t="s">
        <v>1662</v>
      </c>
      <c r="C568" s="2" t="s">
        <v>1663</v>
      </c>
      <c r="D568" s="2" t="s">
        <v>13</v>
      </c>
      <c r="E568" s="2" t="s">
        <v>14</v>
      </c>
      <c r="F568" s="2" t="s">
        <v>15</v>
      </c>
      <c r="G568" s="2" t="s">
        <v>1664</v>
      </c>
      <c r="H568" s="2" t="s">
        <v>158</v>
      </c>
      <c r="I568" s="2" t="str">
        <f>IFERROR(__xludf.DUMMYFUNCTION("GOOGLETRANSLATE(C568,""fr"",""en"")"),"Very easy to take out a contract with Direct Insurance, much more difficult to take advantage of it.
Their experts dispute the facts, they refuse you the guarantees and stick a penalty to you.
When after 10 calls you end up having some on the phone (Cal"&amp;"l Center in North Africa), it can do nothing for you, as kind.
So your advisor must remind you, but he doesn't. Finally it is their lawyer who calls you to tell you that you have it in the bone.
It goes like that at Direct Assurance.")</f>
        <v>Very easy to take out a contract with Direct Insurance, much more difficult to take advantage of it.
Their experts dispute the facts, they refuse you the guarantees and stick a penalty to you.
When after 10 calls you end up having some on the phone (Call Center in North Africa), it can do nothing for you, as kind.
So your advisor must remind you, but he doesn't. Finally it is their lawyer who calls you to tell you that you have it in the bone.
It goes like that at Direct Assurance.</v>
      </c>
    </row>
    <row r="569" ht="15.75" customHeight="1">
      <c r="A569" s="2">
        <v>1.0</v>
      </c>
      <c r="B569" s="2" t="s">
        <v>1665</v>
      </c>
      <c r="C569" s="2" t="s">
        <v>1666</v>
      </c>
      <c r="D569" s="2" t="s">
        <v>13</v>
      </c>
      <c r="E569" s="2" t="s">
        <v>14</v>
      </c>
      <c r="F569" s="2" t="s">
        <v>15</v>
      </c>
      <c r="G569" s="2" t="s">
        <v>1667</v>
      </c>
      <c r="H569" s="2" t="s">
        <v>607</v>
      </c>
      <c r="I569" s="2" t="str">
        <f>IFERROR(__xludf.DUMMYFUNCTION("GOOGLETRANSLATE(C569,""fr"",""en"")"),"Creaming on the highway yesterday, Sunday evening at night ... Direct assurance call, who tells us to call the gendarmes for towing and remind us after .... OK, towing ok, but exceptional because on highway ... Super, Thank you really ..... On the other h"&amp;"and, once in the garage return by taxi at home (1 hour drive), 441 EUR taxi .... not taken care of by direct insurance despite the insurance all risk pack serenity.
to yes but puncture is an exclusion .... so termination as soon as possible to flee ...")</f>
        <v>Creaming on the highway yesterday, Sunday evening at night ... Direct assurance call, who tells us to call the gendarmes for towing and remind us after .... OK, towing ok, but exceptional because on highway ... Super, Thank you really ..... On the other hand, once in the garage return by taxi at home (1 hour drive), 441 EUR taxi .... not taken care of by direct insurance despite the insurance all risk pack serenity.
to yes but puncture is an exclusion .... so termination as soon as possible to flee ...</v>
      </c>
    </row>
    <row r="570" ht="15.75" customHeight="1">
      <c r="A570" s="2">
        <v>2.0</v>
      </c>
      <c r="B570" s="2" t="s">
        <v>1668</v>
      </c>
      <c r="C570" s="2" t="s">
        <v>1669</v>
      </c>
      <c r="D570" s="2" t="s">
        <v>120</v>
      </c>
      <c r="E570" s="2" t="s">
        <v>14</v>
      </c>
      <c r="F570" s="2" t="s">
        <v>15</v>
      </c>
      <c r="G570" s="2" t="s">
        <v>1670</v>
      </c>
      <c r="H570" s="2" t="s">
        <v>480</v>
      </c>
      <c r="I570" s="2" t="str">
        <f>IFERROR(__xludf.DUMMYFUNCTION("GOOGLETRANSLATE(C570,""fr"",""en"")"),"Holder of the permit for more than 2 years without disaster with all my bonus, I wanted to ensure my new vehicle of 170hp, I first received validation by quote by phone, then the day I bought the vehicle, All agencies made me refuse on the phone. I was pu"&amp;"t in contact with a manager in Montpellier who confirmed to me that they could make sure I had more than 2 years of license and 0.9 of bonuses. I am currently insured for a 1 month fixed -term contract, unfortunately I have to look for another insurance t"&amp;"hat wants to make me for the future ...
Disappointed with customer service and very limited membership conditions for young permits without responsible accident ...")</f>
        <v>Holder of the permit for more than 2 years without disaster with all my bonus, I wanted to ensure my new vehicle of 170hp, I first received validation by quote by phone, then the day I bought the vehicle, All agencies made me refuse on the phone. I was put in contact with a manager in Montpellier who confirmed to me that they could make sure I had more than 2 years of license and 0.9 of bonuses. I am currently insured for a 1 month fixed -term contract, unfortunately I have to look for another insurance that wants to make me for the future ...
Disappointed with customer service and very limited membership conditions for young permits without responsible accident ...</v>
      </c>
    </row>
    <row r="571" ht="15.75" customHeight="1">
      <c r="A571" s="2">
        <v>5.0</v>
      </c>
      <c r="B571" s="2" t="s">
        <v>1671</v>
      </c>
      <c r="C571" s="2" t="s">
        <v>1672</v>
      </c>
      <c r="D571" s="2" t="s">
        <v>87</v>
      </c>
      <c r="E571" s="2" t="s">
        <v>14</v>
      </c>
      <c r="F571" s="2" t="s">
        <v>15</v>
      </c>
      <c r="G571" s="2" t="s">
        <v>559</v>
      </c>
      <c r="H571" s="2" t="s">
        <v>282</v>
      </c>
      <c r="I571" s="2" t="str">
        <f>IFERROR(__xludf.DUMMYFUNCTION("GOOGLETRANSLATE(C571,""fr"",""en"")"),"I am satisfied with the price and the proposed contract
On the other hand, obligation to telephone because message to the screen: error please renew your request when validating online ???
")</f>
        <v>I am satisfied with the price and the proposed contract
On the other hand, obligation to telephone because message to the screen: error please renew your request when validating online ???
</v>
      </c>
    </row>
    <row r="572" ht="15.75" customHeight="1">
      <c r="A572" s="2">
        <v>4.0</v>
      </c>
      <c r="B572" s="2" t="s">
        <v>1673</v>
      </c>
      <c r="C572" s="2" t="s">
        <v>1674</v>
      </c>
      <c r="D572" s="2" t="s">
        <v>30</v>
      </c>
      <c r="E572" s="2" t="s">
        <v>31</v>
      </c>
      <c r="F572" s="2" t="s">
        <v>15</v>
      </c>
      <c r="G572" s="2" t="s">
        <v>60</v>
      </c>
      <c r="H572" s="2" t="s">
        <v>61</v>
      </c>
      <c r="I572" s="2" t="str">
        <f>IFERROR(__xludf.DUMMYFUNCTION("GOOGLETRANSLATE(C572,""fr"",""en"")"),"The various interlocutors are available, courteous and professional,
The loss of salary and premium and excellent guarantee (however a small downside regarding the period of settlement which is ten days which can be very long! .. for help in order to com"&amp;"pensate for the expectation of the payment of the complement by the mutual which is anxiety -provoking.)
")</f>
        <v>The various interlocutors are available, courteous and professional,
The loss of salary and premium and excellent guarantee (however a small downside regarding the period of settlement which is ten days which can be very long! .. for help in order to compensate for the expectation of the payment of the complement by the mutual which is anxiety -provoking.)
</v>
      </c>
    </row>
    <row r="573" ht="15.75" customHeight="1">
      <c r="A573" s="2">
        <v>3.0</v>
      </c>
      <c r="B573" s="2" t="s">
        <v>1675</v>
      </c>
      <c r="C573" s="2" t="s">
        <v>1676</v>
      </c>
      <c r="D573" s="2" t="s">
        <v>201</v>
      </c>
      <c r="E573" s="2" t="s">
        <v>21</v>
      </c>
      <c r="F573" s="2" t="s">
        <v>15</v>
      </c>
      <c r="G573" s="2" t="s">
        <v>1677</v>
      </c>
      <c r="H573" s="2" t="s">
        <v>344</v>
      </c>
      <c r="I573" s="2" t="str">
        <f>IFERROR(__xludf.DUMMYFUNCTION("GOOGLETRANSLATE(C573,""fr"",""en"")"),"Having had a scooter accident, I was returned to the person is 100% wrong, I sent my file completed correctly by registered mail, with receipt received, and from no news from insurance.")</f>
        <v>Having had a scooter accident, I was returned to the person is 100% wrong, I sent my file completed correctly by registered mail, with receipt received, and from no news from insurance.</v>
      </c>
    </row>
    <row r="574" ht="15.75" customHeight="1">
      <c r="A574" s="2">
        <v>2.0</v>
      </c>
      <c r="B574" s="2" t="s">
        <v>1678</v>
      </c>
      <c r="C574" s="2" t="s">
        <v>1679</v>
      </c>
      <c r="D574" s="2" t="s">
        <v>36</v>
      </c>
      <c r="E574" s="2" t="s">
        <v>55</v>
      </c>
      <c r="F574" s="2" t="s">
        <v>15</v>
      </c>
      <c r="G574" s="2" t="s">
        <v>1448</v>
      </c>
      <c r="H574" s="2" t="s">
        <v>433</v>
      </c>
      <c r="I574" s="2" t="str">
        <f>IFERROR(__xludf.DUMMYFUNCTION("GOOGLETRANSLATE(C574,""fr"",""en"")"),"Following my municipality recognized in natural disaster I solicited my insurance maif and therefore you need nothing and especially not to be compensated in the event of a problem then the maif is made for you.
To take your money, they are there to comp"&amp;"ensate you for no one.
They make me pay for natural disaster insurance for nothing.
I do not recommend this insurance unless you have too much money and you don't know what to do with it.
So I'm going to change my insurance that may not be better elsew"&amp;"here but surely not worse.
")</f>
        <v>Following my municipality recognized in natural disaster I solicited my insurance maif and therefore you need nothing and especially not to be compensated in the event of a problem then the maif is made for you.
To take your money, they are there to compensate you for no one.
They make me pay for natural disaster insurance for nothing.
I do not recommend this insurance unless you have too much money and you don't know what to do with it.
So I'm going to change my insurance that may not be better elsewhere but surely not worse.
</v>
      </c>
    </row>
    <row r="575" ht="15.75" customHeight="1">
      <c r="A575" s="2">
        <v>1.0</v>
      </c>
      <c r="B575" s="2" t="s">
        <v>1680</v>
      </c>
      <c r="C575" s="2" t="s">
        <v>1681</v>
      </c>
      <c r="D575" s="2" t="s">
        <v>36</v>
      </c>
      <c r="E575" s="2" t="s">
        <v>55</v>
      </c>
      <c r="F575" s="2" t="s">
        <v>15</v>
      </c>
      <c r="G575" s="2" t="s">
        <v>967</v>
      </c>
      <c r="H575" s="2" t="s">
        <v>195</v>
      </c>
      <c r="I575" s="2" t="str">
        <f>IFERROR(__xludf.DUMMYFUNCTION("GOOGLETRANSLATE(C575,""fr"",""en"")"),"not recommendable; No repayment guarantee for often expensive samples. No details when declaring the claim and on the quality of the guarantee. To be avoided for non -teachers.
")</f>
        <v>not recommendable; No repayment guarantee for often expensive samples. No details when declaring the claim and on the quality of the guarantee. To be avoided for non -teachers.
</v>
      </c>
    </row>
    <row r="576" ht="15.75" customHeight="1">
      <c r="A576" s="2">
        <v>5.0</v>
      </c>
      <c r="B576" s="2" t="s">
        <v>1682</v>
      </c>
      <c r="C576" s="2" t="s">
        <v>1683</v>
      </c>
      <c r="D576" s="2" t="s">
        <v>334</v>
      </c>
      <c r="E576" s="2" t="s">
        <v>31</v>
      </c>
      <c r="F576" s="2" t="s">
        <v>15</v>
      </c>
      <c r="G576" s="2" t="s">
        <v>335</v>
      </c>
      <c r="H576" s="2" t="s">
        <v>61</v>
      </c>
      <c r="I576" s="2" t="str">
        <f>IFERROR(__xludf.DUMMYFUNCTION("GOOGLETRANSLATE(C576,""fr"",""en"")"),"Very satisfied with Angelique's welcome.
Smiling efficient a big thank you
I recommend this mutual
Clear and precise information
........... Mruiz")</f>
        <v>Very satisfied with Angelique's welcome.
Smiling efficient a big thank you
I recommend this mutual
Clear and precise information
........... Mruiz</v>
      </c>
    </row>
    <row r="577" ht="15.75" customHeight="1">
      <c r="A577" s="2">
        <v>5.0</v>
      </c>
      <c r="B577" s="2" t="s">
        <v>1684</v>
      </c>
      <c r="C577" s="2" t="s">
        <v>1685</v>
      </c>
      <c r="D577" s="2" t="s">
        <v>201</v>
      </c>
      <c r="E577" s="2" t="s">
        <v>21</v>
      </c>
      <c r="F577" s="2" t="s">
        <v>15</v>
      </c>
      <c r="G577" s="2" t="s">
        <v>550</v>
      </c>
      <c r="H577" s="2" t="s">
        <v>42</v>
      </c>
      <c r="I577" s="2" t="str">
        <f>IFERROR(__xludf.DUMMYFUNCTION("GOOGLETRANSLATE(C577,""fr"",""en"")"),"Already assured at AMV since 2015, for a new bike purchase I have returned naturally to this site;
Very practical, fast and easy to use
Ras")</f>
        <v>Already assured at AMV since 2015, for a new bike purchase I have returned naturally to this site;
Very practical, fast and easy to use
Ras</v>
      </c>
    </row>
    <row r="578" ht="15.75" customHeight="1">
      <c r="A578" s="2">
        <v>1.0</v>
      </c>
      <c r="B578" s="2" t="s">
        <v>1686</v>
      </c>
      <c r="C578" s="2" t="s">
        <v>1687</v>
      </c>
      <c r="D578" s="2" t="s">
        <v>334</v>
      </c>
      <c r="E578" s="2" t="s">
        <v>31</v>
      </c>
      <c r="F578" s="2" t="s">
        <v>15</v>
      </c>
      <c r="G578" s="2" t="s">
        <v>256</v>
      </c>
      <c r="H578" s="2" t="s">
        <v>52</v>
      </c>
      <c r="I578" s="2" t="str">
        <f>IFERROR(__xludf.DUMMYFUNCTION("GOOGLETRANSLATE(C578,""fr"",""en"")"),"To flee.
Insurance that adds you and takes you a completely expected complementary when you have only granted a healthcare guarantee. Refunds. To signal for a group action and denounce these health practices.")</f>
        <v>To flee.
Insurance that adds you and takes you a completely expected complementary when you have only granted a healthcare guarantee. Refunds. To signal for a group action and denounce these health practices.</v>
      </c>
    </row>
    <row r="579" ht="15.75" customHeight="1">
      <c r="A579" s="2">
        <v>4.0</v>
      </c>
      <c r="B579" s="2" t="s">
        <v>1688</v>
      </c>
      <c r="C579" s="2" t="s">
        <v>1689</v>
      </c>
      <c r="D579" s="2" t="s">
        <v>334</v>
      </c>
      <c r="E579" s="2" t="s">
        <v>31</v>
      </c>
      <c r="F579" s="2" t="s">
        <v>15</v>
      </c>
      <c r="G579" s="2" t="s">
        <v>1690</v>
      </c>
      <c r="H579" s="2" t="s">
        <v>89</v>
      </c>
      <c r="I579" s="2" t="str">
        <f>IFERROR(__xludf.DUMMYFUNCTION("GOOGLETRANSLATE(C579,""fr"",""en"")"),"Very good communication with Gwendal.
A care, immediate after having made the telephone manipulations ... with humor, and kindness and kindness he responded to all my requests ..... and nowadays, it's more than very pleasant to have these qualities.
I a"&amp;"m very satisfied.")</f>
        <v>Very good communication with Gwendal.
A care, immediate after having made the telephone manipulations ... with humor, and kindness and kindness he responded to all my requests ..... and nowadays, it's more than very pleasant to have these qualities.
I am very satisfied.</v>
      </c>
    </row>
    <row r="580" ht="15.75" customHeight="1">
      <c r="A580" s="2">
        <v>4.0</v>
      </c>
      <c r="B580" s="2" t="s">
        <v>1691</v>
      </c>
      <c r="C580" s="2" t="s">
        <v>1692</v>
      </c>
      <c r="D580" s="2" t="s">
        <v>87</v>
      </c>
      <c r="E580" s="2" t="s">
        <v>14</v>
      </c>
      <c r="F580" s="2" t="s">
        <v>15</v>
      </c>
      <c r="G580" s="2" t="s">
        <v>1693</v>
      </c>
      <c r="H580" s="2" t="s">
        <v>110</v>
      </c>
      <c r="I580" s="2" t="str">
        <f>IFERROR(__xludf.DUMMYFUNCTION("GOOGLETRANSLATE(C580,""fr"",""en"")"),"Well but I find it absurd that we can have for different vehicles in the home, different email addresses. In addition we had an accident on Friday at 6 p.m. and no number found on the internet allowed me to call the audience to at least warn the accident "&amp;"even if I could return with my vehicle to my house.")</f>
        <v>Well but I find it absurd that we can have for different vehicles in the home, different email addresses. In addition we had an accident on Friday at 6 p.m. and no number found on the internet allowed me to call the audience to at least warn the accident even if I could return with my vehicle to my house.</v>
      </c>
    </row>
    <row r="581" ht="15.75" customHeight="1">
      <c r="A581" s="2">
        <v>5.0</v>
      </c>
      <c r="B581" s="2" t="s">
        <v>1694</v>
      </c>
      <c r="C581" s="2" t="s">
        <v>1695</v>
      </c>
      <c r="D581" s="2" t="s">
        <v>13</v>
      </c>
      <c r="E581" s="2" t="s">
        <v>14</v>
      </c>
      <c r="F581" s="2" t="s">
        <v>15</v>
      </c>
      <c r="G581" s="2" t="s">
        <v>893</v>
      </c>
      <c r="H581" s="2" t="s">
        <v>209</v>
      </c>
      <c r="I581" s="2" t="str">
        <f>IFERROR(__xludf.DUMMYFUNCTION("GOOGLETRANSLATE(C581,""fr"",""en"")"),"I am satisfied with the price of the quick product not complicated to fulfill the questionnaire The conditions for the price are good in this which concerns me I will recommend direct insurance")</f>
        <v>I am satisfied with the price of the quick product not complicated to fulfill the questionnaire The conditions for the price are good in this which concerns me I will recommend direct insurance</v>
      </c>
    </row>
    <row r="582" ht="15.75" customHeight="1">
      <c r="A582" s="2">
        <v>5.0</v>
      </c>
      <c r="B582" s="2" t="s">
        <v>1696</v>
      </c>
      <c r="C582" s="2" t="s">
        <v>1697</v>
      </c>
      <c r="D582" s="2" t="s">
        <v>832</v>
      </c>
      <c r="E582" s="2" t="s">
        <v>232</v>
      </c>
      <c r="F582" s="2" t="s">
        <v>15</v>
      </c>
      <c r="G582" s="2" t="s">
        <v>153</v>
      </c>
      <c r="H582" s="2" t="s">
        <v>33</v>
      </c>
      <c r="I582" s="2" t="str">
        <f>IFERROR(__xludf.DUMMYFUNCTION("GOOGLETRANSLATE(C582,""fr"",""en"")"),"Very satisfied with services, super responsiveness and professionalism.
Prices and options offered very well placed in relation to market prices
")</f>
        <v>Very satisfied with services, super responsiveness and professionalism.
Prices and options offered very well placed in relation to market prices
</v>
      </c>
    </row>
    <row r="583" ht="15.75" customHeight="1">
      <c r="A583" s="2">
        <v>4.0</v>
      </c>
      <c r="B583" s="2" t="s">
        <v>1698</v>
      </c>
      <c r="C583" s="2" t="s">
        <v>1699</v>
      </c>
      <c r="D583" s="2" t="s">
        <v>13</v>
      </c>
      <c r="E583" s="2" t="s">
        <v>14</v>
      </c>
      <c r="F583" s="2" t="s">
        <v>15</v>
      </c>
      <c r="G583" s="2" t="s">
        <v>764</v>
      </c>
      <c r="H583" s="2" t="s">
        <v>110</v>
      </c>
      <c r="I583" s="2" t="str">
        <f>IFERROR(__xludf.DUMMYFUNCTION("GOOGLETRANSLATE(C583,""fr"",""en"")"),"I am satisfied with the subscription procedure except for the request for the payment formula which is not explicit: automatically, it is annual payment when it would take a multiple choice.")</f>
        <v>I am satisfied with the subscription procedure except for the request for the payment formula which is not explicit: automatically, it is annual payment when it would take a multiple choice.</v>
      </c>
    </row>
    <row r="584" ht="15.75" customHeight="1">
      <c r="A584" s="2">
        <v>1.0</v>
      </c>
      <c r="B584" s="2" t="s">
        <v>1700</v>
      </c>
      <c r="C584" s="2" t="s">
        <v>1701</v>
      </c>
      <c r="D584" s="2" t="s">
        <v>375</v>
      </c>
      <c r="E584" s="2" t="s">
        <v>288</v>
      </c>
      <c r="F584" s="2" t="s">
        <v>15</v>
      </c>
      <c r="G584" s="2" t="s">
        <v>1702</v>
      </c>
      <c r="H584" s="2" t="s">
        <v>27</v>
      </c>
      <c r="I584" s="2" t="str">
        <f>IFERROR(__xludf.DUMMYFUNCTION("GOOGLETRANSLATE(C584,""fr"",""en"")"),"To flee!
Fees of the order of 5%, total contempt for its customers, despite a calamitous management of my file ...
Carpet merchants disguised as an insurer, and of course they are responsible for anything.
3 years of contract + 12,500 € of investing, o"&amp;"n one of their contract with very good profitability, dixit the seller.
At the exit a gain of € 17.30, and nothing abnormal from their point of view ...
In short, sellers who come to your home, promise you mountains and wonders and at the end make you u"&amp;"nderstand that it is your fault because there was a risk.
I reiterate, to flee !!")</f>
        <v>To flee!
Fees of the order of 5%, total contempt for its customers, despite a calamitous management of my file ...
Carpet merchants disguised as an insurer, and of course they are responsible for anything.
3 years of contract + 12,500 € of investing, on one of their contract with very good profitability, dixit the seller.
At the exit a gain of € 17.30, and nothing abnormal from their point of view ...
In short, sellers who come to your home, promise you mountains and wonders and at the end make you understand that it is your fault because there was a risk.
I reiterate, to flee !!</v>
      </c>
    </row>
    <row r="585" ht="15.75" customHeight="1">
      <c r="A585" s="2">
        <v>4.0</v>
      </c>
      <c r="B585" s="2" t="s">
        <v>1703</v>
      </c>
      <c r="C585" s="2" t="s">
        <v>1704</v>
      </c>
      <c r="D585" s="2" t="s">
        <v>13</v>
      </c>
      <c r="E585" s="2" t="s">
        <v>14</v>
      </c>
      <c r="F585" s="2" t="s">
        <v>15</v>
      </c>
      <c r="G585" s="2" t="s">
        <v>209</v>
      </c>
      <c r="H585" s="2" t="s">
        <v>209</v>
      </c>
      <c r="I585" s="2" t="str">
        <f>IFERROR(__xludf.DUMMYFUNCTION("GOOGLETRANSLATE(C585,""fr"",""en"")"),"Very good application quite easy to use, drawback I do not know how to contact the change of address or for information.")</f>
        <v>Very good application quite easy to use, drawback I do not know how to contact the change of address or for information.</v>
      </c>
    </row>
    <row r="586" ht="15.75" customHeight="1">
      <c r="A586" s="2">
        <v>2.0</v>
      </c>
      <c r="B586" s="2" t="s">
        <v>1705</v>
      </c>
      <c r="C586" s="2" t="s">
        <v>1706</v>
      </c>
      <c r="D586" s="2" t="s">
        <v>227</v>
      </c>
      <c r="E586" s="2" t="s">
        <v>55</v>
      </c>
      <c r="F586" s="2" t="s">
        <v>15</v>
      </c>
      <c r="G586" s="2" t="s">
        <v>16</v>
      </c>
      <c r="H586" s="2" t="s">
        <v>17</v>
      </c>
      <c r="I586" s="2" t="str">
        <f>IFERROR(__xludf.DUMMYFUNCTION("GOOGLETRANSLATE(C586,""fr"",""en"")"),"The secret of good insurance: create a climate of trust with your reactive insurer. All words are important, if you don't have all the words, change your insurer!")</f>
        <v>The secret of good insurance: create a climate of trust with your reactive insurer. All words are important, if you don't have all the words, change your insurer!</v>
      </c>
    </row>
    <row r="587" ht="15.75" customHeight="1">
      <c r="A587" s="2">
        <v>1.0</v>
      </c>
      <c r="B587" s="2" t="s">
        <v>1707</v>
      </c>
      <c r="C587" s="2" t="s">
        <v>1708</v>
      </c>
      <c r="D587" s="2" t="s">
        <v>87</v>
      </c>
      <c r="E587" s="2" t="s">
        <v>14</v>
      </c>
      <c r="F587" s="2" t="s">
        <v>15</v>
      </c>
      <c r="G587" s="2" t="s">
        <v>1709</v>
      </c>
      <c r="H587" s="2" t="s">
        <v>851</v>
      </c>
      <c r="I587" s="2" t="str">
        <f>IFERROR(__xludf.DUMMYFUNCTION("GOOGLETRANSLATE(C587,""fr"",""en"")"),"16-03-2017 The file I sent to an exemplary tripe never happens and suddenly my file is never ""finalized"". The problem is that in the event of problems, they will dechant with all responsibilities by indicating that my file lacks parts! What is wrong ! T"&amp;"ired of taking my head with them!")</f>
        <v>16-03-2017 The file I sent to an exemplary tripe never happens and suddenly my file is never "finalized". The problem is that in the event of problems, they will dechant with all responsibilities by indicating that my file lacks parts! What is wrong ! Tired of taking my head with them!</v>
      </c>
    </row>
    <row r="588" ht="15.75" customHeight="1">
      <c r="A588" s="2">
        <v>3.0</v>
      </c>
      <c r="B588" s="2" t="s">
        <v>1710</v>
      </c>
      <c r="C588" s="2" t="s">
        <v>1711</v>
      </c>
      <c r="D588" s="2" t="s">
        <v>36</v>
      </c>
      <c r="E588" s="2" t="s">
        <v>14</v>
      </c>
      <c r="F588" s="2" t="s">
        <v>15</v>
      </c>
      <c r="G588" s="2" t="s">
        <v>1712</v>
      </c>
      <c r="H588" s="2" t="s">
        <v>17</v>
      </c>
      <c r="I588" s="2" t="str">
        <f>IFERROR(__xludf.DUMMYFUNCTION("GOOGLETRANSLATE(C588,""fr"",""en"")"),"Do not answer on the phone resilled without giving the motif throws you like a dirty moorie")</f>
        <v>Do not answer on the phone resilled without giving the motif throws you like a dirty moorie</v>
      </c>
    </row>
    <row r="589" ht="15.75" customHeight="1">
      <c r="A589" s="2">
        <v>3.0</v>
      </c>
      <c r="B589" s="2" t="s">
        <v>1713</v>
      </c>
      <c r="C589" s="2" t="s">
        <v>1714</v>
      </c>
      <c r="D589" s="2" t="s">
        <v>120</v>
      </c>
      <c r="E589" s="2" t="s">
        <v>55</v>
      </c>
      <c r="F589" s="2" t="s">
        <v>15</v>
      </c>
      <c r="G589" s="2" t="s">
        <v>1715</v>
      </c>
      <c r="H589" s="2" t="s">
        <v>751</v>
      </c>
      <c r="I589" s="2" t="str">
        <f>IFERROR(__xludf.DUMMYFUNCTION("GOOGLETRANSLATE(C589,""fr"",""en"")"),"Water damage recurrence. Correct management of the incident, but the insufficient advice and regulatory information is notable.")</f>
        <v>Water damage recurrence. Correct management of the incident, but the insufficient advice and regulatory information is notable.</v>
      </c>
    </row>
    <row r="590" ht="15.75" customHeight="1">
      <c r="A590" s="2">
        <v>1.0</v>
      </c>
      <c r="B590" s="2" t="s">
        <v>1716</v>
      </c>
      <c r="C590" s="2" t="s">
        <v>1717</v>
      </c>
      <c r="D590" s="2" t="s">
        <v>201</v>
      </c>
      <c r="E590" s="2" t="s">
        <v>21</v>
      </c>
      <c r="F590" s="2" t="s">
        <v>15</v>
      </c>
      <c r="G590" s="2" t="s">
        <v>113</v>
      </c>
      <c r="H590" s="2" t="s">
        <v>52</v>
      </c>
      <c r="I590" s="2" t="str">
        <f>IFERROR(__xludf.DUMMYFUNCTION("GOOGLETRANSLATE(C590,""fr"",""en"")"),"A little too expensive for insurance or I always provide me with me for making me take or discount please contact me or make a good day offer")</f>
        <v>A little too expensive for insurance or I always provide me with me for making me take or discount please contact me or make a good day offer</v>
      </c>
    </row>
    <row r="591" ht="15.75" customHeight="1">
      <c r="A591" s="2">
        <v>4.0</v>
      </c>
      <c r="B591" s="2" t="s">
        <v>1718</v>
      </c>
      <c r="C591" s="2" t="s">
        <v>1719</v>
      </c>
      <c r="D591" s="2" t="s">
        <v>74</v>
      </c>
      <c r="E591" s="2" t="s">
        <v>14</v>
      </c>
      <c r="F591" s="2" t="s">
        <v>15</v>
      </c>
      <c r="G591" s="2" t="s">
        <v>1720</v>
      </c>
      <c r="H591" s="2" t="s">
        <v>27</v>
      </c>
      <c r="I591" s="2" t="str">
        <f>IFERROR(__xludf.DUMMYFUNCTION("GOOGLETRANSLATE(C591,""fr"",""en"")"),"Efficiency, price and understanding of the problems encountered. Listening staff. The website is practical for looking for what we want.")</f>
        <v>Efficiency, price and understanding of the problems encountered. Listening staff. The website is practical for looking for what we want.</v>
      </c>
    </row>
    <row r="592" ht="15.75" customHeight="1">
      <c r="A592" s="2">
        <v>5.0</v>
      </c>
      <c r="B592" s="2" t="s">
        <v>1721</v>
      </c>
      <c r="C592" s="2" t="s">
        <v>1722</v>
      </c>
      <c r="D592" s="2" t="s">
        <v>13</v>
      </c>
      <c r="E592" s="2" t="s">
        <v>14</v>
      </c>
      <c r="F592" s="2" t="s">
        <v>15</v>
      </c>
      <c r="G592" s="2" t="s">
        <v>1723</v>
      </c>
      <c r="H592" s="2" t="s">
        <v>61</v>
      </c>
      <c r="I592" s="2" t="str">
        <f>IFERROR(__xludf.DUMMYFUNCTION("GOOGLETRANSLATE(C592,""fr"",""en"")"),"I am satisfied with the prices.
I saved loan of 300 euros compared to my current insurance.
In addition, Direct Insurance will manage my contract termination with my former insurer.")</f>
        <v>I am satisfied with the prices.
I saved loan of 300 euros compared to my current insurance.
In addition, Direct Insurance will manage my contract termination with my former insurer.</v>
      </c>
    </row>
    <row r="593" ht="15.75" customHeight="1">
      <c r="A593" s="2">
        <v>1.0</v>
      </c>
      <c r="B593" s="2" t="s">
        <v>1724</v>
      </c>
      <c r="C593" s="2" t="s">
        <v>1725</v>
      </c>
      <c r="D593" s="2" t="s">
        <v>581</v>
      </c>
      <c r="E593" s="2" t="s">
        <v>31</v>
      </c>
      <c r="F593" s="2" t="s">
        <v>15</v>
      </c>
      <c r="G593" s="2" t="s">
        <v>1726</v>
      </c>
      <c r="H593" s="2" t="s">
        <v>33</v>
      </c>
      <c r="I593" s="2" t="str">
        <f>IFERROR(__xludf.DUMMYFUNCTION("GOOGLETRANSLATE(C593,""fr"",""en"")"),"I agree with all the comments that are on all unfavorable opinions concerning this mutual (see every day !!). I have been affiliated since January 1, 2021 and I only havete to be at the end of 2021 to get rid of this company
I repeat any possible communi"&amp;"cation with this CEGEMA except to refuse us reimbursements and I do not understand that it is necessary to go through Biarritz to try to communicate")</f>
        <v>I agree with all the comments that are on all unfavorable opinions concerning this mutual (see every day !!). I have been affiliated since January 1, 2021 and I only havete to be at the end of 2021 to get rid of this company
I repeat any possible communication with this CEGEMA except to refuse us reimbursements and I do not understand that it is necessary to go through Biarritz to try to communicate</v>
      </c>
    </row>
    <row r="594" ht="15.75" customHeight="1">
      <c r="A594" s="2">
        <v>2.0</v>
      </c>
      <c r="B594" s="2" t="s">
        <v>1727</v>
      </c>
      <c r="C594" s="2" t="s">
        <v>1728</v>
      </c>
      <c r="D594" s="2" t="s">
        <v>70</v>
      </c>
      <c r="E594" s="2" t="s">
        <v>31</v>
      </c>
      <c r="F594" s="2" t="s">
        <v>15</v>
      </c>
      <c r="G594" s="2" t="s">
        <v>1729</v>
      </c>
      <c r="H594" s="2" t="s">
        <v>61</v>
      </c>
      <c r="I594" s="2" t="str">
        <f>IFERROR(__xludf.DUMMYFUNCTION("GOOGLETRANSLATE(C594,""fr"",""en"")"),"Be careful like any insurer, who makes his customers on the phone by canvassing, there is always a form of purchase by pressure, the solicitation of a service that you did not really need to originally (I already have death and hospitalization insurance)
"&amp;"
Néoliane had therefore told me about death insurance and following their many calls, forgetting to terminate, I found myself on board for the most minimal contract possible of around 8 €, early 2021.
I had not received anything by email from concrete (a"&amp;"n oversight of their share), nothing contract level and in February, I had to restart them to have it, then following a 1st bank payment incident (which Not coming from my fact, since I have indicated the good bank details !!*), I already found myself lia"&amp;"ble for an amount of around 20 € so from the 1st month of starting (it starts well!)
Then crazy thing, depending on the date of their 2nd mail (a formal notice), that is precisely 3 days later, the amount on their mail (with formal notice) has almost dou"&amp;"bled: more than 40 € (strangely for this kind of Things no email or telephone call with messages, it's direct formal notice!)
Their subscription by phone is definitely profitable, once the contract was signed during the 14 -day period and the date of ter"&amp;"mination, we hold!
The operation remains winner for them, see juicy, according to my forecast calculation if it was carried out, at the rate of the 2 reminders received: within 1 year I will end up with a disproportionate amount of 400 to 600 €, nice for"&amp;" a unemployed who only receives € 1020/month
 Too bad for them, I'm going to detect Hanger my current mutual in the coming weeks: indeed, the one I have for 3 years, of which I have been happy for their services, has gone in 2 years from 80 € to 100 €!
"&amp;"It will be an active approach on my part, not suffered by canvassing on the phone (I am big enough to find one)
* How am I responsible for what the levy did not work? I indicated the good rib! I automatically suffer a fine (then 1 week + late) for a bank"&amp;" rejection, which I cannot prove that I am not the manager (necessarily due to a problem with an accounting service of Néoliane or other exceptional cause independent, from Neoliane, from me and maybe from my bank, which has nevertheless taken well, ensur"&amp;"ed the samples so far)
")</f>
        <v>Be careful like any insurer, who makes his customers on the phone by canvassing, there is always a form of purchase by pressure, the solicitation of a service that you did not really need to originally (I already have death and hospitalization insurance)
Néoliane had therefore told me about death insurance and following their many calls, forgetting to terminate, I found myself on board for the most minimal contract possible of around 8 €, early 2021.
I had not received anything by email from concrete (an oversight of their share), nothing contract level and in February, I had to restart them to have it, then following a 1st bank payment incident (which Not coming from my fact, since I have indicated the good bank details !!*), I already found myself liable for an amount of around 20 € so from the 1st month of starting (it starts well!)
Then crazy thing, depending on the date of their 2nd mail (a formal notice), that is precisely 3 days later, the amount on their mail (with formal notice) has almost doubled: more than 40 € (strangely for this kind of Things no email or telephone call with messages, it's direct formal notice!)
Their subscription by phone is definitely profitable, once the contract was signed during the 14 -day period and the date of termination, we hold!
The operation remains winner for them, see juicy, according to my forecast calculation if it was carried out, at the rate of the 2 reminders received: within 1 year I will end up with a disproportionate amount of 400 to 600 €, nice for a unemployed who only receives € 1020/month
 Too bad for them, I'm going to detect Hanger my current mutual in the coming weeks: indeed, the one I have for 3 years, of which I have been happy for their services, has gone in 2 years from 80 € to 100 €!
It will be an active approach on my part, not suffered by canvassing on the phone (I am big enough to find one)
* How am I responsible for what the levy did not work? I indicated the good rib! I automatically suffer a fine (then 1 week + late) for a bank rejection, which I cannot prove that I am not the manager (necessarily due to a problem with an accounting service of Néoliane or other exceptional cause independent, from Neoliane, from me and maybe from my bank, which has nevertheless taken well, ensured the samples so far)
</v>
      </c>
    </row>
    <row r="595" ht="15.75" customHeight="1">
      <c r="A595" s="2">
        <v>3.0</v>
      </c>
      <c r="B595" s="2" t="s">
        <v>1730</v>
      </c>
      <c r="C595" s="2" t="s">
        <v>1731</v>
      </c>
      <c r="D595" s="2" t="s">
        <v>30</v>
      </c>
      <c r="E595" s="2" t="s">
        <v>31</v>
      </c>
      <c r="F595" s="2" t="s">
        <v>15</v>
      </c>
      <c r="G595" s="2" t="s">
        <v>1732</v>
      </c>
      <c r="H595" s="2" t="s">
        <v>138</v>
      </c>
      <c r="I595" s="2" t="str">
        <f>IFERROR(__xludf.DUMMYFUNCTION("GOOGLETRANSLATE(C595,""fr"",""en"")"),"To the MGP since 1984 !!! I never have the desire to change my mutual, although (especially) very attractive changes) were offered to me. But so far with the MGP I have not been concerned.")</f>
        <v>To the MGP since 1984 !!! I never have the desire to change my mutual, although (especially) very attractive changes) were offered to me. But so far with the MGP I have not been concerned.</v>
      </c>
    </row>
    <row r="596" ht="15.75" customHeight="1">
      <c r="A596" s="2">
        <v>2.0</v>
      </c>
      <c r="B596" s="2" t="s">
        <v>1733</v>
      </c>
      <c r="C596" s="2" t="s">
        <v>1734</v>
      </c>
      <c r="D596" s="2" t="s">
        <v>13</v>
      </c>
      <c r="E596" s="2" t="s">
        <v>14</v>
      </c>
      <c r="F596" s="2" t="s">
        <v>15</v>
      </c>
      <c r="G596" s="2" t="s">
        <v>513</v>
      </c>
      <c r="H596" s="2" t="s">
        <v>61</v>
      </c>
      <c r="I596" s="2" t="str">
        <f>IFERROR(__xludf.DUMMYFUNCTION("GOOGLETRANSLATE(C596,""fr"",""en"")"),"We have learned the termination of our contract via a message from our Direct Assurance godfather. Very disappointed with this action on your part. We have recommended your insurance to an acquaintance and will do everything to correct this error.")</f>
        <v>We have learned the termination of our contract via a message from our Direct Assurance godfather. Very disappointed with this action on your part. We have recommended your insurance to an acquaintance and will do everything to correct this error.</v>
      </c>
    </row>
    <row r="597" ht="15.75" customHeight="1">
      <c r="A597" s="2">
        <v>1.0</v>
      </c>
      <c r="B597" s="2" t="s">
        <v>1735</v>
      </c>
      <c r="C597" s="2" t="s">
        <v>1736</v>
      </c>
      <c r="D597" s="2" t="s">
        <v>120</v>
      </c>
      <c r="E597" s="2" t="s">
        <v>55</v>
      </c>
      <c r="F597" s="2" t="s">
        <v>15</v>
      </c>
      <c r="G597" s="2" t="s">
        <v>1737</v>
      </c>
      <c r="H597" s="2" t="s">
        <v>861</v>
      </c>
      <c r="I597" s="2" t="str">
        <f>IFERROR(__xludf.DUMMYFUNCTION("GOOGLETRANSLATE(C597,""fr"",""en"")"),"Following a claim on March 2 and a statement to the Brive agency on March 3.
You had to contact me according to the agency advisor to Brive, to date no contact.
When I phone the platform on March 12 I cannot have the sinister service.
I have an advisor"&amp;" but he can't do the service to me, 2 hours on the phone.
I sent an email no answer.
There is really a dismounting in the processing of your files.
At other insurer there is a loss manager at the agency there is fed up with telephone platforms.
"&amp;"
")</f>
        <v>Following a claim on March 2 and a statement to the Brive agency on March 3.
You had to contact me according to the agency advisor to Brive, to date no contact.
When I phone the platform on March 12 I cannot have the sinister service.
I have an advisor but he can't do the service to me, 2 hours on the phone.
I sent an email no answer.
There is really a dismounting in the processing of your files.
At other insurer there is a loss manager at the agency there is fed up with telephone platforms.
</v>
      </c>
    </row>
    <row r="598" ht="15.75" customHeight="1">
      <c r="A598" s="2">
        <v>2.0</v>
      </c>
      <c r="B598" s="2" t="s">
        <v>1738</v>
      </c>
      <c r="C598" s="2" t="s">
        <v>1739</v>
      </c>
      <c r="D598" s="2" t="s">
        <v>45</v>
      </c>
      <c r="E598" s="2" t="s">
        <v>14</v>
      </c>
      <c r="F598" s="2" t="s">
        <v>15</v>
      </c>
      <c r="G598" s="2" t="s">
        <v>1740</v>
      </c>
      <c r="H598" s="2" t="s">
        <v>263</v>
      </c>
      <c r="I598" s="2" t="str">
        <f>IFERROR(__xludf.DUMMYFUNCTION("GOOGLETRANSLATE(C598,""fr"",""en"")"),"Hello following an accident occurring on July 23 The Automobile Expert (AXA) tells me that poor workmanships are not taken care of because my vehicle was repaired by the former assured owner Macif this one tells me that he did the Repairs with a Macif par"&amp;"tner garage I therefore contact Macif by email (5mail) is nothing not a word from their part my insurance to contact them and not a word words either the former owner (retired who is sick elsewhere) In fact everything are possible and it is made several t"&amp;"imes to the Macif so that long finds a solution quickly find you normal that the Macif does not answer? Are he guarantor of their partner? (Mechanic) To date my vehicle cannot be repaired without recovery of poor workmanships which are not taken into acco"&amp;"unt by the expert (AXA) thank you for helping me if someone has a solution I am really taken by pros")</f>
        <v>Hello following an accident occurring on July 23 The Automobile Expert (AXA) tells me that poor workmanships are not taken care of because my vehicle was repaired by the former assured owner Macif this one tells me that he did the Repairs with a Macif partner garage I therefore contact Macif by email (5mail) is nothing not a word from their part my insurance to contact them and not a word words either the former owner (retired who is sick elsewhere) In fact everything are possible and it is made several times to the Macif so that long finds a solution quickly find you normal that the Macif does not answer? Are he guarantor of their partner? (Mechanic) To date my vehicle cannot be repaired without recovery of poor workmanships which are not taken into account by the expert (AXA) thank you for helping me if someone has a solution I am really taken by pros</v>
      </c>
    </row>
    <row r="599" ht="15.75" customHeight="1">
      <c r="A599" s="2">
        <v>5.0</v>
      </c>
      <c r="B599" s="2" t="s">
        <v>1741</v>
      </c>
      <c r="C599" s="2" t="s">
        <v>1742</v>
      </c>
      <c r="D599" s="2" t="s">
        <v>334</v>
      </c>
      <c r="E599" s="2" t="s">
        <v>31</v>
      </c>
      <c r="F599" s="2" t="s">
        <v>15</v>
      </c>
      <c r="G599" s="2" t="s">
        <v>168</v>
      </c>
      <c r="H599" s="2" t="s">
        <v>169</v>
      </c>
      <c r="I599" s="2" t="str">
        <f>IFERROR(__xludf.DUMMYFUNCTION("GOOGLETRANSLATE(C599,""fr"",""en"")"),"Alassane is really a person who listens to you and who knows how to answer any question he explains things like a real professional he is at the top still a big thank you to him")</f>
        <v>Alassane is really a person who listens to you and who knows how to answer any question he explains things like a real professional he is at the top still a big thank you to him</v>
      </c>
    </row>
    <row r="600" ht="15.75" customHeight="1">
      <c r="A600" s="2">
        <v>5.0</v>
      </c>
      <c r="B600" s="2" t="s">
        <v>1743</v>
      </c>
      <c r="C600" s="2" t="s">
        <v>1744</v>
      </c>
      <c r="D600" s="2" t="s">
        <v>13</v>
      </c>
      <c r="E600" s="2" t="s">
        <v>14</v>
      </c>
      <c r="F600" s="2" t="s">
        <v>15</v>
      </c>
      <c r="G600" s="2" t="s">
        <v>1596</v>
      </c>
      <c r="H600" s="2" t="s">
        <v>42</v>
      </c>
      <c r="I600" s="2" t="str">
        <f>IFERROR(__xludf.DUMMYFUNCTION("GOOGLETRANSLATE(C600,""fr"",""en"")"),"I am very satisfied with the price and the guarantees offered which are the times cheaper than at my current insurer. Facilitated to secure online.")</f>
        <v>I am very satisfied with the price and the guarantees offered which are the times cheaper than at my current insurer. Facilitated to secure online.</v>
      </c>
    </row>
    <row r="601" ht="15.75" customHeight="1">
      <c r="A601" s="2">
        <v>1.0</v>
      </c>
      <c r="B601" s="2" t="s">
        <v>1745</v>
      </c>
      <c r="C601" s="2" t="s">
        <v>1746</v>
      </c>
      <c r="D601" s="2" t="s">
        <v>64</v>
      </c>
      <c r="E601" s="2" t="s">
        <v>31</v>
      </c>
      <c r="F601" s="2" t="s">
        <v>15</v>
      </c>
      <c r="G601" s="2" t="s">
        <v>60</v>
      </c>
      <c r="H601" s="2" t="s">
        <v>61</v>
      </c>
      <c r="I601" s="2" t="str">
        <f>IFERROR(__xludf.DUMMYFUNCTION("GOOGLETRANSLATE(C601,""fr"",""en"")"),"TO FLEE  !
Affiliation file for my son sent in early November. We are in March, and still nothing.
Friday, I phone. I am told that we will contact me. This morning (Tuesday), without news, I recall again. Same answer, I must be contacted. The affiliatio"&amp;"n service is simply unreachable. The telephone reception transmits emails at the service ... and we stop there. Very practical!
I gladly check the little box ""I hope that my contact details are transmitted to the insurer so that he can answer me"" ... I"&amp;" may finally have news.")</f>
        <v>TO FLEE  !
Affiliation file for my son sent in early November. We are in March, and still nothing.
Friday, I phone. I am told that we will contact me. This morning (Tuesday), without news, I recall again. Same answer, I must be contacted. The affiliation service is simply unreachable. The telephone reception transmits emails at the service ... and we stop there. Very practical!
I gladly check the little box "I hope that my contact details are transmitted to the insurer so that he can answer me" ... I may finally have news.</v>
      </c>
    </row>
    <row r="602" ht="15.75" customHeight="1">
      <c r="A602" s="2">
        <v>1.0</v>
      </c>
      <c r="B602" s="2" t="s">
        <v>1747</v>
      </c>
      <c r="C602" s="2" t="s">
        <v>1748</v>
      </c>
      <c r="D602" s="2" t="s">
        <v>13</v>
      </c>
      <c r="E602" s="2" t="s">
        <v>14</v>
      </c>
      <c r="F602" s="2" t="s">
        <v>15</v>
      </c>
      <c r="G602" s="2" t="s">
        <v>833</v>
      </c>
      <c r="H602" s="2" t="s">
        <v>110</v>
      </c>
      <c r="I602" s="2" t="str">
        <f>IFERROR(__xludf.DUMMYFUNCTION("GOOGLETRANSLATE(C602,""fr"",""en"")"),"I try to have contact with someone for several days and nobody answers! There is no number to call so impossible even to find an address to send the letter of termination of the contract")</f>
        <v>I try to have contact with someone for several days and nobody answers! There is no number to call so impossible even to find an address to send the letter of termination of the contract</v>
      </c>
    </row>
    <row r="603" ht="15.75" customHeight="1">
      <c r="A603" s="2">
        <v>2.0</v>
      </c>
      <c r="B603" s="2" t="s">
        <v>1749</v>
      </c>
      <c r="C603" s="2" t="s">
        <v>1750</v>
      </c>
      <c r="D603" s="2" t="s">
        <v>201</v>
      </c>
      <c r="E603" s="2" t="s">
        <v>21</v>
      </c>
      <c r="F603" s="2" t="s">
        <v>15</v>
      </c>
      <c r="G603" s="2" t="s">
        <v>1740</v>
      </c>
      <c r="H603" s="2" t="s">
        <v>263</v>
      </c>
      <c r="I603" s="2" t="str">
        <f>IFERROR(__xludf.DUMMYFUNCTION("GOOGLETRANSLATE(C603,""fr"",""en"")"),"Do not take in cosideration Coefficient of Reduction Majoration Personal according to obscure criteria ...
I fall back to the Matmut who has a listening service and not just a box drawer.
Null zero! To avoid everything.
")</f>
        <v>Do not take in cosideration Coefficient of Reduction Majoration Personal according to obscure criteria ...
I fall back to the Matmut who has a listening service and not just a box drawer.
Null zero! To avoid everything.
</v>
      </c>
    </row>
    <row r="604" ht="15.75" customHeight="1">
      <c r="A604" s="2">
        <v>3.0</v>
      </c>
      <c r="B604" s="2" t="s">
        <v>1751</v>
      </c>
      <c r="C604" s="2" t="s">
        <v>1752</v>
      </c>
      <c r="D604" s="2" t="s">
        <v>13</v>
      </c>
      <c r="E604" s="2" t="s">
        <v>14</v>
      </c>
      <c r="F604" s="2" t="s">
        <v>15</v>
      </c>
      <c r="G604" s="2" t="s">
        <v>513</v>
      </c>
      <c r="H604" s="2" t="s">
        <v>61</v>
      </c>
      <c r="I604" s="2" t="str">
        <f>IFERROR(__xludf.DUMMYFUNCTION("GOOGLETRANSLATE(C604,""fr"",""en"")"),"I am very satisfied with the price of my continuous insurance my situation not very rich view the covid 19 c is complicated enough for me currently thank you")</f>
        <v>I am very satisfied with the price of my continuous insurance my situation not very rich view the covid 19 c is complicated enough for me currently thank you</v>
      </c>
    </row>
    <row r="605" ht="15.75" customHeight="1">
      <c r="A605" s="2">
        <v>2.0</v>
      </c>
      <c r="B605" s="2" t="s">
        <v>1753</v>
      </c>
      <c r="C605" s="2" t="s">
        <v>1754</v>
      </c>
      <c r="D605" s="2" t="s">
        <v>277</v>
      </c>
      <c r="E605" s="2" t="s">
        <v>55</v>
      </c>
      <c r="F605" s="2" t="s">
        <v>15</v>
      </c>
      <c r="G605" s="2" t="s">
        <v>607</v>
      </c>
      <c r="H605" s="2" t="s">
        <v>607</v>
      </c>
      <c r="I605" s="2" t="str">
        <f>IFERROR(__xludf.DUMMYFUNCTION("GOOGLETRANSLATE(C605,""fr"",""en"")"),"Hi there
I was the victim of a burglary on Christmas day 2017, I just had by email (I had to ask ... otherwise no news) the details of the reimbursements ....
I have a ""reimbursement to new"" contract, I provided all the invoices ... and I see that for"&amp;" Pacificica the golden downs more and more ... value of my alliance 700 euros .. reimbursed .. 250 euros, ditto for other jewelry ...
Aillant everything at the CRCA, I say any bank, investments, home insurance, auto ... I am a member (share share), I bel"&amp;"ieve that a migration to another insurer will be done ...")</f>
        <v>Hi there
I was the victim of a burglary on Christmas day 2017, I just had by email (I had to ask ... otherwise no news) the details of the reimbursements ....
I have a "reimbursement to new" contract, I provided all the invoices ... and I see that for Pacificica the golden downs more and more ... value of my alliance 700 euros .. reimbursed .. 250 euros, ditto for other jewelry ...
Aillant everything at the CRCA, I say any bank, investments, home insurance, auto ... I am a member (share share), I believe that a migration to another insurer will be done ...</v>
      </c>
    </row>
    <row r="606" ht="15.75" customHeight="1">
      <c r="A606" s="2">
        <v>4.0</v>
      </c>
      <c r="B606" s="2" t="s">
        <v>1755</v>
      </c>
      <c r="C606" s="2" t="s">
        <v>1756</v>
      </c>
      <c r="D606" s="2" t="s">
        <v>50</v>
      </c>
      <c r="E606" s="2" t="s">
        <v>21</v>
      </c>
      <c r="F606" s="2" t="s">
        <v>15</v>
      </c>
      <c r="G606" s="2" t="s">
        <v>867</v>
      </c>
      <c r="H606" s="2" t="s">
        <v>42</v>
      </c>
      <c r="I606" s="2" t="str">
        <f>IFERROR(__xludf.DUMMYFUNCTION("GOOGLETRANSLATE(C606,""fr"",""en"")"),"Hello quote made online. The return is fast and the site is very intuitive. Very satisfied with the price / service proposal. I recommend .")</f>
        <v>Hello quote made online. The return is fast and the site is very intuitive. Very satisfied with the price / service proposal. I recommend .</v>
      </c>
    </row>
    <row r="607" ht="15.75" customHeight="1">
      <c r="A607" s="2">
        <v>1.0</v>
      </c>
      <c r="B607" s="2" t="s">
        <v>1757</v>
      </c>
      <c r="C607" s="2" t="s">
        <v>1758</v>
      </c>
      <c r="D607" s="2" t="s">
        <v>13</v>
      </c>
      <c r="E607" s="2" t="s">
        <v>14</v>
      </c>
      <c r="F607" s="2" t="s">
        <v>15</v>
      </c>
      <c r="G607" s="2" t="s">
        <v>1759</v>
      </c>
      <c r="H607" s="2" t="s">
        <v>27</v>
      </c>
      <c r="I607" s="2" t="str">
        <f>IFERROR(__xludf.DUMMYFUNCTION("GOOGLETRANSLATE(C607,""fr"",""en"")"),"You are not among the cheapest but I considered you when I subscribed to you as a left reference/price. I called on you recently because I move and I wanted to keep you as providers for my home insurance but I found a deplorable customer service, without "&amp;"any human consideration. A horde of teleoperators knowing nothing about insurance and even less in customer relations. Deplorable! I'm so disappointed !")</f>
        <v>You are not among the cheapest but I considered you when I subscribed to you as a left reference/price. I called on you recently because I move and I wanted to keep you as providers for my home insurance but I found a deplorable customer service, without any human consideration. A horde of teleoperators knowing nothing about insurance and even less in customer relations. Deplorable! I'm so disappointed !</v>
      </c>
    </row>
    <row r="608" ht="15.75" customHeight="1">
      <c r="A608" s="2">
        <v>1.0</v>
      </c>
      <c r="B608" s="2" t="s">
        <v>1760</v>
      </c>
      <c r="C608" s="2" t="s">
        <v>1761</v>
      </c>
      <c r="D608" s="2" t="s">
        <v>193</v>
      </c>
      <c r="E608" s="2" t="s">
        <v>65</v>
      </c>
      <c r="F608" s="2" t="s">
        <v>15</v>
      </c>
      <c r="G608" s="2" t="s">
        <v>1762</v>
      </c>
      <c r="H608" s="2" t="s">
        <v>33</v>
      </c>
      <c r="I608" s="2" t="str">
        <f>IFERROR(__xludf.DUMMYFUNCTION("GOOGLETRANSLATE(C608,""fr"",""en"")"),"Shabby? Incompetent? I do not care ?
I have never experienced such zero insurance with intolerable processing times.
I informed them 3 months ago of the death of my mother, I receive today a registered letter of formal notice of payment of contributions"&amp;" with threats of suspension and termination of contract! Not only has my mother died for 3 months and they are informed but in addition the contributions are no longer due since my mother received an annuity. Worse than that, they are the ones who owe us "&amp;"money because they did not stop the samples after the first payment of the annuity.
On another request for death capital, I have just received an answer for the documents to be provided after three months of Couriers, emails, telephone (unreachable), rec"&amp;"ommended letters. They don't give a damn about it. To flee.")</f>
        <v>Shabby? Incompetent? I do not care ?
I have never experienced such zero insurance with intolerable processing times.
I informed them 3 months ago of the death of my mother, I receive today a registered letter of formal notice of payment of contributions with threats of suspension and termination of contract! Not only has my mother died for 3 months and they are informed but in addition the contributions are no longer due since my mother received an annuity. Worse than that, they are the ones who owe us money because they did not stop the samples after the first payment of the annuity.
On another request for death capital, I have just received an answer for the documents to be provided after three months of Couriers, emails, telephone (unreachable), recommended letters. They don't give a damn about it. To flee.</v>
      </c>
    </row>
    <row r="609" ht="15.75" customHeight="1">
      <c r="A609" s="2">
        <v>1.0</v>
      </c>
      <c r="B609" s="2" t="s">
        <v>1763</v>
      </c>
      <c r="C609" s="2" t="s">
        <v>1764</v>
      </c>
      <c r="D609" s="2" t="s">
        <v>74</v>
      </c>
      <c r="E609" s="2" t="s">
        <v>14</v>
      </c>
      <c r="F609" s="2" t="s">
        <v>15</v>
      </c>
      <c r="G609" s="2" t="s">
        <v>1765</v>
      </c>
      <c r="H609" s="2" t="s">
        <v>263</v>
      </c>
      <c r="I609" s="2" t="str">
        <f>IFERROR(__xludf.DUMMYFUNCTION("GOOGLETRANSLATE(C609,""fr"",""en"")"),"insurance that completely crazy about its customers. Since the beginning of May and the flight of one of my vehicle the GMF ME has ballad and does not reimburse me my due. Insurance in Furie")</f>
        <v>insurance that completely crazy about its customers. Since the beginning of May and the flight of one of my vehicle the GMF ME has ballad and does not reimburse me my due. Insurance in Furie</v>
      </c>
    </row>
    <row r="610" ht="15.75" customHeight="1">
      <c r="A610" s="2">
        <v>1.0</v>
      </c>
      <c r="B610" s="2" t="s">
        <v>1766</v>
      </c>
      <c r="C610" s="2" t="s">
        <v>1767</v>
      </c>
      <c r="D610" s="2" t="s">
        <v>45</v>
      </c>
      <c r="E610" s="2" t="s">
        <v>14</v>
      </c>
      <c r="F610" s="2" t="s">
        <v>15</v>
      </c>
      <c r="G610" s="2" t="s">
        <v>1333</v>
      </c>
      <c r="H610" s="2" t="s">
        <v>179</v>
      </c>
      <c r="I610" s="2" t="str">
        <f>IFERROR(__xludf.DUMMYFUNCTION("GOOGLETRANSLATE(C610,""fr"",""en"")"),"That's all for them. You may have paid for years and years. You just have to have some problems, they solve the contract so -called that they must be profitable. It’s not a good mutual!")</f>
        <v>That's all for them. You may have paid for years and years. You just have to have some problems, they solve the contract so -called that they must be profitable. It’s not a good mutual!</v>
      </c>
    </row>
    <row r="611" ht="15.75" customHeight="1">
      <c r="A611" s="2">
        <v>4.0</v>
      </c>
      <c r="B611" s="2" t="s">
        <v>1768</v>
      </c>
      <c r="C611" s="2" t="s">
        <v>1769</v>
      </c>
      <c r="D611" s="2" t="s">
        <v>87</v>
      </c>
      <c r="E611" s="2" t="s">
        <v>14</v>
      </c>
      <c r="F611" s="2" t="s">
        <v>15</v>
      </c>
      <c r="G611" s="2" t="s">
        <v>545</v>
      </c>
      <c r="H611" s="2" t="s">
        <v>27</v>
      </c>
      <c r="I611" s="2" t="str">
        <f>IFERROR(__xludf.DUMMYFUNCTION("GOOGLETRANSLATE(C611,""fr"",""en"")"),"Fast and simple tb I will recommend to my friends and acquaintances, the prices are correct and we can even secure the day of opening the contract, I am very satisfied, thank you")</f>
        <v>Fast and simple tb I will recommend to my friends and acquaintances, the prices are correct and we can even secure the day of opening the contract, I am very satisfied, thank you</v>
      </c>
    </row>
    <row r="612" ht="15.75" customHeight="1">
      <c r="A612" s="2">
        <v>5.0</v>
      </c>
      <c r="B612" s="2" t="s">
        <v>1770</v>
      </c>
      <c r="C612" s="2" t="s">
        <v>1771</v>
      </c>
      <c r="D612" s="2" t="s">
        <v>13</v>
      </c>
      <c r="E612" s="2" t="s">
        <v>14</v>
      </c>
      <c r="F612" s="2" t="s">
        <v>15</v>
      </c>
      <c r="G612" s="2" t="s">
        <v>1596</v>
      </c>
      <c r="H612" s="2" t="s">
        <v>42</v>
      </c>
      <c r="I612" s="2" t="str">
        <f>IFERROR(__xludf.DUMMYFUNCTION("GOOGLETRANSLATE(C612,""fr"",""en"")"),"Very nice, very simple insurance easy to use easy to make the car inside not very expensive either, we are insured quickly and efficient")</f>
        <v>Very nice, very simple insurance easy to use easy to make the car inside not very expensive either, we are insured quickly and efficient</v>
      </c>
    </row>
    <row r="613" ht="15.75" customHeight="1">
      <c r="A613" s="2">
        <v>5.0</v>
      </c>
      <c r="B613" s="2" t="s">
        <v>1772</v>
      </c>
      <c r="C613" s="2" t="s">
        <v>1773</v>
      </c>
      <c r="D613" s="2" t="s">
        <v>201</v>
      </c>
      <c r="E613" s="2" t="s">
        <v>21</v>
      </c>
      <c r="F613" s="2" t="s">
        <v>15</v>
      </c>
      <c r="G613" s="2" t="s">
        <v>42</v>
      </c>
      <c r="H613" s="2" t="s">
        <v>42</v>
      </c>
      <c r="I613" s="2" t="str">
        <f>IFERROR(__xludf.DUMMYFUNCTION("GOOGLETRANSLATE(C613,""fr"",""en"")"),"For the moment I am satisfied, there is a customer service that we understand and that responds.
The internet insurance declaration is practical and easy to use.")</f>
        <v>For the moment I am satisfied, there is a customer service that we understand and that responds.
The internet insurance declaration is practical and easy to use.</v>
      </c>
    </row>
    <row r="614" ht="15.75" customHeight="1">
      <c r="A614" s="2">
        <v>1.0</v>
      </c>
      <c r="B614" s="2" t="s">
        <v>1774</v>
      </c>
      <c r="C614" s="2" t="s">
        <v>1775</v>
      </c>
      <c r="D614" s="2" t="s">
        <v>237</v>
      </c>
      <c r="E614" s="2" t="s">
        <v>55</v>
      </c>
      <c r="F614" s="2" t="s">
        <v>15</v>
      </c>
      <c r="G614" s="2" t="s">
        <v>699</v>
      </c>
      <c r="H614" s="2" t="s">
        <v>699</v>
      </c>
      <c r="I614" s="2" t="str">
        <f>IFERROR(__xludf.DUMMYFUNCTION("GOOGLETRANSLATE(C614,""fr"",""en"")"),"Student I was provided by AXA for 6 months. It was very very long to terminate the contract that I had subscribed on the Internet (hours on the phone).
I am still not reimbursed at the moment of the surplus that I have paid (3 months) since they sent the"&amp;" reimbursement check to the address of the apartment I left.
The procedures are systematically very long and tedious (on average 3 or 4 telephone servers before having the right one).
I strongly advise against Axa Insurance.")</f>
        <v>Student I was provided by AXA for 6 months. It was very very long to terminate the contract that I had subscribed on the Internet (hours on the phone).
I am still not reimbursed at the moment of the surplus that I have paid (3 months) since they sent the reimbursement check to the address of the apartment I left.
The procedures are systematically very long and tedious (on average 3 or 4 telephone servers before having the right one).
I strongly advise against Axa Insurance.</v>
      </c>
    </row>
    <row r="615" ht="15.75" customHeight="1">
      <c r="A615" s="2">
        <v>1.0</v>
      </c>
      <c r="B615" s="2" t="s">
        <v>1776</v>
      </c>
      <c r="C615" s="2" t="s">
        <v>1777</v>
      </c>
      <c r="D615" s="2" t="s">
        <v>237</v>
      </c>
      <c r="E615" s="2" t="s">
        <v>55</v>
      </c>
      <c r="F615" s="2" t="s">
        <v>15</v>
      </c>
      <c r="G615" s="2" t="s">
        <v>1778</v>
      </c>
      <c r="H615" s="2" t="s">
        <v>89</v>
      </c>
      <c r="I615" s="2" t="str">
        <f>IFERROR(__xludf.DUMMYFUNCTION("GOOGLETRANSLATE(C615,""fr"",""en"")"),"I have been insured for several years at AXA in September on September 25 to be precise I was robbed at my old home during my move in the new I did all the papers with police intervention police since more news when I 'Call to know or is my file or when I"&amp;" am compensated have replied that everything is still with the expert when I call the expert tells me that everything is at Axa that he has all the data and that he would have to contact me I remind you therefore the advisor Axa who now always answers the"&amp;" same thing have reminded you of any answer from them for a month that he must always call me no answer I stay in the blur have just told me will look at your file the follow -up in the event of burglary claims is not serious at all")</f>
        <v>I have been insured for several years at AXA in September on September 25 to be precise I was robbed at my old home during my move in the new I did all the papers with police intervention police since more news when I 'Call to know or is my file or when I am compensated have replied that everything is still with the expert when I call the expert tells me that everything is at Axa that he has all the data and that he would have to contact me I remind you therefore the advisor Axa who now always answers the same thing have reminded you of any answer from them for a month that he must always call me no answer I stay in the blur have just told me will look at your file the follow -up in the event of burglary claims is not serious at all</v>
      </c>
    </row>
    <row r="616" ht="15.75" customHeight="1">
      <c r="A616" s="2">
        <v>3.0</v>
      </c>
      <c r="B616" s="2" t="s">
        <v>1779</v>
      </c>
      <c r="C616" s="2" t="s">
        <v>1780</v>
      </c>
      <c r="D616" s="2" t="s">
        <v>70</v>
      </c>
      <c r="E616" s="2" t="s">
        <v>31</v>
      </c>
      <c r="F616" s="2" t="s">
        <v>15</v>
      </c>
      <c r="G616" s="2" t="s">
        <v>1781</v>
      </c>
      <c r="H616" s="2" t="s">
        <v>103</v>
      </c>
      <c r="I616" s="2" t="str">
        <f>IFERROR(__xludf.DUMMYFUNCTION("GOOGLETRANSLATE(C616,""fr"",""en"")"),"To follow up on a complaint with the litigation and complaint of Néoliane Santé et Prévoyance, post below, the dispute is lifted since the company took into account my complaint. Like what, a reactive customer service can change the opinion of a consumer."&amp;"
Thank you
To follow up on my post below, the dispute is lifted since the company took into account my complaint. Like what, a reactive client service can change the opinion of a consumer.
To follow up on my post below, the dispute is lifted since th"&amp;"e company took into account my complaint. Like what, a reactive client service can change the opinion of a consumer.
")</f>
        <v>To follow up on a complaint with the litigation and complaint of Néoliane Santé et Prévoyance, post below, the dispute is lifted since the company took into account my complaint. Like what, a reactive customer service can change the opinion of a consumer.
Thank you
To follow up on my post below, the dispute is lifted since the company took into account my complaint. Like what, a reactive client service can change the opinion of a consumer.
To follow up on my post below, the dispute is lifted since the company took into account my complaint. Like what, a reactive client service can change the opinion of a consumer.
</v>
      </c>
    </row>
    <row r="617" ht="15.75" customHeight="1">
      <c r="A617" s="2">
        <v>5.0</v>
      </c>
      <c r="B617" s="2" t="s">
        <v>1782</v>
      </c>
      <c r="C617" s="2" t="s">
        <v>1783</v>
      </c>
      <c r="D617" s="2" t="s">
        <v>13</v>
      </c>
      <c r="E617" s="2" t="s">
        <v>14</v>
      </c>
      <c r="F617" s="2" t="s">
        <v>15</v>
      </c>
      <c r="G617" s="2" t="s">
        <v>595</v>
      </c>
      <c r="H617" s="2" t="s">
        <v>433</v>
      </c>
      <c r="I617" s="2" t="str">
        <f>IFERROR(__xludf.DUMMYFUNCTION("GOOGLETRANSLATE(C617,""fr"",""en"")"),"Completely satisfied by the rapiditis and the service they provide. Very competitive price I highly recommend.")</f>
        <v>Completely satisfied by the rapiditis and the service they provide. Very competitive price I highly recommend.</v>
      </c>
    </row>
    <row r="618" ht="15.75" customHeight="1">
      <c r="A618" s="2">
        <v>3.0</v>
      </c>
      <c r="B618" s="2" t="s">
        <v>1784</v>
      </c>
      <c r="C618" s="2" t="s">
        <v>1785</v>
      </c>
      <c r="D618" s="2" t="s">
        <v>237</v>
      </c>
      <c r="E618" s="2" t="s">
        <v>14</v>
      </c>
      <c r="F618" s="2" t="s">
        <v>15</v>
      </c>
      <c r="G618" s="2" t="s">
        <v>224</v>
      </c>
      <c r="H618" s="2" t="s">
        <v>42</v>
      </c>
      <c r="I618" s="2" t="str">
        <f>IFERROR(__xludf.DUMMYFUNCTION("GOOGLETRANSLATE(C618,""fr"",""en"")"),"fast and reliable in the event of a claim
Zero km insurance in the event of a breakdown with replacement vehicle
a phone call and the tow truck
The garage lends us a vehicle at no cost and by Qye the vehicle is repaired it deposits it at home")</f>
        <v>fast and reliable in the event of a claim
Zero km insurance in the event of a breakdown with replacement vehicle
a phone call and the tow truck
The garage lends us a vehicle at no cost and by Qye the vehicle is repaired it deposits it at home</v>
      </c>
    </row>
    <row r="619" ht="15.75" customHeight="1">
      <c r="A619" s="2">
        <v>4.0</v>
      </c>
      <c r="B619" s="2" t="s">
        <v>1786</v>
      </c>
      <c r="C619" s="2" t="s">
        <v>1787</v>
      </c>
      <c r="D619" s="2" t="s">
        <v>87</v>
      </c>
      <c r="E619" s="2" t="s">
        <v>14</v>
      </c>
      <c r="F619" s="2" t="s">
        <v>15</v>
      </c>
      <c r="G619" s="2" t="s">
        <v>1184</v>
      </c>
      <c r="H619" s="2" t="s">
        <v>52</v>
      </c>
      <c r="I619" s="2" t="str">
        <f>IFERROR(__xludf.DUMMYFUNCTION("GOOGLETRANSLATE(C619,""fr"",""en"")"),"I have no particular comments on pricing to date, I will relaunch the various insurances before the deadline in order to go towards the most offering.")</f>
        <v>I have no particular comments on pricing to date, I will relaunch the various insurances before the deadline in order to go towards the most offering.</v>
      </c>
    </row>
    <row r="620" ht="15.75" customHeight="1">
      <c r="A620" s="2">
        <v>1.0</v>
      </c>
      <c r="B620" s="2" t="s">
        <v>1788</v>
      </c>
      <c r="C620" s="2" t="s">
        <v>1789</v>
      </c>
      <c r="D620" s="2" t="s">
        <v>45</v>
      </c>
      <c r="E620" s="2" t="s">
        <v>55</v>
      </c>
      <c r="F620" s="2" t="s">
        <v>15</v>
      </c>
      <c r="G620" s="2" t="s">
        <v>698</v>
      </c>
      <c r="H620" s="2" t="s">
        <v>699</v>
      </c>
      <c r="I620" s="2" t="str">
        <f>IFERROR(__xludf.DUMMYFUNCTION("GOOGLETRANSLATE(C620,""fr"",""en"")"),"A fuiiiiiiiire ​​!!!!!!!!
Insurance that takes its customers well for sheep when you pay and you have no claim or big claim there is no problem, however, be careful not to be robbed because the oulaaaa giving the money to their customers its hurts !! I"&amp;" am stolen for more than 14000th I am offered 2,000th a shame it was waited for 5 months to make me this pitiful offer ... its fact 10 years I pay self -habitation insurance for in the end when you need them no support And puts you in a m *** reflecting w"&amp;"ell before registering at home change the time still time !!!!")</f>
        <v>A fuiiiiiiiire ​​!!!!!!!!
Insurance that takes its customers well for sheep when you pay and you have no claim or big claim there is no problem, however, be careful not to be robbed because the oulaaaa giving the money to their customers its hurts !! I am stolen for more than 14000th I am offered 2,000th a shame it was waited for 5 months to make me this pitiful offer ... its fact 10 years I pay self -habitation insurance for in the end when you need them no support And puts you in a m *** reflecting well before registering at home change the time still time !!!!</v>
      </c>
    </row>
    <row r="621" ht="15.75" customHeight="1">
      <c r="A621" s="2">
        <v>3.0</v>
      </c>
      <c r="B621" s="2" t="s">
        <v>1790</v>
      </c>
      <c r="C621" s="2" t="s">
        <v>1791</v>
      </c>
      <c r="D621" s="2" t="s">
        <v>74</v>
      </c>
      <c r="E621" s="2" t="s">
        <v>55</v>
      </c>
      <c r="F621" s="2" t="s">
        <v>15</v>
      </c>
      <c r="G621" s="2" t="s">
        <v>1792</v>
      </c>
      <c r="H621" s="2" t="s">
        <v>324</v>
      </c>
      <c r="I621" s="2" t="str">
        <f>IFERROR(__xludf.DUMMYFUNCTION("GOOGLETRANSLATE(C621,""fr"",""en"")"),"They are zero in the event of a claim you are returned to a phone number The person who caused this disaster did not want to make any observation I had no help from the GMF or any advice")</f>
        <v>They are zero in the event of a claim you are returned to a phone number The person who caused this disaster did not want to make any observation I had no help from the GMF or any advice</v>
      </c>
    </row>
    <row r="622" ht="15.75" customHeight="1">
      <c r="A622" s="2">
        <v>4.0</v>
      </c>
      <c r="B622" s="2" t="s">
        <v>1793</v>
      </c>
      <c r="C622" s="2" t="s">
        <v>1794</v>
      </c>
      <c r="D622" s="2" t="s">
        <v>13</v>
      </c>
      <c r="E622" s="2" t="s">
        <v>14</v>
      </c>
      <c r="F622" s="2" t="s">
        <v>15</v>
      </c>
      <c r="G622" s="2" t="s">
        <v>1795</v>
      </c>
      <c r="H622" s="2" t="s">
        <v>52</v>
      </c>
      <c r="I622" s="2" t="str">
        <f>IFERROR(__xludf.DUMMYFUNCTION("GOOGLETRANSLATE(C622,""fr"",""en"")"),"I just registered! Practical and simple, the price suits me for my vehicle and for the services offered. To see after. I chose monthly payment")</f>
        <v>I just registered! Practical and simple, the price suits me for my vehicle and for the services offered. To see after. I chose monthly payment</v>
      </c>
    </row>
    <row r="623" ht="15.75" customHeight="1">
      <c r="A623" s="2">
        <v>5.0</v>
      </c>
      <c r="B623" s="2" t="s">
        <v>1796</v>
      </c>
      <c r="C623" s="2" t="s">
        <v>1797</v>
      </c>
      <c r="D623" s="2" t="s">
        <v>87</v>
      </c>
      <c r="E623" s="2" t="s">
        <v>14</v>
      </c>
      <c r="F623" s="2" t="s">
        <v>15</v>
      </c>
      <c r="G623" s="2" t="s">
        <v>1798</v>
      </c>
      <c r="H623" s="2" t="s">
        <v>282</v>
      </c>
      <c r="I623" s="2" t="str">
        <f>IFERROR(__xludf.DUMMYFUNCTION("GOOGLETRANSLATE(C623,""fr"",""en"")"),"Very satisfaying. Very attractive price. I will recommend my loved ones. Well done site. Very explicit quote, easy to understand. Response speed.")</f>
        <v>Very satisfaying. Very attractive price. I will recommend my loved ones. Well done site. Very explicit quote, easy to understand. Response speed.</v>
      </c>
    </row>
    <row r="624" ht="15.75" customHeight="1">
      <c r="A624" s="2">
        <v>1.0</v>
      </c>
      <c r="B624" s="2" t="s">
        <v>1799</v>
      </c>
      <c r="C624" s="2" t="s">
        <v>1800</v>
      </c>
      <c r="D624" s="2" t="s">
        <v>948</v>
      </c>
      <c r="E624" s="2" t="s">
        <v>65</v>
      </c>
      <c r="F624" s="2" t="s">
        <v>15</v>
      </c>
      <c r="G624" s="2" t="s">
        <v>420</v>
      </c>
      <c r="H624" s="2" t="s">
        <v>94</v>
      </c>
      <c r="I624" s="2" t="str">
        <f>IFERROR(__xludf.DUMMYFUNCTION("GOOGLETRANSLATE(C624,""fr"",""en"")"),"Hello, I contact you because I am in long illness stop., I have a provident contract with Swisslife via my business. HR has transmitted documents, CPAM certificates since September. No payment on the day. What is the processing time. I sent an email to Sw"&amp;"isslife via the site no response. HR sent an email no response either. Thank you for your help. Cordially")</f>
        <v>Hello, I contact you because I am in long illness stop., I have a provident contract with Swisslife via my business. HR has transmitted documents, CPAM certificates since September. No payment on the day. What is the processing time. I sent an email to Swisslife via the site no response. HR sent an email no response either. Thank you for your help. Cordially</v>
      </c>
    </row>
    <row r="625" ht="15.75" customHeight="1">
      <c r="A625" s="2">
        <v>2.0</v>
      </c>
      <c r="B625" s="2" t="s">
        <v>1801</v>
      </c>
      <c r="C625" s="2" t="s">
        <v>1802</v>
      </c>
      <c r="D625" s="2" t="s">
        <v>237</v>
      </c>
      <c r="E625" s="2" t="s">
        <v>55</v>
      </c>
      <c r="F625" s="2" t="s">
        <v>15</v>
      </c>
      <c r="G625" s="2" t="s">
        <v>1803</v>
      </c>
      <c r="H625" s="2" t="s">
        <v>1315</v>
      </c>
      <c r="I625" s="2" t="str">
        <f>IFERROR(__xludf.DUMMYFUNCTION("GOOGLETRANSLATE(C625,""fr"",""en"")"),"As part of my home insurance, we are entitled to coverage lawyer fees on presentation of the invoice. To date I have not been reimbursed because I must present the final judgment in addition to the invoice. And it has been going on for 3 months. When we k"&amp;"now the deadlines for our justice to establish the judgments ...")</f>
        <v>As part of my home insurance, we are entitled to coverage lawyer fees on presentation of the invoice. To date I have not been reimbursed because I must present the final judgment in addition to the invoice. And it has been going on for 3 months. When we know the deadlines for our justice to establish the judgments ...</v>
      </c>
    </row>
    <row r="626" ht="15.75" customHeight="1">
      <c r="A626" s="2">
        <v>5.0</v>
      </c>
      <c r="B626" s="2" t="s">
        <v>1804</v>
      </c>
      <c r="C626" s="2" t="s">
        <v>1805</v>
      </c>
      <c r="D626" s="2" t="s">
        <v>201</v>
      </c>
      <c r="E626" s="2" t="s">
        <v>21</v>
      </c>
      <c r="F626" s="2" t="s">
        <v>15</v>
      </c>
      <c r="G626" s="2" t="s">
        <v>436</v>
      </c>
      <c r="H626" s="2" t="s">
        <v>42</v>
      </c>
      <c r="I626" s="2" t="str">
        <f>IFERROR(__xludf.DUMMYFUNCTION("GOOGLETRANSLATE(C626,""fr"",""en"")"),"I am satisfied with the ease to secure online. It's easier than 30 years ago. Interesting rates and services. I recommend AMV to those around me.")</f>
        <v>I am satisfied with the ease to secure online. It's easier than 30 years ago. Interesting rates and services. I recommend AMV to those around me.</v>
      </c>
    </row>
    <row r="627" ht="15.75" customHeight="1">
      <c r="A627" s="2">
        <v>5.0</v>
      </c>
      <c r="B627" s="2" t="s">
        <v>1806</v>
      </c>
      <c r="C627" s="2" t="s">
        <v>1807</v>
      </c>
      <c r="D627" s="2" t="s">
        <v>13</v>
      </c>
      <c r="E627" s="2" t="s">
        <v>14</v>
      </c>
      <c r="F627" s="2" t="s">
        <v>15</v>
      </c>
      <c r="G627" s="2" t="s">
        <v>1176</v>
      </c>
      <c r="H627" s="2" t="s">
        <v>110</v>
      </c>
      <c r="I627" s="2" t="str">
        <f>IFERROR(__xludf.DUMMYFUNCTION("GOOGLETRANSLATE(C627,""fr"",""en"")"),"Satisfied following my last non -responsible accident I continue at Direct Insurance. Very attractive price I did not even make other quotes among competitors.
Overall I am satisfied with the service, maybe it would be good to have the opportunity to ord"&amp;"er an observation because I am not offered others once mine used for an accident.")</f>
        <v>Satisfied following my last non -responsible accident I continue at Direct Insurance. Very attractive price I did not even make other quotes among competitors.
Overall I am satisfied with the service, maybe it would be good to have the opportunity to order an observation because I am not offered others once mine used for an accident.</v>
      </c>
    </row>
    <row r="628" ht="15.75" customHeight="1">
      <c r="A628" s="2">
        <v>3.0</v>
      </c>
      <c r="B628" s="2" t="s">
        <v>1808</v>
      </c>
      <c r="C628" s="2" t="s">
        <v>1809</v>
      </c>
      <c r="D628" s="2" t="s">
        <v>174</v>
      </c>
      <c r="E628" s="2" t="s">
        <v>31</v>
      </c>
      <c r="F628" s="2" t="s">
        <v>15</v>
      </c>
      <c r="G628" s="2" t="s">
        <v>1810</v>
      </c>
      <c r="H628" s="2" t="s">
        <v>408</v>
      </c>
      <c r="I628" s="2" t="str">
        <f>IFERROR(__xludf.DUMMYFUNCTION("GOOGLETRANSLATE(C628,""fr"",""en"")"),"Mutual Harmonie Le Havre refused to take a photocopy of a paper that I gave them and that I needed with the stamp of the date of the day, I was told that I had to go to the SECURITE site social to download the sheet and print it, but I would not have the "&amp;"stamp for proof that I have given them the paper, and that is what interests me, because the last time I put a paper I was terminated and I had no valid reason, and it is really serious, they do not care about us, I think seriously to terminate with them,"&amp;" because it is not the 1st problem,")</f>
        <v>Mutual Harmonie Le Havre refused to take a photocopy of a paper that I gave them and that I needed with the stamp of the date of the day, I was told that I had to go to the SECURITE site social to download the sheet and print it, but I would not have the stamp for proof that I have given them the paper, and that is what interests me, because the last time I put a paper I was terminated and I had no valid reason, and it is really serious, they do not care about us, I think seriously to terminate with them, because it is not the 1st problem,</v>
      </c>
    </row>
    <row r="629" ht="15.75" customHeight="1">
      <c r="A629" s="2">
        <v>5.0</v>
      </c>
      <c r="B629" s="2" t="s">
        <v>1811</v>
      </c>
      <c r="C629" s="2" t="s">
        <v>1812</v>
      </c>
      <c r="D629" s="2" t="s">
        <v>13</v>
      </c>
      <c r="E629" s="2" t="s">
        <v>14</v>
      </c>
      <c r="F629" s="2" t="s">
        <v>15</v>
      </c>
      <c r="G629" s="2" t="s">
        <v>1813</v>
      </c>
      <c r="H629" s="2" t="s">
        <v>42</v>
      </c>
      <c r="I629" s="2" t="str">
        <f>IFERROR(__xludf.DUMMYFUNCTION("GOOGLETRANSLATE(C629,""fr"",""en"")"),"I am satisfied with service and speed,
Ease of subscription, service to recommend.
Already in partnership with an old vehicle.
Regards Mr CONEJO")</f>
        <v>I am satisfied with service and speed,
Ease of subscription, service to recommend.
Already in partnership with an old vehicle.
Regards Mr CONEJO</v>
      </c>
    </row>
    <row r="630" ht="15.75" customHeight="1">
      <c r="A630" s="2">
        <v>1.0</v>
      </c>
      <c r="B630" s="2" t="s">
        <v>1814</v>
      </c>
      <c r="C630" s="2" t="s">
        <v>1815</v>
      </c>
      <c r="D630" s="2" t="s">
        <v>319</v>
      </c>
      <c r="E630" s="2" t="s">
        <v>14</v>
      </c>
      <c r="F630" s="2" t="s">
        <v>15</v>
      </c>
      <c r="G630" s="2" t="s">
        <v>1816</v>
      </c>
      <c r="H630" s="2" t="s">
        <v>179</v>
      </c>
      <c r="I630" s="2" t="str">
        <f>IFERROR(__xludf.DUMMYFUNCTION("GOOGLETRANSLATE(C630,""fr"",""en"")"),"Termination of the car contract after a disaster. Nice after being a customer 20 years.
I can recommend the company L’Olivier.
So I switched my other 3 Eurofil insurance to the olive tree too")</f>
        <v>Termination of the car contract after a disaster. Nice after being a customer 20 years.
I can recommend the company L’Olivier.
So I switched my other 3 Eurofil insurance to the olive tree too</v>
      </c>
    </row>
    <row r="631" ht="15.75" customHeight="1">
      <c r="A631" s="2">
        <v>5.0</v>
      </c>
      <c r="B631" s="2" t="s">
        <v>1817</v>
      </c>
      <c r="C631" s="2" t="s">
        <v>1818</v>
      </c>
      <c r="D631" s="2" t="s">
        <v>13</v>
      </c>
      <c r="E631" s="2" t="s">
        <v>14</v>
      </c>
      <c r="F631" s="2" t="s">
        <v>15</v>
      </c>
      <c r="G631" s="2" t="s">
        <v>839</v>
      </c>
      <c r="H631" s="2" t="s">
        <v>110</v>
      </c>
      <c r="I631" s="2" t="str">
        <f>IFERROR(__xludf.DUMMYFUNCTION("GOOGLETRANSLATE(C631,""fr"",""en"")"),"I especially like their speed to answer you and to manage accidents. They quickly respond to telephone calls and emails. The prices are attractive")</f>
        <v>I especially like their speed to answer you and to manage accidents. They quickly respond to telephone calls and emails. The prices are attractive</v>
      </c>
    </row>
    <row r="632" ht="15.75" customHeight="1">
      <c r="A632" s="2">
        <v>3.0</v>
      </c>
      <c r="B632" s="2" t="s">
        <v>1819</v>
      </c>
      <c r="C632" s="2" t="s">
        <v>1820</v>
      </c>
      <c r="D632" s="2" t="s">
        <v>30</v>
      </c>
      <c r="E632" s="2" t="s">
        <v>31</v>
      </c>
      <c r="F632" s="2" t="s">
        <v>15</v>
      </c>
      <c r="G632" s="2" t="s">
        <v>1821</v>
      </c>
      <c r="H632" s="2" t="s">
        <v>33</v>
      </c>
      <c r="I632" s="2" t="str">
        <f>IFERROR(__xludf.DUMMYFUNCTION("GOOGLETRANSLATE(C632,""fr"",""en"")"),"Reliable insurance. A little expensive for small wages and small pensions.
Should coordinate Amali's reimbursements with MGP for better monitoring of reimbursements both in terms of banking and summary ...
Lack a clear and complete table of all the poss"&amp;"ibilities and therefore refund by specialties (osteopathy etc ...)")</f>
        <v>Reliable insurance. A little expensive for small wages and small pensions.
Should coordinate Amali's reimbursements with MGP for better monitoring of reimbursements both in terms of banking and summary ...
Lack a clear and complete table of all the possibilities and therefore refund by specialties (osteopathy etc ...)</v>
      </c>
    </row>
    <row r="633" ht="15.75" customHeight="1">
      <c r="A633" s="2">
        <v>5.0</v>
      </c>
      <c r="B633" s="2" t="s">
        <v>1822</v>
      </c>
      <c r="C633" s="2" t="s">
        <v>1823</v>
      </c>
      <c r="D633" s="2" t="s">
        <v>87</v>
      </c>
      <c r="E633" s="2" t="s">
        <v>14</v>
      </c>
      <c r="F633" s="2" t="s">
        <v>15</v>
      </c>
      <c r="G633" s="2" t="s">
        <v>1824</v>
      </c>
      <c r="H633" s="2" t="s">
        <v>282</v>
      </c>
      <c r="I633" s="2" t="str">
        <f>IFERROR(__xludf.DUMMYFUNCTION("GOOGLETRANSLATE(C633,""fr"",""en"")"),"Thanks to Damien who was super nice on the phone he gave me all the info available and was responsive at my request. and attractive price given the concurrence.")</f>
        <v>Thanks to Damien who was super nice on the phone he gave me all the info available and was responsive at my request. and attractive price given the concurrence.</v>
      </c>
    </row>
    <row r="634" ht="15.75" customHeight="1">
      <c r="A634" s="2">
        <v>5.0</v>
      </c>
      <c r="B634" s="2" t="s">
        <v>1825</v>
      </c>
      <c r="C634" s="2" t="s">
        <v>1826</v>
      </c>
      <c r="D634" s="2" t="s">
        <v>13</v>
      </c>
      <c r="E634" s="2" t="s">
        <v>14</v>
      </c>
      <c r="F634" s="2" t="s">
        <v>15</v>
      </c>
      <c r="G634" s="2" t="s">
        <v>464</v>
      </c>
      <c r="H634" s="2" t="s">
        <v>52</v>
      </c>
      <c r="I634" s="2" t="str">
        <f>IFERROR(__xludf.DUMMYFUNCTION("GOOGLETRANSLATE(C634,""fr"",""en"")"),"Perfect good value for money for a young driver really the top. After comparing with several other insurances is really the cheapest")</f>
        <v>Perfect good value for money for a young driver really the top. After comparing with several other insurances is really the cheapest</v>
      </c>
    </row>
    <row r="635" ht="15.75" customHeight="1">
      <c r="A635" s="2">
        <v>2.0</v>
      </c>
      <c r="B635" s="2" t="s">
        <v>1827</v>
      </c>
      <c r="C635" s="2" t="s">
        <v>1828</v>
      </c>
      <c r="D635" s="2" t="s">
        <v>13</v>
      </c>
      <c r="E635" s="2" t="s">
        <v>14</v>
      </c>
      <c r="F635" s="2" t="s">
        <v>15</v>
      </c>
      <c r="G635" s="2" t="s">
        <v>1829</v>
      </c>
      <c r="H635" s="2" t="s">
        <v>117</v>
      </c>
      <c r="I635" s="2" t="str">
        <f>IFERROR(__xludf.DUMMYFUNCTION("GOOGLETRANSLATE(C635,""fr"",""en"")"),"I received my green card at the end of April 2020 is what surprise 10 % increase again on my subscription on 2 years of suites,
I have 50% bonus and no claim
I will change insurance")</f>
        <v>I received my green card at the end of April 2020 is what surprise 10 % increase again on my subscription on 2 years of suites,
I have 50% bonus and no claim
I will change insurance</v>
      </c>
    </row>
    <row r="636" ht="15.75" customHeight="1">
      <c r="A636" s="2">
        <v>5.0</v>
      </c>
      <c r="B636" s="2" t="s">
        <v>1830</v>
      </c>
      <c r="C636" s="2" t="s">
        <v>1831</v>
      </c>
      <c r="D636" s="2" t="s">
        <v>87</v>
      </c>
      <c r="E636" s="2" t="s">
        <v>14</v>
      </c>
      <c r="F636" s="2" t="s">
        <v>15</v>
      </c>
      <c r="G636" s="2" t="s">
        <v>1328</v>
      </c>
      <c r="H636" s="2" t="s">
        <v>110</v>
      </c>
      <c r="I636" s="2" t="str">
        <f>IFERROR(__xludf.DUMMYFUNCTION("GOOGLETRANSLATE(C636,""fr"",""en"")"),"Super new contract I will see if I earn money for the same guarantees awaiting the new contract, I will try the Olivier Insurance")</f>
        <v>Super new contract I will see if I earn money for the same guarantees awaiting the new contract, I will try the Olivier Insurance</v>
      </c>
    </row>
    <row r="637" ht="15.75" customHeight="1">
      <c r="A637" s="2">
        <v>3.0</v>
      </c>
      <c r="B637" s="2" t="s">
        <v>1832</v>
      </c>
      <c r="C637" s="2" t="s">
        <v>1833</v>
      </c>
      <c r="D637" s="2" t="s">
        <v>164</v>
      </c>
      <c r="E637" s="2" t="s">
        <v>55</v>
      </c>
      <c r="F637" s="2" t="s">
        <v>15</v>
      </c>
      <c r="G637" s="2" t="s">
        <v>1834</v>
      </c>
      <c r="H637" s="2" t="s">
        <v>138</v>
      </c>
      <c r="I637" s="2" t="str">
        <f>IFERROR(__xludf.DUMMYFUNCTION("GOOGLETRANSLATE(C637,""fr"",""en"")"),"Good insurance, I had water damage not too important and they were there is good.
On the other hand in expertise it is not the top you still have, we can not do much, the sums engaged are not assembled important.
It costs as cheap of courts as to make t"&amp;"he repair by another company.
Blabla and in the meantime you have it or you know.
 And you pay when it is clear that there is a bad way ...
And the company is doing like that op.")</f>
        <v>Good insurance, I had water damage not too important and they were there is good.
On the other hand in expertise it is not the top you still have, we can not do much, the sums engaged are not assembled important.
It costs as cheap of courts as to make the repair by another company.
Blabla and in the meantime you have it or you know.
 And you pay when it is clear that there is a bad way ...
And the company is doing like that op.</v>
      </c>
    </row>
    <row r="638" ht="15.75" customHeight="1">
      <c r="A638" s="2">
        <v>1.0</v>
      </c>
      <c r="B638" s="2" t="s">
        <v>1835</v>
      </c>
      <c r="C638" s="2" t="s">
        <v>1836</v>
      </c>
      <c r="D638" s="2" t="s">
        <v>74</v>
      </c>
      <c r="E638" s="2" t="s">
        <v>55</v>
      </c>
      <c r="F638" s="2" t="s">
        <v>15</v>
      </c>
      <c r="G638" s="2" t="s">
        <v>1837</v>
      </c>
      <c r="H638" s="2" t="s">
        <v>248</v>
      </c>
      <c r="I638" s="2" t="str">
        <f>IFERROR(__xludf.DUMMYFUNCTION("GOOGLETRANSLATE(C638,""fr"",""en"")"),"Having joined several years to GMF insurance unnecessarily everything spent very well following a disaster with the wall of my fence in 2018 until now the case has been dragged without result I have undergone water damage that I have pointed out to illico"&amp;" insurance GMF is a very competent insurance in the receipts but no service provided disillusioned and swindled I have resilled my membership I do not see the interest of insurance especially the GMF how it dares to make pubs on TV.")</f>
        <v>Having joined several years to GMF insurance unnecessarily everything spent very well following a disaster with the wall of my fence in 2018 until now the case has been dragged without result I have undergone water damage that I have pointed out to illico insurance GMF is a very competent insurance in the receipts but no service provided disillusioned and swindled I have resilled my membership I do not see the interest of insurance especially the GMF how it dares to make pubs on TV.</v>
      </c>
    </row>
    <row r="639" ht="15.75" customHeight="1">
      <c r="A639" s="2">
        <v>4.0</v>
      </c>
      <c r="B639" s="2" t="s">
        <v>1838</v>
      </c>
      <c r="C639" s="2" t="s">
        <v>1839</v>
      </c>
      <c r="D639" s="2" t="s">
        <v>87</v>
      </c>
      <c r="E639" s="2" t="s">
        <v>14</v>
      </c>
      <c r="F639" s="2" t="s">
        <v>15</v>
      </c>
      <c r="G639" s="2" t="s">
        <v>1840</v>
      </c>
      <c r="H639" s="2" t="s">
        <v>110</v>
      </c>
      <c r="I639" s="2" t="str">
        <f>IFERROR(__xludf.DUMMYFUNCTION("GOOGLETRANSLATE(C639,""fr"",""en"")"),"Satisfied with the offered service whose prices are competitive.
On the other hand, it seems strange to me that I am asked by phone my bank coorodnes including the 3 figures of the cryptogram.")</f>
        <v>Satisfied with the offered service whose prices are competitive.
On the other hand, it seems strange to me that I am asked by phone my bank coorodnes including the 3 figures of the cryptogram.</v>
      </c>
    </row>
    <row r="640" ht="15.75" customHeight="1">
      <c r="A640" s="2">
        <v>1.0</v>
      </c>
      <c r="B640" s="2" t="s">
        <v>1841</v>
      </c>
      <c r="C640" s="2" t="s">
        <v>1842</v>
      </c>
      <c r="D640" s="2" t="s">
        <v>164</v>
      </c>
      <c r="E640" s="2" t="s">
        <v>14</v>
      </c>
      <c r="F640" s="2" t="s">
        <v>15</v>
      </c>
      <c r="G640" s="2" t="s">
        <v>1843</v>
      </c>
      <c r="H640" s="2" t="s">
        <v>408</v>
      </c>
      <c r="I640" s="2" t="str">
        <f>IFERROR(__xludf.DUMMYFUNCTION("GOOGLETRANSLATE(C640,""fr"",""en"")"),"As part of a disaster (flooded vehicle following unfaiders irreparable), we have requested the matmut services. We have been insured for 20 years without the slightest responsible disaster. Since June 11, our file is processed with such casualness by the "&amp;"various interlocutors of the Rouen platform who follow one another and who are not at all attentive to our arguments. The compensation proposed by Matmut is absolutely not supported and no negotiation is possible. The consulting expert took 13 working day"&amp;"s to finally answer that compensation should be accepted without any proof. This is not worthy of a mutual that must promote human values ​​to be benevolence and listening to the insured. We have to do machines !! Run away !!!!")</f>
        <v>As part of a disaster (flooded vehicle following unfaiders irreparable), we have requested the matmut services. We have been insured for 20 years without the slightest responsible disaster. Since June 11, our file is processed with such casualness by the various interlocutors of the Rouen platform who follow one another and who are not at all attentive to our arguments. The compensation proposed by Matmut is absolutely not supported and no negotiation is possible. The consulting expert took 13 working days to finally answer that compensation should be accepted without any proof. This is not worthy of a mutual that must promote human values ​​to be benevolence and listening to the insured. We have to do machines !! Run away !!!!</v>
      </c>
    </row>
    <row r="641" ht="15.75" customHeight="1">
      <c r="A641" s="2">
        <v>4.0</v>
      </c>
      <c r="B641" s="2" t="s">
        <v>1844</v>
      </c>
      <c r="C641" s="2" t="s">
        <v>1845</v>
      </c>
      <c r="D641" s="2" t="s">
        <v>832</v>
      </c>
      <c r="E641" s="2" t="s">
        <v>232</v>
      </c>
      <c r="F641" s="2" t="s">
        <v>15</v>
      </c>
      <c r="G641" s="2" t="s">
        <v>208</v>
      </c>
      <c r="H641" s="2" t="s">
        <v>209</v>
      </c>
      <c r="I641" s="2" t="str">
        <f>IFERROR(__xludf.DUMMYFUNCTION("GOOGLETRANSLATE(C641,""fr"",""en"")"),"The prices suit me they are competitive, the service is satisfactory. The person who guided us is very cordial. However, the site is to be improved, should be provided for a deletion key when the poor documents are loaded")</f>
        <v>The prices suit me they are competitive, the service is satisfactory. The person who guided us is very cordial. However, the site is to be improved, should be provided for a deletion key when the poor documents are loaded</v>
      </c>
    </row>
    <row r="642" ht="15.75" customHeight="1">
      <c r="A642" s="2">
        <v>1.0</v>
      </c>
      <c r="B642" s="2" t="s">
        <v>1846</v>
      </c>
      <c r="C642" s="2" t="s">
        <v>1847</v>
      </c>
      <c r="D642" s="2" t="s">
        <v>237</v>
      </c>
      <c r="E642" s="2" t="s">
        <v>55</v>
      </c>
      <c r="F642" s="2" t="s">
        <v>15</v>
      </c>
      <c r="G642" s="2" t="s">
        <v>1848</v>
      </c>
      <c r="H642" s="2" t="s">
        <v>324</v>
      </c>
      <c r="I642" s="2" t="str">
        <f>IFERROR(__xludf.DUMMYFUNCTION("GOOGLETRANSLATE(C642,""fr"",""en"")"),"Axa to flee! in particular the agency of Semur en Auxois. Did not know how to argue with the AXA France headquarters.
Previously I was at Axa Auxerre but I thought I was doing well, when I move, taking an agency near the house.")</f>
        <v>Axa to flee! in particular the agency of Semur en Auxois. Did not know how to argue with the AXA France headquarters.
Previously I was at Axa Auxerre but I thought I was doing well, when I move, taking an agency near the house.</v>
      </c>
    </row>
    <row r="643" ht="15.75" customHeight="1">
      <c r="A643" s="2">
        <v>4.0</v>
      </c>
      <c r="B643" s="2" t="s">
        <v>1849</v>
      </c>
      <c r="C643" s="2" t="s">
        <v>1850</v>
      </c>
      <c r="D643" s="2" t="s">
        <v>581</v>
      </c>
      <c r="E643" s="2" t="s">
        <v>31</v>
      </c>
      <c r="F643" s="2" t="s">
        <v>15</v>
      </c>
      <c r="G643" s="2" t="s">
        <v>1851</v>
      </c>
      <c r="H643" s="2" t="s">
        <v>38</v>
      </c>
      <c r="I643" s="2" t="str">
        <f>IFERROR(__xludf.DUMMYFUNCTION("GOOGLETRANSLATE(C643,""fr"",""en"")"),"Refunds are fast, also care. Customer service is at the top, I am in no way disappointed for the moments and I have been a member since 2015. I did not have the management of honorary exceeding fees, I was guaranteed the lowest of my young age and my stat"&amp;"e of health, then I was hospitalized following a rugby shock, I Pass the details of the state of my knee and my bones. In short, Cegema changed my warranty for me so that the costs are not at my expense and this just before my operation, ok nothing to com"&amp;"plain about. They sent me the new card in stride. They are clear, clear and precise in their explanations. After doing two other mutuals, I found the right one. A good hearing! Thank you Cegema")</f>
        <v>Refunds are fast, also care. Customer service is at the top, I am in no way disappointed for the moments and I have been a member since 2015. I did not have the management of honorary exceeding fees, I was guaranteed the lowest of my young age and my state of health, then I was hospitalized following a rugby shock, I Pass the details of the state of my knee and my bones. In short, Cegema changed my warranty for me so that the costs are not at my expense and this just before my operation, ok nothing to complain about. They sent me the new card in stride. They are clear, clear and precise in their explanations. After doing two other mutuals, I found the right one. A good hearing! Thank you Cegema</v>
      </c>
    </row>
    <row r="644" ht="15.75" customHeight="1">
      <c r="A644" s="2">
        <v>4.0</v>
      </c>
      <c r="B644" s="2" t="s">
        <v>1852</v>
      </c>
      <c r="C644" s="2" t="s">
        <v>1853</v>
      </c>
      <c r="D644" s="2" t="s">
        <v>13</v>
      </c>
      <c r="E644" s="2" t="s">
        <v>14</v>
      </c>
      <c r="F644" s="2" t="s">
        <v>15</v>
      </c>
      <c r="G644" s="2" t="s">
        <v>1653</v>
      </c>
      <c r="H644" s="2" t="s">
        <v>52</v>
      </c>
      <c r="I644" s="2" t="str">
        <f>IFERROR(__xludf.DUMMYFUNCTION("GOOGLETRANSLATE(C644,""fr"",""en"")"),"I am satisfied but the price is a bit high, I have been a customer for several years. And I assure two cars at Direct Assurance.
Your price remains reasonable compared to your services and guarantees.")</f>
        <v>I am satisfied but the price is a bit high, I have been a customer for several years. And I assure two cars at Direct Assurance.
Your price remains reasonable compared to your services and guarantees.</v>
      </c>
    </row>
    <row r="645" ht="15.75" customHeight="1">
      <c r="A645" s="2">
        <v>4.0</v>
      </c>
      <c r="B645" s="2" t="s">
        <v>1854</v>
      </c>
      <c r="C645" s="2" t="s">
        <v>1855</v>
      </c>
      <c r="D645" s="2" t="s">
        <v>13</v>
      </c>
      <c r="E645" s="2" t="s">
        <v>14</v>
      </c>
      <c r="F645" s="2" t="s">
        <v>15</v>
      </c>
      <c r="G645" s="2" t="s">
        <v>1759</v>
      </c>
      <c r="H645" s="2" t="s">
        <v>27</v>
      </c>
      <c r="I645" s="2" t="str">
        <f>IFERROR(__xludf.DUMMYFUNCTION("GOOGLETRANSLATE(C645,""fr"",""en"")"),"Fast practical and well placed question tariffs.
It remains to be hoped that the service is so fast and effective in the event of a claim.
I will make another request for a quote when my other auto and home contracts will have more than a year.")</f>
        <v>Fast practical and well placed question tariffs.
It remains to be hoped that the service is so fast and effective in the event of a claim.
I will make another request for a quote when my other auto and home contracts will have more than a year.</v>
      </c>
    </row>
    <row r="646" ht="15.75" customHeight="1">
      <c r="A646" s="2">
        <v>2.0</v>
      </c>
      <c r="B646" s="2" t="s">
        <v>1856</v>
      </c>
      <c r="C646" s="2" t="s">
        <v>1857</v>
      </c>
      <c r="D646" s="2" t="s">
        <v>87</v>
      </c>
      <c r="E646" s="2" t="s">
        <v>14</v>
      </c>
      <c r="F646" s="2" t="s">
        <v>15</v>
      </c>
      <c r="G646" s="2" t="s">
        <v>937</v>
      </c>
      <c r="H646" s="2" t="s">
        <v>27</v>
      </c>
      <c r="I646" s="2" t="str">
        <f>IFERROR(__xludf.DUMMYFUNCTION("GOOGLETRANSLATE(C646,""fr"",""en"")"),"very long claims procedure no follow -up is J, wait for a long time no new
My contract is not signed for 8 months and no information from the insurer")</f>
        <v>very long claims procedure no follow -up is J, wait for a long time no new
My contract is not signed for 8 months and no information from the insurer</v>
      </c>
    </row>
    <row r="647" ht="15.75" customHeight="1">
      <c r="A647" s="2">
        <v>4.0</v>
      </c>
      <c r="B647" s="2" t="s">
        <v>1858</v>
      </c>
      <c r="C647" s="2" t="s">
        <v>1859</v>
      </c>
      <c r="D647" s="2" t="s">
        <v>334</v>
      </c>
      <c r="E647" s="2" t="s">
        <v>31</v>
      </c>
      <c r="F647" s="2" t="s">
        <v>15</v>
      </c>
      <c r="G647" s="2" t="s">
        <v>988</v>
      </c>
      <c r="H647" s="2" t="s">
        <v>699</v>
      </c>
      <c r="I647" s="2" t="str">
        <f>IFERROR(__xludf.DUMMYFUNCTION("GOOGLETRANSLATE(C647,""fr"",""en"")"),"Having needed information I was received on the phone by Nadège who kindly informed me and transmitted the elements I was missing")</f>
        <v>Having needed information I was received on the phone by Nadège who kindly informed me and transmitted the elements I was missing</v>
      </c>
    </row>
    <row r="648" ht="15.75" customHeight="1">
      <c r="A648" s="2">
        <v>5.0</v>
      </c>
      <c r="B648" s="2" t="s">
        <v>1860</v>
      </c>
      <c r="C648" s="2" t="s">
        <v>1861</v>
      </c>
      <c r="D648" s="2" t="s">
        <v>13</v>
      </c>
      <c r="E648" s="2" t="s">
        <v>14</v>
      </c>
      <c r="F648" s="2" t="s">
        <v>15</v>
      </c>
      <c r="G648" s="2" t="s">
        <v>1862</v>
      </c>
      <c r="H648" s="2" t="s">
        <v>61</v>
      </c>
      <c r="I648" s="2" t="str">
        <f>IFERROR(__xludf.DUMMYFUNCTION("GOOGLETRANSLATE(C648,""fr"",""en"")"),"After a very professional telephone contact, I was able to ensure my vehicle very quickly.
I was able to find a very complete formula and interesting price.")</f>
        <v>After a very professional telephone contact, I was able to ensure my vehicle very quickly.
I was able to find a very complete formula and interesting price.</v>
      </c>
    </row>
    <row r="649" ht="15.75" customHeight="1">
      <c r="A649" s="2">
        <v>4.0</v>
      </c>
      <c r="B649" s="2" t="s">
        <v>1863</v>
      </c>
      <c r="C649" s="2" t="s">
        <v>1864</v>
      </c>
      <c r="D649" s="2" t="s">
        <v>87</v>
      </c>
      <c r="E649" s="2" t="s">
        <v>14</v>
      </c>
      <c r="F649" s="2" t="s">
        <v>15</v>
      </c>
      <c r="G649" s="2" t="s">
        <v>1865</v>
      </c>
      <c r="H649" s="2" t="s">
        <v>27</v>
      </c>
      <c r="I649" s="2" t="str">
        <f>IFERROR(__xludf.DUMMYFUNCTION("GOOGLETRANSLATE(C649,""fr"",""en"")"),"Simple, practical ... We will see in use
The price is correct with attractive services. I hope I made the right choice
The insurance olive tree will probably be able to demonstrate it to me")</f>
        <v>Simple, practical ... We will see in use
The price is correct with attractive services. I hope I made the right choice
The insurance olive tree will probably be able to demonstrate it to me</v>
      </c>
    </row>
    <row r="650" ht="15.75" customHeight="1">
      <c r="A650" s="2">
        <v>1.0</v>
      </c>
      <c r="B650" s="2" t="s">
        <v>1866</v>
      </c>
      <c r="C650" s="2" t="s">
        <v>1867</v>
      </c>
      <c r="D650" s="2" t="s">
        <v>277</v>
      </c>
      <c r="E650" s="2" t="s">
        <v>14</v>
      </c>
      <c r="F650" s="2" t="s">
        <v>15</v>
      </c>
      <c r="G650" s="2" t="s">
        <v>379</v>
      </c>
      <c r="H650" s="2" t="s">
        <v>42</v>
      </c>
      <c r="I650" s="2" t="str">
        <f>IFERROR(__xludf.DUMMYFUNCTION("GOOGLETRANSLATE(C650,""fr"",""en"")"),"Following a flight on my car, I am told to be covered by the insurance which detaches an expert and the mechanic proceeds to repairs. Insurance reminds me after all this to inform me that the stolen part (the catalytic pot) is not covered by my insurance."&amp;" I have already paid them around € 2,500 in monthly payment and for € 800 in repair, I see that this insurer does not want to fulfill its function. I don't tell them congratulations !!!")</f>
        <v>Following a flight on my car, I am told to be covered by the insurance which detaches an expert and the mechanic proceeds to repairs. Insurance reminds me after all this to inform me that the stolen part (the catalytic pot) is not covered by my insurance. I have already paid them around € 2,500 in monthly payment and for € 800 in repair, I see that this insurer does not want to fulfill its function. I don't tell them congratulations !!!</v>
      </c>
    </row>
    <row r="651" ht="15.75" customHeight="1">
      <c r="A651" s="2">
        <v>2.0</v>
      </c>
      <c r="B651" s="2" t="s">
        <v>1868</v>
      </c>
      <c r="C651" s="2" t="s">
        <v>1869</v>
      </c>
      <c r="D651" s="2" t="s">
        <v>13</v>
      </c>
      <c r="E651" s="2" t="s">
        <v>14</v>
      </c>
      <c r="F651" s="2" t="s">
        <v>15</v>
      </c>
      <c r="G651" s="2" t="s">
        <v>242</v>
      </c>
      <c r="H651" s="2" t="s">
        <v>61</v>
      </c>
      <c r="I651" s="2" t="str">
        <f>IFERROR(__xludf.DUMMYFUNCTION("GOOGLETRANSLATE(C651,""fr"",""en"")"),"I am half satisfied because my account was not found, I had to re -enter all my contact details and I would have liked to have a commercial gesture given that I have already been a customer at home for several years.")</f>
        <v>I am half satisfied because my account was not found, I had to re -enter all my contact details and I would have liked to have a commercial gesture given that I have already been a customer at home for several years.</v>
      </c>
    </row>
    <row r="652" ht="15.75" customHeight="1">
      <c r="A652" s="2">
        <v>3.0</v>
      </c>
      <c r="B652" s="2" t="s">
        <v>1870</v>
      </c>
      <c r="C652" s="2" t="s">
        <v>1871</v>
      </c>
      <c r="D652" s="2" t="s">
        <v>13</v>
      </c>
      <c r="E652" s="2" t="s">
        <v>14</v>
      </c>
      <c r="F652" s="2" t="s">
        <v>15</v>
      </c>
      <c r="G652" s="2" t="s">
        <v>442</v>
      </c>
      <c r="H652" s="2" t="s">
        <v>209</v>
      </c>
      <c r="I652" s="2" t="str">
        <f>IFERROR(__xludf.DUMMYFUNCTION("GOOGLETRANSLATE(C652,""fr"",""en"")"),"During a carpooling on June 25, 2021, I received a projectile on the mparebrise. The same evening around 5:00 p.m. I wanted to declare this disaster, I was told that I will be reminded on 06/26/ At this hour 10:10 pm, on 26: à§, I had no call to validate "&amp;"This claim.")</f>
        <v>During a carpooling on June 25, 2021, I received a projectile on the mparebrise. The same evening around 5:00 p.m. I wanted to declare this disaster, I was told that I will be reminded on 06/26/ At this hour 10:10 pm, on 26: à§, I had no call to validate This claim.</v>
      </c>
    </row>
    <row r="653" ht="15.75" customHeight="1">
      <c r="A653" s="2">
        <v>1.0</v>
      </c>
      <c r="B653" s="2" t="s">
        <v>1872</v>
      </c>
      <c r="C653" s="2" t="s">
        <v>1873</v>
      </c>
      <c r="D653" s="2" t="s">
        <v>406</v>
      </c>
      <c r="E653" s="2" t="s">
        <v>65</v>
      </c>
      <c r="F653" s="2" t="s">
        <v>15</v>
      </c>
      <c r="G653" s="2" t="s">
        <v>1661</v>
      </c>
      <c r="H653" s="2" t="s">
        <v>61</v>
      </c>
      <c r="I653" s="2" t="str">
        <f>IFERROR(__xludf.DUMMYFUNCTION("GOOGLETRANSLATE(C653,""fr"",""en"")"),"I touch a quarterly annuity of this insurance whose payment depends on the goodwill of the CNP while insurance has the supporting documents in its possession for several months
Every quarter must be called
There have already been regularizations on the "&amp;"sum paid lower than the sum normally due and this after complaint on our part
We ask to have the contract for this type of insurance taken with my employer, of which I am no longer part of the staff.
Impossible to get it
The last transfer was reduced f"&amp;"or the reason for an increase in disability paid by the Primary Caisse Disease
OK but on what foundation encrypted!
I do not have the contract claimed without success
I have sent an email to the advisor for a month to have the estimated explanations on"&amp;" the decrease
No answer !
Very very unhappy with the CNP which makes sure of its customers and no questioning of their management
A total I don't care!
")</f>
        <v>I touch a quarterly annuity of this insurance whose payment depends on the goodwill of the CNP while insurance has the supporting documents in its possession for several months
Every quarter must be called
There have already been regularizations on the sum paid lower than the sum normally due and this after complaint on our part
We ask to have the contract for this type of insurance taken with my employer, of which I am no longer part of the staff.
Impossible to get it
The last transfer was reduced for the reason for an increase in disability paid by the Primary Caisse Disease
OK but on what foundation encrypted!
I do not have the contract claimed without success
I have sent an email to the advisor for a month to have the estimated explanations on the decrease
No answer !
Very very unhappy with the CNP which makes sure of its customers and no questioning of their management
A total I don't care!
</v>
      </c>
    </row>
    <row r="654" ht="15.75" customHeight="1">
      <c r="A654" s="2">
        <v>1.0</v>
      </c>
      <c r="B654" s="2" t="s">
        <v>1874</v>
      </c>
      <c r="C654" s="2" t="s">
        <v>1875</v>
      </c>
      <c r="D654" s="2" t="s">
        <v>79</v>
      </c>
      <c r="E654" s="2" t="s">
        <v>14</v>
      </c>
      <c r="F654" s="2" t="s">
        <v>15</v>
      </c>
      <c r="G654" s="2" t="s">
        <v>1876</v>
      </c>
      <c r="H654" s="2" t="s">
        <v>234</v>
      </c>
      <c r="I654" s="2" t="str">
        <f>IFERROR(__xludf.DUMMYFUNCTION("GOOGLETRANSLATE(C654,""fr"",""en"")"),"A well -placed ""bug"" in their ""application"" and Hooop ... no way to recover the insurance certificate!")</f>
        <v>A well -placed "bug" in their "application" and Hooop ... no way to recover the insurance certificate!</v>
      </c>
    </row>
    <row r="655" ht="15.75" customHeight="1">
      <c r="A655" s="2">
        <v>5.0</v>
      </c>
      <c r="B655" s="2" t="s">
        <v>1877</v>
      </c>
      <c r="C655" s="2" t="s">
        <v>1878</v>
      </c>
      <c r="D655" s="2" t="s">
        <v>87</v>
      </c>
      <c r="E655" s="2" t="s">
        <v>14</v>
      </c>
      <c r="F655" s="2" t="s">
        <v>15</v>
      </c>
      <c r="G655" s="2" t="s">
        <v>423</v>
      </c>
      <c r="H655" s="2" t="s">
        <v>52</v>
      </c>
      <c r="I655" s="2" t="str">
        <f>IFERROR(__xludf.DUMMYFUNCTION("GOOGLETRANSLATE(C655,""fr"",""en"")"),"Simple and quick, for the moment nothing to complain about. I needed emergency insurance and I had the opportunity to have the chance to find you quickly.")</f>
        <v>Simple and quick, for the moment nothing to complain about. I needed emergency insurance and I had the opportunity to have the chance to find you quickly.</v>
      </c>
    </row>
    <row r="656" ht="15.75" customHeight="1">
      <c r="A656" s="2">
        <v>1.0</v>
      </c>
      <c r="B656" s="2" t="s">
        <v>1879</v>
      </c>
      <c r="C656" s="2" t="s">
        <v>1880</v>
      </c>
      <c r="D656" s="2" t="s">
        <v>1290</v>
      </c>
      <c r="E656" s="2" t="s">
        <v>232</v>
      </c>
      <c r="F656" s="2" t="s">
        <v>15</v>
      </c>
      <c r="G656" s="2" t="s">
        <v>1881</v>
      </c>
      <c r="H656" s="2" t="s">
        <v>23</v>
      </c>
      <c r="I656" s="2" t="str">
        <f>IFERROR(__xludf.DUMMYFUNCTION("GOOGLETRANSLATE(C656,""fr"",""en"")"),"Currently temporarily incapacity ITT guaranteed
And in preparation for a trial because it arbitrarily stops this guarantee
I fight against chronic evolutionary rheumatoid arthritis recognized ALD30 Long -term condition
The treatments are heavy and th"&amp;"e pathology evolves by thrusts
Metlife has however found a way to put an end to this prematurely and arbitrarily guarantee by consolidating an evolving chronic pathology which evolves by de facto non -consolidable thrusts and which requires increasingl"&amp;"y heavier treatments.
Nothing disturbs them, not taking into account medical certificates handed over to the erroneous report.
I am ready to share my experience and my lawyer contacts if you are in a similar situation, do not hesitate to use justice a"&amp;"nd impartial judicial experts")</f>
        <v>Currently temporarily incapacity ITT guaranteed
And in preparation for a trial because it arbitrarily stops this guarantee
I fight against chronic evolutionary rheumatoid arthritis recognized ALD30 Long -term condition
The treatments are heavy and the pathology evolves by thrusts
Metlife has however found a way to put an end to this prematurely and arbitrarily guarantee by consolidating an evolving chronic pathology which evolves by de facto non -consolidable thrusts and which requires increasingly heavier treatments.
Nothing disturbs them, not taking into account medical certificates handed over to the erroneous report.
I am ready to share my experience and my lawyer contacts if you are in a similar situation, do not hesitate to use justice and impartial judicial experts</v>
      </c>
    </row>
    <row r="657" ht="15.75" customHeight="1">
      <c r="A657" s="2">
        <v>5.0</v>
      </c>
      <c r="B657" s="2" t="s">
        <v>1882</v>
      </c>
      <c r="C657" s="2" t="s">
        <v>1883</v>
      </c>
      <c r="D657" s="2" t="s">
        <v>87</v>
      </c>
      <c r="E657" s="2" t="s">
        <v>14</v>
      </c>
      <c r="F657" s="2" t="s">
        <v>15</v>
      </c>
      <c r="G657" s="2" t="s">
        <v>1884</v>
      </c>
      <c r="H657" s="2" t="s">
        <v>190</v>
      </c>
      <c r="I657" s="2" t="str">
        <f>IFERROR(__xludf.DUMMYFUNCTION("GOOGLETRANSLATE(C657,""fr"",""en"")"),"Very easy to take out a contract. Competitive price and fast service. No problem so far with this insurer. I recommand it .")</f>
        <v>Very easy to take out a contract. Competitive price and fast service. No problem so far with this insurer. I recommand it .</v>
      </c>
    </row>
    <row r="658" ht="15.75" customHeight="1">
      <c r="A658" s="2">
        <v>1.0</v>
      </c>
      <c r="B658" s="2" t="s">
        <v>1885</v>
      </c>
      <c r="C658" s="2" t="s">
        <v>1886</v>
      </c>
      <c r="D658" s="2" t="s">
        <v>120</v>
      </c>
      <c r="E658" s="2" t="s">
        <v>14</v>
      </c>
      <c r="F658" s="2" t="s">
        <v>15</v>
      </c>
      <c r="G658" s="2" t="s">
        <v>1887</v>
      </c>
      <c r="H658" s="2" t="s">
        <v>23</v>
      </c>
      <c r="I658" s="2" t="str">
        <f>IFERROR(__xludf.DUMMYFUNCTION("GOOGLETRANSLATE(C658,""fr"",""en"")"),"Professionals Flee!
I have been Maaf Pro customer for over 10 years with 3 cars, home, professional premises, civil and decennial liability, mutual, ... in short the whole panoply of the loyal customer.
Auto contract since 2011 with life bonus since 201"&amp;"3 and 8% winner bonus ...
This must mean ""bad driver"" because the agency director told me of their decision to terminate my contract because over the last 3 years I have undergone an attempted theft and 2 clashes without any gravity.
I had to undergo "&amp;"because one of my employees had supposedly scratched the car of a client ...
It is true that 3 declarations in 3 years is a lot, and as I also had a water damage at home ... So there I am a customer at risk!
Yet I thought that it was the principle of in"&amp;"surance, we pay each year and sometimes nothing happens for years and then one day we need the service for which we have subscribed and paid for a contract which The more compulsory.
Well no it doesn't work like that, you have to pay ruby ​​on the nail a"&amp;"nd pray so as not to need it.
There are enough to get caught for a C ..
Flee this kind of insurer who does not assume the risks that make him live and who prefers this to pay big advertising campaign:
       ... it is the maaf that I do not recommend"&amp;" ...
 ")</f>
        <v>Professionals Flee!
I have been Maaf Pro customer for over 10 years with 3 cars, home, professional premises, civil and decennial liability, mutual, ... in short the whole panoply of the loyal customer.
Auto contract since 2011 with life bonus since 2013 and 8% winner bonus ...
This must mean "bad driver" because the agency director told me of their decision to terminate my contract because over the last 3 years I have undergone an attempted theft and 2 clashes without any gravity.
I had to undergo because one of my employees had supposedly scratched the car of a client ...
It is true that 3 declarations in 3 years is a lot, and as I also had a water damage at home ... So there I am a customer at risk!
Yet I thought that it was the principle of insurance, we pay each year and sometimes nothing happens for years and then one day we need the service for which we have subscribed and paid for a contract which The more compulsory.
Well no it doesn't work like that, you have to pay ruby ​​on the nail and pray so as not to need it.
There are enough to get caught for a C ..
Flee this kind of insurer who does not assume the risks that make him live and who prefers this to pay big advertising campaign:
       ... it is the maaf that I do not recommend ...
 </v>
      </c>
    </row>
    <row r="659" ht="15.75" customHeight="1">
      <c r="A659" s="2">
        <v>5.0</v>
      </c>
      <c r="B659" s="2" t="s">
        <v>1888</v>
      </c>
      <c r="C659" s="2" t="s">
        <v>1889</v>
      </c>
      <c r="D659" s="2" t="s">
        <v>87</v>
      </c>
      <c r="E659" s="2" t="s">
        <v>14</v>
      </c>
      <c r="F659" s="2" t="s">
        <v>15</v>
      </c>
      <c r="G659" s="2" t="s">
        <v>1890</v>
      </c>
      <c r="H659" s="2" t="s">
        <v>61</v>
      </c>
      <c r="I659" s="2" t="str">
        <f>IFERROR(__xludf.DUMMYFUNCTION("GOOGLETRANSLATE(C659,""fr"",""en"")"),"Fast, simple, efficient, cheap insurance for young license, I recommend, pleasant telephone reception with explanations at the top I recommend the olive assurance")</f>
        <v>Fast, simple, efficient, cheap insurance for young license, I recommend, pleasant telephone reception with explanations at the top I recommend the olive assurance</v>
      </c>
    </row>
    <row r="660" ht="15.75" customHeight="1">
      <c r="A660" s="2">
        <v>1.0</v>
      </c>
      <c r="B660" s="2" t="s">
        <v>1891</v>
      </c>
      <c r="C660" s="2" t="s">
        <v>1892</v>
      </c>
      <c r="D660" s="2" t="s">
        <v>13</v>
      </c>
      <c r="E660" s="2" t="s">
        <v>14</v>
      </c>
      <c r="F660" s="2" t="s">
        <v>15</v>
      </c>
      <c r="G660" s="2" t="s">
        <v>1893</v>
      </c>
      <c r="H660" s="2" t="s">
        <v>38</v>
      </c>
      <c r="I660" s="2" t="str">
        <f>IFERROR(__xludf.DUMMYFUNCTION("GOOGLETRANSLATE(C660,""fr"",""en"")"),"I strongly advise against car insurance. Exorbitant prices for third -party insurance, around 57 euros per month. Know that the Youdrive device is a joke, unless you drive at 20 km/h all the time, you will not have a reduction. Incompetent customer servic"&amp;"e, unpleasant advisor who told me that it was ""impossible to modify my contract"" (because by redoing a quote I could have had a contract at 30th/month), and that only another insurer could do According to Hamon law. Suddenly, I listened to it, I left fo"&amp;"r another insurer, much cheaper and more competent and pleasant.")</f>
        <v>I strongly advise against car insurance. Exorbitant prices for third -party insurance, around 57 euros per month. Know that the Youdrive device is a joke, unless you drive at 20 km/h all the time, you will not have a reduction. Incompetent customer service, unpleasant advisor who told me that it was "impossible to modify my contract" (because by redoing a quote I could have had a contract at 30th/month), and that only another insurer could do According to Hamon law. Suddenly, I listened to it, I left for another insurer, much cheaper and more competent and pleasant.</v>
      </c>
    </row>
    <row r="661" ht="15.75" customHeight="1">
      <c r="A661" s="2">
        <v>4.0</v>
      </c>
      <c r="B661" s="2" t="s">
        <v>1894</v>
      </c>
      <c r="C661" s="2" t="s">
        <v>1895</v>
      </c>
      <c r="D661" s="2" t="s">
        <v>13</v>
      </c>
      <c r="E661" s="2" t="s">
        <v>14</v>
      </c>
      <c r="F661" s="2" t="s">
        <v>15</v>
      </c>
      <c r="G661" s="2" t="s">
        <v>1896</v>
      </c>
      <c r="H661" s="2" t="s">
        <v>42</v>
      </c>
      <c r="I661" s="2" t="str">
        <f>IFERROR(__xludf.DUMMYFUNCTION("GOOGLETRANSLATE(C661,""fr"",""en"")"),"Satisfied with the service, the site is well done and friendly. Good responsiveness of advisers on the phone. To see in the event of a claim but for the moment satisfied")</f>
        <v>Satisfied with the service, the site is well done and friendly. Good responsiveness of advisers on the phone. To see in the event of a claim but for the moment satisfied</v>
      </c>
    </row>
    <row r="662" ht="15.75" customHeight="1">
      <c r="A662" s="2">
        <v>1.0</v>
      </c>
      <c r="B662" s="2" t="s">
        <v>1897</v>
      </c>
      <c r="C662" s="2" t="s">
        <v>1898</v>
      </c>
      <c r="D662" s="2" t="s">
        <v>92</v>
      </c>
      <c r="E662" s="2" t="s">
        <v>232</v>
      </c>
      <c r="F662" s="2" t="s">
        <v>15</v>
      </c>
      <c r="G662" s="2" t="s">
        <v>1899</v>
      </c>
      <c r="H662" s="2" t="s">
        <v>103</v>
      </c>
      <c r="I662" s="2" t="str">
        <f>IFERROR(__xludf.DUMMYFUNCTION("GOOGLETRANSLATE(C662,""fr"",""en"")"),"Currently disabled adult between 50 and 80%, I cannot be compensated because I could have a job on the few possibilities to stand up, while I can hardly stay standing or seated")</f>
        <v>Currently disabled adult between 50 and 80%, I cannot be compensated because I could have a job on the few possibilities to stand up, while I can hardly stay standing or seated</v>
      </c>
    </row>
    <row r="663" ht="15.75" customHeight="1">
      <c r="A663" s="2">
        <v>2.0</v>
      </c>
      <c r="B663" s="2" t="s">
        <v>1900</v>
      </c>
      <c r="C663" s="2" t="s">
        <v>1901</v>
      </c>
      <c r="D663" s="2" t="s">
        <v>319</v>
      </c>
      <c r="E663" s="2" t="s">
        <v>14</v>
      </c>
      <c r="F663" s="2" t="s">
        <v>15</v>
      </c>
      <c r="G663" s="2" t="s">
        <v>496</v>
      </c>
      <c r="H663" s="2" t="s">
        <v>27</v>
      </c>
      <c r="I663" s="2" t="str">
        <f>IFERROR(__xludf.DUMMYFUNCTION("GOOGLETRANSLATE(C663,""fr"",""en"")"),"I do not recommend this insurer because good insurance can only be judged when you have a disaster. This is what happened to me with this insurer. I was assured of any risk at home for three years and I had a claim on February 10, 2021 and since I was wal"&amp;"king from service to service and still no compensation. They started by sending me an expert in training who could not access the kilometric counter because the key was not recognized by the car. He decided to make an estimate of course of course. And sin"&amp;"ce my disaster I have not yet received a response from them. And it's been more than two months already. And the most serious in history is that they continue to take me despite the termination since February 24. I do not recommend this insurer at all.")</f>
        <v>I do not recommend this insurer because good insurance can only be judged when you have a disaster. This is what happened to me with this insurer. I was assured of any risk at home for three years and I had a claim on February 10, 2021 and since I was walking from service to service and still no compensation. They started by sending me an expert in training who could not access the kilometric counter because the key was not recognized by the car. He decided to make an estimate of course of course. And since my disaster I have not yet received a response from them. And it's been more than two months already. And the most serious in history is that they continue to take me despite the termination since February 24. I do not recommend this insurer at all.</v>
      </c>
    </row>
    <row r="664" ht="15.75" customHeight="1">
      <c r="A664" s="2">
        <v>4.0</v>
      </c>
      <c r="B664" s="2" t="s">
        <v>1902</v>
      </c>
      <c r="C664" s="2" t="s">
        <v>1903</v>
      </c>
      <c r="D664" s="2" t="s">
        <v>201</v>
      </c>
      <c r="E664" s="2" t="s">
        <v>21</v>
      </c>
      <c r="F664" s="2" t="s">
        <v>15</v>
      </c>
      <c r="G664" s="2" t="s">
        <v>827</v>
      </c>
      <c r="H664" s="2" t="s">
        <v>190</v>
      </c>
      <c r="I664" s="2" t="str">
        <f>IFERROR(__xludf.DUMMYFUNCTION("GOOGLETRANSLATE(C664,""fr"",""en"")"),"satisfied with the services and the telephone recall of the day
Really very effective in AMV I recommend your insurance company Congratulations for your professionalism")</f>
        <v>satisfied with the services and the telephone recall of the day
Really very effective in AMV I recommend your insurance company Congratulations for your professionalism</v>
      </c>
    </row>
    <row r="665" ht="15.75" customHeight="1">
      <c r="A665" s="2">
        <v>1.0</v>
      </c>
      <c r="B665" s="2" t="s">
        <v>1904</v>
      </c>
      <c r="C665" s="2" t="s">
        <v>1905</v>
      </c>
      <c r="D665" s="2" t="s">
        <v>174</v>
      </c>
      <c r="E665" s="2" t="s">
        <v>31</v>
      </c>
      <c r="F665" s="2" t="s">
        <v>15</v>
      </c>
      <c r="G665" s="2" t="s">
        <v>1906</v>
      </c>
      <c r="H665" s="2" t="s">
        <v>344</v>
      </c>
      <c r="I665" s="2" t="str">
        <f>IFERROR(__xludf.DUMMYFUNCTION("GOOGLETRANSLATE(C665,""fr"",""en"")"),"To take the contributions, that are gifted, with a level of guarantee supposedly ++++ but when it is necessary to make reimbursements, it is an apologies on an apology so as not to reimburse us what we are not entitled to on our Contracts and which is wri"&amp;"tten black on white, for a priori ""internal rules"" whose content was not communicated to us when we signed. I'm disapointed !")</f>
        <v>To take the contributions, that are gifted, with a level of guarantee supposedly ++++ but when it is necessary to make reimbursements, it is an apologies on an apology so as not to reimburse us what we are not entitled to on our Contracts and which is written black on white, for a priori "internal rules" whose content was not communicated to us when we signed. I'm disapointed !</v>
      </c>
    </row>
    <row r="666" ht="15.75" customHeight="1">
      <c r="A666" s="2">
        <v>5.0</v>
      </c>
      <c r="B666" s="2" t="s">
        <v>1907</v>
      </c>
      <c r="C666" s="2" t="s">
        <v>1908</v>
      </c>
      <c r="D666" s="2" t="s">
        <v>13</v>
      </c>
      <c r="E666" s="2" t="s">
        <v>14</v>
      </c>
      <c r="F666" s="2" t="s">
        <v>15</v>
      </c>
      <c r="G666" s="2" t="s">
        <v>507</v>
      </c>
      <c r="H666" s="2" t="s">
        <v>52</v>
      </c>
      <c r="I666" s="2" t="str">
        <f>IFERROR(__xludf.DUMMYFUNCTION("GOOGLETRANSLATE(C666,""fr"",""en"")"),"Perfect for starting with a small budget and if the drive system allows you to save even better!
Simple and quick site thousand thanks
To your fast")</f>
        <v>Perfect for starting with a small budget and if the drive system allows you to save even better!
Simple and quick site thousand thanks
To your fast</v>
      </c>
    </row>
    <row r="667" ht="15.75" customHeight="1">
      <c r="A667" s="2">
        <v>2.0</v>
      </c>
      <c r="B667" s="2" t="s">
        <v>1909</v>
      </c>
      <c r="C667" s="2" t="s">
        <v>1910</v>
      </c>
      <c r="D667" s="2" t="s">
        <v>87</v>
      </c>
      <c r="E667" s="2" t="s">
        <v>14</v>
      </c>
      <c r="F667" s="2" t="s">
        <v>15</v>
      </c>
      <c r="G667" s="2" t="s">
        <v>1702</v>
      </c>
      <c r="H667" s="2" t="s">
        <v>27</v>
      </c>
      <c r="I667" s="2" t="str">
        <f>IFERROR(__xludf.DUMMYFUNCTION("GOOGLETRANSLATE(C667,""fr"",""en"")"),"The fees of files are not mentioned in the quote which takes 70 euros additional or 10% annual is a lot. This is clearly not a good surprise and I feel trapped because it is mentioned after I gave My banking information and set the first deadline.")</f>
        <v>The fees of files are not mentioned in the quote which takes 70 euros additional or 10% annual is a lot. This is clearly not a good surprise and I feel trapped because it is mentioned after I gave My banking information and set the first deadline.</v>
      </c>
    </row>
    <row r="668" ht="15.75" customHeight="1">
      <c r="A668" s="2">
        <v>2.0</v>
      </c>
      <c r="B668" s="2" t="s">
        <v>1911</v>
      </c>
      <c r="C668" s="2" t="s">
        <v>1912</v>
      </c>
      <c r="D668" s="2" t="s">
        <v>13</v>
      </c>
      <c r="E668" s="2" t="s">
        <v>14</v>
      </c>
      <c r="F668" s="2" t="s">
        <v>15</v>
      </c>
      <c r="G668" s="2" t="s">
        <v>931</v>
      </c>
      <c r="H668" s="2" t="s">
        <v>493</v>
      </c>
      <c r="I668" s="2" t="str">
        <f>IFERROR(__xludf.DUMMYFUNCTION("GOOGLETRANSLATE(C668,""fr"",""en"")"),"Effective insurance ... as long as there is no claim. Assistance is efficient but the processing of a sinister file is a disaster. The interlocutors are rarely competent and the processing times are simply unacceptable. I will no longer recommend this ins"&amp;"urance, even I will advise against it. I will leave it as soon as possible.")</f>
        <v>Effective insurance ... as long as there is no claim. Assistance is efficient but the processing of a sinister file is a disaster. The interlocutors are rarely competent and the processing times are simply unacceptable. I will no longer recommend this insurance, even I will advise against it. I will leave it as soon as possible.</v>
      </c>
    </row>
    <row r="669" ht="15.75" customHeight="1">
      <c r="A669" s="2">
        <v>3.0</v>
      </c>
      <c r="B669" s="2" t="s">
        <v>1913</v>
      </c>
      <c r="C669" s="2" t="s">
        <v>1914</v>
      </c>
      <c r="D669" s="2" t="s">
        <v>87</v>
      </c>
      <c r="E669" s="2" t="s">
        <v>14</v>
      </c>
      <c r="F669" s="2" t="s">
        <v>15</v>
      </c>
      <c r="G669" s="2" t="s">
        <v>1915</v>
      </c>
      <c r="H669" s="2" t="s">
        <v>282</v>
      </c>
      <c r="I669" s="2" t="str">
        <f>IFERROR(__xludf.DUMMYFUNCTION("GOOGLETRANSLATE(C669,""fr"",""en"")"),"I am satisfied with the service and its options.
The after -sales service is very fast and of better quality
Customer service can be reached quite often in the event of a problem.")</f>
        <v>I am satisfied with the service and its options.
The after -sales service is very fast and of better quality
Customer service can be reached quite often in the event of a problem.</v>
      </c>
    </row>
    <row r="670" ht="15.75" customHeight="1">
      <c r="A670" s="2">
        <v>1.0</v>
      </c>
      <c r="B670" s="2" t="s">
        <v>1916</v>
      </c>
      <c r="C670" s="2" t="s">
        <v>1917</v>
      </c>
      <c r="D670" s="2" t="s">
        <v>231</v>
      </c>
      <c r="E670" s="2" t="s">
        <v>232</v>
      </c>
      <c r="F670" s="2" t="s">
        <v>15</v>
      </c>
      <c r="G670" s="2" t="s">
        <v>1918</v>
      </c>
      <c r="H670" s="2" t="s">
        <v>1013</v>
      </c>
      <c r="I670" s="2" t="str">
        <f>IFERROR(__xludf.DUMMYFUNCTION("GOOGLETRANSLATE(C670,""fr"",""en"")"),"Hello,
I just read all your opinions and I am in the same case as you.
For a mortgage, the BNP forces us to take out insurance ... Unfortunately we come across Cardif!
Following surgery and work incapacity since January 2017, and after the 90 days of"&amp;" deficiency, I sent my file. At present, a blow my file is not processed, a blow it is lost in the services, one day it reappeared and was to be treated in emergency and this morning, no one knows where my file is in their services ... fed up with it all "&amp;"!! We must act.
I contact what to choose, I send a message to Julien Courbet on his show on RTL and I invite you to join me in order to do the same thing, because united things will have a chance to move.")</f>
        <v>Hello,
I just read all your opinions and I am in the same case as you.
For a mortgage, the BNP forces us to take out insurance ... Unfortunately we come across Cardif!
Following surgery and work incapacity since January 2017, and after the 90 days of deficiency, I sent my file. At present, a blow my file is not processed, a blow it is lost in the services, one day it reappeared and was to be treated in emergency and this morning, no one knows where my file is in their services ... fed up with it all !! We must act.
I contact what to choose, I send a message to Julien Courbet on his show on RTL and I invite you to join me in order to do the same thing, because united things will have a chance to move.</v>
      </c>
    </row>
    <row r="671" ht="15.75" customHeight="1">
      <c r="A671" s="2">
        <v>5.0</v>
      </c>
      <c r="B671" s="2" t="s">
        <v>1919</v>
      </c>
      <c r="C671" s="2" t="s">
        <v>1920</v>
      </c>
      <c r="D671" s="2" t="s">
        <v>13</v>
      </c>
      <c r="E671" s="2" t="s">
        <v>14</v>
      </c>
      <c r="F671" s="2" t="s">
        <v>15</v>
      </c>
      <c r="G671" s="2" t="s">
        <v>417</v>
      </c>
      <c r="H671" s="2" t="s">
        <v>27</v>
      </c>
      <c r="I671" s="2" t="str">
        <f>IFERROR(__xludf.DUMMYFUNCTION("GOOGLETRANSLATE(C671,""fr"",""en"")"),"Prices, service, advantages. The savings are in order! I am very happy to have signed with you.")</f>
        <v>Prices, service, advantages. The savings are in order! I am very happy to have signed with you.</v>
      </c>
    </row>
    <row r="672" ht="15.75" customHeight="1">
      <c r="A672" s="2">
        <v>2.0</v>
      </c>
      <c r="B672" s="2" t="s">
        <v>1921</v>
      </c>
      <c r="C672" s="2" t="s">
        <v>1922</v>
      </c>
      <c r="D672" s="2" t="s">
        <v>164</v>
      </c>
      <c r="E672" s="2" t="s">
        <v>14</v>
      </c>
      <c r="F672" s="2" t="s">
        <v>15</v>
      </c>
      <c r="G672" s="2" t="s">
        <v>26</v>
      </c>
      <c r="H672" s="2" t="s">
        <v>27</v>
      </c>
      <c r="I672" s="2" t="str">
        <f>IFERROR(__xludf.DUMMYFUNCTION("GOOGLETRANSLATE(C672,""fr"",""en"")"),"I am very angry and indignant. I have 2 vehicles, I am single with 1 child who has just had the license and he refuses to add my daughter as a secondary driver because I have 2 vehicles. While a friend who is in a relationship with 1 child and 3 vehicles "&amp;"it did not put a pb.")</f>
        <v>I am very angry and indignant. I have 2 vehicles, I am single with 1 child who has just had the license and he refuses to add my daughter as a secondary driver because I have 2 vehicles. While a friend who is in a relationship with 1 child and 3 vehicles it did not put a pb.</v>
      </c>
    </row>
    <row r="673" ht="15.75" customHeight="1">
      <c r="A673" s="2">
        <v>4.0</v>
      </c>
      <c r="B673" s="2" t="s">
        <v>1923</v>
      </c>
      <c r="C673" s="2" t="s">
        <v>1924</v>
      </c>
      <c r="D673" s="2" t="s">
        <v>87</v>
      </c>
      <c r="E673" s="2" t="s">
        <v>14</v>
      </c>
      <c r="F673" s="2" t="s">
        <v>15</v>
      </c>
      <c r="G673" s="2" t="s">
        <v>190</v>
      </c>
      <c r="H673" s="2" t="s">
        <v>190</v>
      </c>
      <c r="I673" s="2" t="str">
        <f>IFERROR(__xludf.DUMMYFUNCTION("GOOGLETRANSLATE(C673,""fr"",""en"")"),"I am satisfied and happy to be part of your customers. A friend told me about you and here I am a new member of your company. I thank you in advance.")</f>
        <v>I am satisfied and happy to be part of your customers. A friend told me about you and here I am a new member of your company. I thank you in advance.</v>
      </c>
    </row>
    <row r="674" ht="15.75" customHeight="1">
      <c r="A674" s="2">
        <v>3.0</v>
      </c>
      <c r="B674" s="2" t="s">
        <v>1925</v>
      </c>
      <c r="C674" s="2" t="s">
        <v>1926</v>
      </c>
      <c r="D674" s="2" t="s">
        <v>237</v>
      </c>
      <c r="E674" s="2" t="s">
        <v>14</v>
      </c>
      <c r="F674" s="2" t="s">
        <v>15</v>
      </c>
      <c r="G674" s="2" t="s">
        <v>1269</v>
      </c>
      <c r="H674" s="2" t="s">
        <v>446</v>
      </c>
      <c r="I674" s="2" t="str">
        <f>IFERROR(__xludf.DUMMYFUNCTION("GOOGLETRANSLATE(C674,""fr"",""en"")"),"They treat me like cattle")</f>
        <v>They treat me like cattle</v>
      </c>
    </row>
    <row r="675" ht="15.75" customHeight="1">
      <c r="A675" s="2">
        <v>5.0</v>
      </c>
      <c r="B675" s="2" t="s">
        <v>1927</v>
      </c>
      <c r="C675" s="2" t="s">
        <v>1928</v>
      </c>
      <c r="D675" s="2" t="s">
        <v>13</v>
      </c>
      <c r="E675" s="2" t="s">
        <v>14</v>
      </c>
      <c r="F675" s="2" t="s">
        <v>15</v>
      </c>
      <c r="G675" s="2" t="s">
        <v>1596</v>
      </c>
      <c r="H675" s="2" t="s">
        <v>42</v>
      </c>
      <c r="I675" s="2" t="str">
        <f>IFERROR(__xludf.DUMMYFUNCTION("GOOGLETRANSLATE(C675,""fr"",""en"")"),"Very satisfied and price suits me and the service also we always have clear answers to all our questions thank you to your direct insurance team")</f>
        <v>Very satisfied and price suits me and the service also we always have clear answers to all our questions thank you to your direct insurance team</v>
      </c>
    </row>
    <row r="676" ht="15.75" customHeight="1">
      <c r="A676" s="2">
        <v>5.0</v>
      </c>
      <c r="B676" s="2" t="s">
        <v>1929</v>
      </c>
      <c r="C676" s="2" t="s">
        <v>1930</v>
      </c>
      <c r="D676" s="2" t="s">
        <v>201</v>
      </c>
      <c r="E676" s="2" t="s">
        <v>21</v>
      </c>
      <c r="F676" s="2" t="s">
        <v>15</v>
      </c>
      <c r="G676" s="2" t="s">
        <v>216</v>
      </c>
      <c r="H676" s="2" t="s">
        <v>42</v>
      </c>
      <c r="I676" s="2" t="str">
        <f>IFERROR(__xludf.DUMMYFUNCTION("GOOGLETRANSLATE(C676,""fr"",""en"")"),"I am very satisfied with this service especially attractive prices as well as the speed of your site simplicity throughout the steps and very practical")</f>
        <v>I am very satisfied with this service especially attractive prices as well as the speed of your site simplicity throughout the steps and very practical</v>
      </c>
    </row>
    <row r="677" ht="15.75" customHeight="1">
      <c r="A677" s="2">
        <v>4.0</v>
      </c>
      <c r="B677" s="2" t="s">
        <v>1931</v>
      </c>
      <c r="C677" s="2" t="s">
        <v>1932</v>
      </c>
      <c r="D677" s="2" t="s">
        <v>13</v>
      </c>
      <c r="E677" s="2" t="s">
        <v>14</v>
      </c>
      <c r="F677" s="2" t="s">
        <v>15</v>
      </c>
      <c r="G677" s="2" t="s">
        <v>97</v>
      </c>
      <c r="H677" s="2" t="s">
        <v>42</v>
      </c>
      <c r="I677" s="2" t="str">
        <f>IFERROR(__xludf.DUMMYFUNCTION("GOOGLETRANSLATE(C677,""fr"",""en"")"),"Simple and practical membership good price level and warranty.
No approach to be carried out for very appreciable termination.
Intuitive online approach and simple to perform")</f>
        <v>Simple and practical membership good price level and warranty.
No approach to be carried out for very appreciable termination.
Intuitive online approach and simple to perform</v>
      </c>
    </row>
    <row r="678" ht="15.75" customHeight="1">
      <c r="A678" s="2">
        <v>5.0</v>
      </c>
      <c r="B678" s="2" t="s">
        <v>1933</v>
      </c>
      <c r="C678" s="2" t="s">
        <v>1934</v>
      </c>
      <c r="D678" s="2" t="s">
        <v>13</v>
      </c>
      <c r="E678" s="2" t="s">
        <v>14</v>
      </c>
      <c r="F678" s="2" t="s">
        <v>15</v>
      </c>
      <c r="G678" s="2" t="s">
        <v>1935</v>
      </c>
      <c r="H678" s="2" t="s">
        <v>209</v>
      </c>
      <c r="I678" s="2" t="str">
        <f>IFERROR(__xludf.DUMMYFUNCTION("GOOGLETRANSLATE(C678,""fr"",""en"")"),"We are insured for our 2 vehicles as well as the home and we are very satisfied with the services as well as the response times in the event of any request")</f>
        <v>We are insured for our 2 vehicles as well as the home and we are very satisfied with the services as well as the response times in the event of any request</v>
      </c>
    </row>
    <row r="679" ht="15.75" customHeight="1">
      <c r="A679" s="2">
        <v>4.0</v>
      </c>
      <c r="B679" s="2" t="s">
        <v>1936</v>
      </c>
      <c r="C679" s="2" t="s">
        <v>1937</v>
      </c>
      <c r="D679" s="2" t="s">
        <v>581</v>
      </c>
      <c r="E679" s="2" t="s">
        <v>31</v>
      </c>
      <c r="F679" s="2" t="s">
        <v>15</v>
      </c>
      <c r="G679" s="2" t="s">
        <v>631</v>
      </c>
      <c r="H679" s="2" t="s">
        <v>213</v>
      </c>
      <c r="I679" s="2" t="str">
        <f>IFERROR(__xludf.DUMMYFUNCTION("GOOGLETRANSLATE(C679,""fr"",""en"")"),"So far no problems for ordinary reimbursements (monthly visits, medications, radio hospitalization with private room) and I just inquired for glasses (not bad) to see when it is done. At first we are satisfied")</f>
        <v>So far no problems for ordinary reimbursements (monthly visits, medications, radio hospitalization with private room) and I just inquired for glasses (not bad) to see when it is done. At first we are satisfied</v>
      </c>
    </row>
    <row r="680" ht="15.75" customHeight="1">
      <c r="A680" s="2">
        <v>1.0</v>
      </c>
      <c r="B680" s="2" t="s">
        <v>1938</v>
      </c>
      <c r="C680" s="2" t="s">
        <v>1939</v>
      </c>
      <c r="D680" s="2" t="s">
        <v>74</v>
      </c>
      <c r="E680" s="2" t="s">
        <v>14</v>
      </c>
      <c r="F680" s="2" t="s">
        <v>15</v>
      </c>
      <c r="G680" s="2" t="s">
        <v>103</v>
      </c>
      <c r="H680" s="2" t="s">
        <v>103</v>
      </c>
      <c r="I680" s="2" t="str">
        <f>IFERROR(__xludf.DUMMYFUNCTION("GOOGLETRANSLATE(C680,""fr"",""en"")"),"Here is my problem with this insurer
Already customer at home you are less well treated than a future customer
Insured for more than ten years at home I have at present an insurance contract for my Peugeot 407 vehicle
Bonus 65 No claim declared in 10 y"&amp;"ears and for my contract I pay € 420 per year in median comfort formula
And surprise this weekend by making a quote on an insurance comparator for this vehicle, with the same guarantees, the same information concerning me and my name I discover that the "&amp;"GMF offers to ensure me for 360 € to which they take 60 € additional welcome
Taken aback I call their customer service to ask them why loyalty is not rewarded at home
The only answer that we can bring me is that they could not do anything that I had to "&amp;"go to the agency to see if they wanted to give me a commercial gesture
So know GMF company that I do not want a commercial gesture but simply to have the same price as future customers and not be your cow of milk milk
For 10 years I did not want to make"&amp;" the competition work but I think there that it is high time
For those who have had the patience to read this long message a single advice change insurance every year you may have the chance to have pleasant little attention of € 120 each time
Franck")</f>
        <v>Here is my problem with this insurer
Already customer at home you are less well treated than a future customer
Insured for more than ten years at home I have at present an insurance contract for my Peugeot 407 vehicle
Bonus 65 No claim declared in 10 years and for my contract I pay € 420 per year in median comfort formula
And surprise this weekend by making a quote on an insurance comparator for this vehicle, with the same guarantees, the same information concerning me and my name I discover that the GMF offers to ensure me for 360 € to which they take 60 € additional welcome
Taken aback I call their customer service to ask them why loyalty is not rewarded at home
The only answer that we can bring me is that they could not do anything that I had to go to the agency to see if they wanted to give me a commercial gesture
So know GMF company that I do not want a commercial gesture but simply to have the same price as future customers and not be your cow of milk milk
For 10 years I did not want to make the competition work but I think there that it is high time
For those who have had the patience to read this long message a single advice change insurance every year you may have the chance to have pleasant little attention of € 120 each time
Franck</v>
      </c>
    </row>
    <row r="681" ht="15.75" customHeight="1">
      <c r="A681" s="2">
        <v>5.0</v>
      </c>
      <c r="B681" s="2" t="s">
        <v>1940</v>
      </c>
      <c r="C681" s="2" t="s">
        <v>1941</v>
      </c>
      <c r="D681" s="2" t="s">
        <v>87</v>
      </c>
      <c r="E681" s="2" t="s">
        <v>14</v>
      </c>
      <c r="F681" s="2" t="s">
        <v>15</v>
      </c>
      <c r="G681" s="2" t="s">
        <v>256</v>
      </c>
      <c r="H681" s="2" t="s">
        <v>52</v>
      </c>
      <c r="I681" s="2" t="str">
        <f>IFERROR(__xludf.DUMMYFUNCTION("GOOGLETRANSLATE(C681,""fr"",""en"")"),"I am very satisfied with the service offer by your site I find it well done and very explicit the prices suits me. I will recommend you to those around me.")</f>
        <v>I am very satisfied with the service offer by your site I find it well done and very explicit the prices suits me. I will recommend you to those around me.</v>
      </c>
    </row>
    <row r="682" ht="15.75" customHeight="1">
      <c r="A682" s="2">
        <v>3.0</v>
      </c>
      <c r="B682" s="2" t="s">
        <v>1942</v>
      </c>
      <c r="C682" s="2" t="s">
        <v>1943</v>
      </c>
      <c r="D682" s="2" t="s">
        <v>74</v>
      </c>
      <c r="E682" s="2" t="s">
        <v>14</v>
      </c>
      <c r="F682" s="2" t="s">
        <v>15</v>
      </c>
      <c r="G682" s="2" t="s">
        <v>1944</v>
      </c>
      <c r="H682" s="2" t="s">
        <v>190</v>
      </c>
      <c r="I682" s="2" t="str">
        <f>IFERROR(__xludf.DUMMYFUNCTION("GOOGLETRANSLATE(C682,""fr"",""en"")"),"I am very satisfied with the services (relations, claims ...)
On the other hand, the prices are less and less competitive and for the Hyundai Tucson vehicle: far superior to the competition (and I do not take into account the Internet).")</f>
        <v>I am very satisfied with the services (relations, claims ...)
On the other hand, the prices are less and less competitive and for the Hyundai Tucson vehicle: far superior to the competition (and I do not take into account the Internet).</v>
      </c>
    </row>
    <row r="683" ht="15.75" customHeight="1">
      <c r="A683" s="2">
        <v>1.0</v>
      </c>
      <c r="B683" s="2" t="s">
        <v>1945</v>
      </c>
      <c r="C683" s="2" t="s">
        <v>1946</v>
      </c>
      <c r="D683" s="2" t="s">
        <v>13</v>
      </c>
      <c r="E683" s="2" t="s">
        <v>14</v>
      </c>
      <c r="F683" s="2" t="s">
        <v>15</v>
      </c>
      <c r="G683" s="2" t="s">
        <v>46</v>
      </c>
      <c r="H683" s="2" t="s">
        <v>47</v>
      </c>
      <c r="I683" s="2" t="str">
        <f>IFERROR(__xludf.DUMMYFUNCTION("GOOGLETRANSLATE(C683,""fr"",""en"")"),"No one, an accident not responsible for more than 2 months with an uninsured person, Direct Insurance does not keep me informed of the advance of the file, I tell they did not receive the photos of expertise, they did not Still not repairing for 2 months."&amp;" I now drive with an accident vehicle, the wheel passage starts in pieces, my tire has become smooth, in short I now block my sets")</f>
        <v>No one, an accident not responsible for more than 2 months with an uninsured person, Direct Insurance does not keep me informed of the advance of the file, I tell they did not receive the photos of expertise, they did not Still not repairing for 2 months. I now drive with an accident vehicle, the wheel passage starts in pieces, my tire has become smooth, in short I now block my sets</v>
      </c>
    </row>
    <row r="684" ht="15.75" customHeight="1">
      <c r="A684" s="2">
        <v>5.0</v>
      </c>
      <c r="B684" s="2" t="s">
        <v>1947</v>
      </c>
      <c r="C684" s="2" t="s">
        <v>1948</v>
      </c>
      <c r="D684" s="2" t="s">
        <v>87</v>
      </c>
      <c r="E684" s="2" t="s">
        <v>14</v>
      </c>
      <c r="F684" s="2" t="s">
        <v>15</v>
      </c>
      <c r="G684" s="2" t="s">
        <v>805</v>
      </c>
      <c r="H684" s="2" t="s">
        <v>52</v>
      </c>
      <c r="I684" s="2" t="str">
        <f>IFERROR(__xludf.DUMMYFUNCTION("GOOGLETRANSLATE(C684,""fr"",""en"")"),"I am satisfied with the speed with which I ensured my new vehicle.
The instructions were clear and simple to perform. All was carried out online.")</f>
        <v>I am satisfied with the speed with which I ensured my new vehicle.
The instructions were clear and simple to perform. All was carried out online.</v>
      </c>
    </row>
    <row r="685" ht="15.75" customHeight="1">
      <c r="A685" s="2">
        <v>2.0</v>
      </c>
      <c r="B685" s="2" t="s">
        <v>1949</v>
      </c>
      <c r="C685" s="2" t="s">
        <v>1950</v>
      </c>
      <c r="D685" s="2" t="s">
        <v>13</v>
      </c>
      <c r="E685" s="2" t="s">
        <v>14</v>
      </c>
      <c r="F685" s="2" t="s">
        <v>15</v>
      </c>
      <c r="G685" s="2" t="s">
        <v>1473</v>
      </c>
      <c r="H685" s="2" t="s">
        <v>248</v>
      </c>
      <c r="I685" s="2" t="str">
        <f>IFERROR(__xludf.DUMMYFUNCTION("GOOGLETRANSLATE(C685,""fr"",""en"")"),"I find the site fast and simple on the other hand the price of franchises remain very raised in relation to the remains of insurance companies .. to see ..")</f>
        <v>I find the site fast and simple on the other hand the price of franchises remain very raised in relation to the remains of insurance companies .. to see ..</v>
      </c>
    </row>
    <row r="686" ht="15.75" customHeight="1">
      <c r="A686" s="2">
        <v>4.0</v>
      </c>
      <c r="B686" s="2" t="s">
        <v>1951</v>
      </c>
      <c r="C686" s="2" t="s">
        <v>1952</v>
      </c>
      <c r="D686" s="2" t="s">
        <v>87</v>
      </c>
      <c r="E686" s="2" t="s">
        <v>14</v>
      </c>
      <c r="F686" s="2" t="s">
        <v>15</v>
      </c>
      <c r="G686" s="2" t="s">
        <v>355</v>
      </c>
      <c r="H686" s="2" t="s">
        <v>110</v>
      </c>
      <c r="I686" s="2" t="str">
        <f>IFERROR(__xludf.DUMMYFUNCTION("GOOGLETRANSLATE(C686,""fr"",""en"")"),"Disappointed not having had the discount for the second vehicle insured
Friendly, explicit and professional welcome from my telephone interlocutor")</f>
        <v>Disappointed not having had the discount for the second vehicle insured
Friendly, explicit and professional welcome from my telephone interlocutor</v>
      </c>
    </row>
    <row r="687" ht="15.75" customHeight="1">
      <c r="A687" s="2">
        <v>2.0</v>
      </c>
      <c r="B687" s="2" t="s">
        <v>1953</v>
      </c>
      <c r="C687" s="2" t="s">
        <v>1954</v>
      </c>
      <c r="D687" s="2" t="s">
        <v>237</v>
      </c>
      <c r="E687" s="2" t="s">
        <v>1955</v>
      </c>
      <c r="F687" s="2" t="s">
        <v>15</v>
      </c>
      <c r="G687" s="2" t="s">
        <v>1956</v>
      </c>
      <c r="H687" s="2" t="s">
        <v>480</v>
      </c>
      <c r="I687" s="2" t="str">
        <f>IFERROR(__xludf.DUMMYFUNCTION("GOOGLETRANSLATE(C687,""fr"",""en"")"),"I had a claim as part of a multi -risk professional contract, opening and supported in October 2016, in the meantime the disaster manager changed. I do not count the number of recovery by email and by phone, to date a check is said to be left more than a "&amp;"month ago, the manager is on vacation and his collaborators do not even bother looking at your file. Conclusion still nothing and good it is up to you to constantly revive, it is unbearable.")</f>
        <v>I had a claim as part of a multi -risk professional contract, opening and supported in October 2016, in the meantime the disaster manager changed. I do not count the number of recovery by email and by phone, to date a check is said to be left more than a month ago, the manager is on vacation and his collaborators do not even bother looking at your file. Conclusion still nothing and good it is up to you to constantly revive, it is unbearable.</v>
      </c>
    </row>
    <row r="688" ht="15.75" customHeight="1">
      <c r="A688" s="2">
        <v>3.0</v>
      </c>
      <c r="B688" s="2" t="s">
        <v>1957</v>
      </c>
      <c r="C688" s="2" t="s">
        <v>1958</v>
      </c>
      <c r="D688" s="2" t="s">
        <v>70</v>
      </c>
      <c r="E688" s="2" t="s">
        <v>31</v>
      </c>
      <c r="F688" s="2" t="s">
        <v>15</v>
      </c>
      <c r="G688" s="2" t="s">
        <v>1959</v>
      </c>
      <c r="H688" s="2" t="s">
        <v>234</v>
      </c>
      <c r="I688" s="2" t="str">
        <f>IFERROR(__xludf.DUMMYFUNCTION("GOOGLETRANSLATE(C688,""fr"",""en"")"),"Waiting, we will see, Ptix correct, service to see, laborious .......")</f>
        <v>Waiting, we will see, Ptix correct, service to see, laborious .......</v>
      </c>
    </row>
    <row r="689" ht="15.75" customHeight="1">
      <c r="A689" s="2">
        <v>3.0</v>
      </c>
      <c r="B689" s="2" t="s">
        <v>1960</v>
      </c>
      <c r="C689" s="2" t="s">
        <v>1961</v>
      </c>
      <c r="D689" s="2" t="s">
        <v>13</v>
      </c>
      <c r="E689" s="2" t="s">
        <v>14</v>
      </c>
      <c r="F689" s="2" t="s">
        <v>15</v>
      </c>
      <c r="G689" s="2" t="s">
        <v>205</v>
      </c>
      <c r="H689" s="2" t="s">
        <v>52</v>
      </c>
      <c r="I689" s="2" t="str">
        <f>IFERROR(__xludf.DUMMYFUNCTION("GOOGLETRANSLATE(C689,""fr"",""en"")"),"Insurance that offers a large panel of possibility for any budget of options which make it possible to strengthen the insurance base, option broken ice. This one offers good value for money.")</f>
        <v>Insurance that offers a large panel of possibility for any budget of options which make it possible to strengthen the insurance base, option broken ice. This one offers good value for money.</v>
      </c>
    </row>
    <row r="690" ht="15.75" customHeight="1">
      <c r="A690" s="2">
        <v>2.0</v>
      </c>
      <c r="B690" s="2" t="s">
        <v>1962</v>
      </c>
      <c r="C690" s="2" t="s">
        <v>1963</v>
      </c>
      <c r="D690" s="2" t="s">
        <v>120</v>
      </c>
      <c r="E690" s="2" t="s">
        <v>14</v>
      </c>
      <c r="F690" s="2" t="s">
        <v>15</v>
      </c>
      <c r="G690" s="2" t="s">
        <v>1964</v>
      </c>
      <c r="H690" s="2" t="s">
        <v>344</v>
      </c>
      <c r="I690" s="2" t="str">
        <f>IFERROR(__xludf.DUMMYFUNCTION("GOOGLETRANSLATE(C690,""fr"",""en"")"),"Disappointed duration prices")</f>
        <v>Disappointed duration prices</v>
      </c>
    </row>
    <row r="691" ht="15.75" customHeight="1">
      <c r="A691" s="2">
        <v>2.0</v>
      </c>
      <c r="B691" s="2" t="s">
        <v>1965</v>
      </c>
      <c r="C691" s="2" t="s">
        <v>1966</v>
      </c>
      <c r="D691" s="2" t="s">
        <v>74</v>
      </c>
      <c r="E691" s="2" t="s">
        <v>14</v>
      </c>
      <c r="F691" s="2" t="s">
        <v>15</v>
      </c>
      <c r="G691" s="2" t="s">
        <v>1967</v>
      </c>
      <c r="H691" s="2" t="s">
        <v>110</v>
      </c>
      <c r="I691" s="2" t="str">
        <f>IFERROR(__xludf.DUMMYFUNCTION("GOOGLETRANSLATE(C691,""fr"",""en"")"),"GMF was a serious insurance for me but that we pay rather strongly compared to the competition. I accepted the deal.
This day following a declaration of ice breaks and wishing to go through my proximity Peugeot dealership because my vehicle is specific, "&amp;"I am supported by an advisor who directs me to the Carglass and others, who certifies that my garage Peugeot is not approved and that I may not be fully taken care of for reimbursement ... Following the RV taking with my mechanic, the latter tells me that"&amp;" it is obviously approved ....
Assessment: Loss of time and unpleasant impression that I am lying to make a pseudo economy as well as a loss of confidence in the insurance organization. I now think of competition not for better quality of services but lo"&amp;"wer prices. Case to follow.
.")</f>
        <v>GMF was a serious insurance for me but that we pay rather strongly compared to the competition. I accepted the deal.
This day following a declaration of ice breaks and wishing to go through my proximity Peugeot dealership because my vehicle is specific, I am supported by an advisor who directs me to the Carglass and others, who certifies that my garage Peugeot is not approved and that I may not be fully taken care of for reimbursement ... Following the RV taking with my mechanic, the latter tells me that it is obviously approved ....
Assessment: Loss of time and unpleasant impression that I am lying to make a pseudo economy as well as a loss of confidence in the insurance organization. I now think of competition not for better quality of services but lower prices. Case to follow.
.</v>
      </c>
    </row>
    <row r="692" ht="15.75" customHeight="1">
      <c r="A692" s="2">
        <v>5.0</v>
      </c>
      <c r="B692" s="2" t="s">
        <v>1968</v>
      </c>
      <c r="C692" s="2" t="s">
        <v>1969</v>
      </c>
      <c r="D692" s="2" t="s">
        <v>87</v>
      </c>
      <c r="E692" s="2" t="s">
        <v>14</v>
      </c>
      <c r="F692" s="2" t="s">
        <v>15</v>
      </c>
      <c r="G692" s="2" t="s">
        <v>683</v>
      </c>
      <c r="H692" s="2" t="s">
        <v>42</v>
      </c>
      <c r="I692" s="2" t="str">
        <f>IFERROR(__xludf.DUMMYFUNCTION("GOOGLETRANSLATE(C692,""fr"",""en"")"),"I really appreciated the contact with your collaborator who guided me in the approach of the contract in a very professional, calm and available manner.
Thank you")</f>
        <v>I really appreciated the contact with your collaborator who guided me in the approach of the contract in a very professional, calm and available manner.
Thank you</v>
      </c>
    </row>
    <row r="693" ht="15.75" customHeight="1">
      <c r="A693" s="2">
        <v>4.0</v>
      </c>
      <c r="B693" s="2" t="s">
        <v>1970</v>
      </c>
      <c r="C693" s="2" t="s">
        <v>1971</v>
      </c>
      <c r="D693" s="2" t="s">
        <v>50</v>
      </c>
      <c r="E693" s="2" t="s">
        <v>21</v>
      </c>
      <c r="F693" s="2" t="s">
        <v>15</v>
      </c>
      <c r="G693" s="2" t="s">
        <v>1972</v>
      </c>
      <c r="H693" s="2" t="s">
        <v>190</v>
      </c>
      <c r="I693" s="2" t="str">
        <f>IFERROR(__xludf.DUMMYFUNCTION("GOOGLETRANSLATE(C693,""fr"",""en"")"),"Low price and fast subscription. I'm glad it is also price. It took me 10min to subscribe to the insurance. I recommend...")</f>
        <v>Low price and fast subscription. I'm glad it is also price. It took me 10min to subscribe to the insurance. I recommend...</v>
      </c>
    </row>
    <row r="694" ht="15.75" customHeight="1">
      <c r="A694" s="2">
        <v>5.0</v>
      </c>
      <c r="B694" s="2" t="s">
        <v>1973</v>
      </c>
      <c r="C694" s="2" t="s">
        <v>1974</v>
      </c>
      <c r="D694" s="2" t="s">
        <v>50</v>
      </c>
      <c r="E694" s="2" t="s">
        <v>21</v>
      </c>
      <c r="F694" s="2" t="s">
        <v>15</v>
      </c>
      <c r="G694" s="2" t="s">
        <v>1031</v>
      </c>
      <c r="H694" s="2" t="s">
        <v>209</v>
      </c>
      <c r="I694" s="2" t="str">
        <f>IFERROR(__xludf.DUMMYFUNCTION("GOOGLETRANSLATE(C694,""fr"",""en"")"),"Simplicity of subscription and attractive prices. Hoping that it does not hide something behind ... In any case for the moment it's ok. You just have to hope that you don't need to call on them")</f>
        <v>Simplicity of subscription and attractive prices. Hoping that it does not hide something behind ... In any case for the moment it's ok. You just have to hope that you don't need to call on them</v>
      </c>
    </row>
    <row r="695" ht="15.75" customHeight="1">
      <c r="A695" s="2">
        <v>5.0</v>
      </c>
      <c r="B695" s="2" t="s">
        <v>1975</v>
      </c>
      <c r="C695" s="2" t="s">
        <v>1976</v>
      </c>
      <c r="D695" s="2" t="s">
        <v>74</v>
      </c>
      <c r="E695" s="2" t="s">
        <v>14</v>
      </c>
      <c r="F695" s="2" t="s">
        <v>15</v>
      </c>
      <c r="G695" s="2" t="s">
        <v>695</v>
      </c>
      <c r="H695" s="2" t="s">
        <v>190</v>
      </c>
      <c r="I695" s="2" t="str">
        <f>IFERROR(__xludf.DUMMYFUNCTION("GOOGLETRANSLATE(C695,""fr"",""en"")"),"Very satisfied with the service!
Perfect !
Nothing to add, for years that I have been at the GMF, quality price, response time etc ..., perfect!
This is why I encouraged my partner Martine Laizet, my daughter parachethe- Laizet to adhere GMF")</f>
        <v>Very satisfied with the service!
Perfect !
Nothing to add, for years that I have been at the GMF, quality price, response time etc ..., perfect!
This is why I encouraged my partner Martine Laizet, my daughter parachethe- Laizet to adhere GMF</v>
      </c>
    </row>
    <row r="696" ht="15.75" customHeight="1">
      <c r="A696" s="2">
        <v>5.0</v>
      </c>
      <c r="B696" s="2" t="s">
        <v>1977</v>
      </c>
      <c r="C696" s="2" t="s">
        <v>1978</v>
      </c>
      <c r="D696" s="2" t="s">
        <v>13</v>
      </c>
      <c r="E696" s="2" t="s">
        <v>14</v>
      </c>
      <c r="F696" s="2" t="s">
        <v>15</v>
      </c>
      <c r="G696" s="2" t="s">
        <v>1465</v>
      </c>
      <c r="H696" s="2" t="s">
        <v>52</v>
      </c>
      <c r="I696" s="2" t="str">
        <f>IFERROR(__xludf.DUMMYFUNCTION("GOOGLETRANSLATE(C696,""fr"",""en"")"),"I am satisfied with your service and your speed of reaction during exchanges etc. I have already been a client with you, it is Poyr that I come back today.")</f>
        <v>I am satisfied with your service and your speed of reaction during exchanges etc. I have already been a client with you, it is Poyr that I come back today.</v>
      </c>
    </row>
    <row r="697" ht="15.75" customHeight="1">
      <c r="A697" s="2">
        <v>1.0</v>
      </c>
      <c r="B697" s="2" t="s">
        <v>1979</v>
      </c>
      <c r="C697" s="2" t="s">
        <v>1980</v>
      </c>
      <c r="D697" s="2" t="s">
        <v>237</v>
      </c>
      <c r="E697" s="2" t="s">
        <v>65</v>
      </c>
      <c r="F697" s="2" t="s">
        <v>15</v>
      </c>
      <c r="G697" s="2" t="s">
        <v>1599</v>
      </c>
      <c r="H697" s="2" t="s">
        <v>493</v>
      </c>
      <c r="I697" s="2" t="str">
        <f>IFERROR(__xludf.DUMMYFUNCTION("GOOGLETRANSLATE(C697,""fr"",""en"")"),"I have practically used all AXA services including the bank and I have encountered problems in monitoring all products. Mutual, bank or I am still in dispute, provident with life accidents, death insurance, loss of autonomy, additional retirement that I h"&amp;"ave been waiting for almost 3 years or how to make money by dragging the files.")</f>
        <v>I have practically used all AXA services including the bank and I have encountered problems in monitoring all products. Mutual, bank or I am still in dispute, provident with life accidents, death insurance, loss of autonomy, additional retirement that I have been waiting for almost 3 years or how to make money by dragging the files.</v>
      </c>
    </row>
    <row r="698" ht="15.75" customHeight="1">
      <c r="A698" s="2">
        <v>1.0</v>
      </c>
      <c r="B698" s="2" t="s">
        <v>1981</v>
      </c>
      <c r="C698" s="2" t="s">
        <v>1982</v>
      </c>
      <c r="D698" s="2" t="s">
        <v>581</v>
      </c>
      <c r="E698" s="2" t="s">
        <v>31</v>
      </c>
      <c r="F698" s="2" t="s">
        <v>15</v>
      </c>
      <c r="G698" s="2" t="s">
        <v>1983</v>
      </c>
      <c r="H698" s="2" t="s">
        <v>761</v>
      </c>
      <c r="I698" s="2" t="str">
        <f>IFERROR(__xludf.DUMMYFUNCTION("GOOGLETRANSLATE(C698,""fr"",""en"")"),"An employee confirmed the date of termination on the anniversary date. In less than a month, this date went to December 31. Mutual dear despite a rather basic cover. questionable customer service.")</f>
        <v>An employee confirmed the date of termination on the anniversary date. In less than a month, this date went to December 31. Mutual dear despite a rather basic cover. questionable customer service.</v>
      </c>
    </row>
    <row r="699" ht="15.75" customHeight="1">
      <c r="A699" s="2">
        <v>3.0</v>
      </c>
      <c r="B699" s="2" t="s">
        <v>1984</v>
      </c>
      <c r="C699" s="2" t="s">
        <v>1985</v>
      </c>
      <c r="D699" s="2" t="s">
        <v>164</v>
      </c>
      <c r="E699" s="2" t="s">
        <v>14</v>
      </c>
      <c r="F699" s="2" t="s">
        <v>15</v>
      </c>
      <c r="G699" s="2" t="s">
        <v>1986</v>
      </c>
      <c r="H699" s="2" t="s">
        <v>433</v>
      </c>
      <c r="I699" s="2" t="str">
        <f>IFERROR(__xludf.DUMMYFUNCTION("GOOGLETRANSLATE(C699,""fr"",""en"")"),"I am very disappointed with the Matmut. I have just found my rear view mirror conductorcomplely folded, cost of repair € 300 which is the cost of my deductible in all risks")</f>
        <v>I am very disappointed with the Matmut. I have just found my rear view mirror conductorcomplely folded, cost of repair € 300 which is the cost of my deductible in all risks</v>
      </c>
    </row>
    <row r="700" ht="15.75" customHeight="1">
      <c r="A700" s="2">
        <v>1.0</v>
      </c>
      <c r="B700" s="2" t="s">
        <v>1987</v>
      </c>
      <c r="C700" s="2" t="s">
        <v>1988</v>
      </c>
      <c r="D700" s="2" t="s">
        <v>20</v>
      </c>
      <c r="E700" s="2" t="s">
        <v>21</v>
      </c>
      <c r="F700" s="2" t="s">
        <v>15</v>
      </c>
      <c r="G700" s="2" t="s">
        <v>22</v>
      </c>
      <c r="H700" s="2" t="s">
        <v>23</v>
      </c>
      <c r="I700" s="2" t="str">
        <f>IFERROR(__xludf.DUMMYFUNCTION("GOOGLETRANSLATE(C700,""fr"",""en"")"),"Following a dispute on a non -responsible disaster linked to a motorcycle flight, later found and whose biker mutual gave the garage to repair the damage, then retracted after the repair and to refuse to pay the slightest penny on the grounds that the nem"&amp;"an was not damaged. Implied, my son organized his flight. For which motive ? In what interest? The motorcycle was new supporting proofs and supporting documents provided.
In short.
A perfect summary of the situation of decay of this mutual. A barely vei"&amp;"led practice of deliberate obstruction of the sinister file. In other words, ""above all do not pay anything""!
The key to their success, probably discouraging the members who no longer have the energy to fight in front of so much indifference, incompete"&amp;"nce and arrogance. Despite a sympathetic and pragmatic advisor but whose function is only that of selling contracts since she has no decision -making power, we have no other solution than to make a complaint with the Mediation Service. What time of time, "&amp;"and immeasurable energy.
RUN AWAY !")</f>
        <v>Following a dispute on a non -responsible disaster linked to a motorcycle flight, later found and whose biker mutual gave the garage to repair the damage, then retracted after the repair and to refuse to pay the slightest penny on the grounds that the neman was not damaged. Implied, my son organized his flight. For which motive ? In what interest? The motorcycle was new supporting proofs and supporting documents provided.
In short.
A perfect summary of the situation of decay of this mutual. A barely veiled practice of deliberate obstruction of the sinister file. In other words, "above all do not pay anything"!
The key to their success, probably discouraging the members who no longer have the energy to fight in front of so much indifference, incompetence and arrogance. Despite a sympathetic and pragmatic advisor but whose function is only that of selling contracts since she has no decision -making power, we have no other solution than to make a complaint with the Mediation Service. What time of time, and immeasurable energy.
RUN AWAY !</v>
      </c>
    </row>
    <row r="701" ht="15.75" customHeight="1">
      <c r="A701" s="2">
        <v>3.0</v>
      </c>
      <c r="B701" s="2" t="s">
        <v>1989</v>
      </c>
      <c r="C701" s="2" t="s">
        <v>1990</v>
      </c>
      <c r="D701" s="2" t="s">
        <v>13</v>
      </c>
      <c r="E701" s="2" t="s">
        <v>14</v>
      </c>
      <c r="F701" s="2" t="s">
        <v>15</v>
      </c>
      <c r="G701" s="2" t="s">
        <v>1991</v>
      </c>
      <c r="H701" s="2" t="s">
        <v>248</v>
      </c>
      <c r="I701" s="2" t="str">
        <f>IFERROR(__xludf.DUMMYFUNCTION("GOOGLETRANSLATE(C701,""fr"",""en"")"),"I am satisfied everything and indicate easy and simple everything and indicate apart from the franchises pending my quote thank you. Cordially
")</f>
        <v>I am satisfied everything and indicate easy and simple everything and indicate apart from the franchises pending my quote thank you. Cordially
</v>
      </c>
    </row>
    <row r="702" ht="15.75" customHeight="1">
      <c r="A702" s="2">
        <v>4.0</v>
      </c>
      <c r="B702" s="2" t="s">
        <v>1992</v>
      </c>
      <c r="C702" s="2" t="s">
        <v>1993</v>
      </c>
      <c r="D702" s="2" t="s">
        <v>50</v>
      </c>
      <c r="E702" s="2" t="s">
        <v>21</v>
      </c>
      <c r="F702" s="2" t="s">
        <v>15</v>
      </c>
      <c r="G702" s="2" t="s">
        <v>1994</v>
      </c>
      <c r="H702" s="2" t="s">
        <v>27</v>
      </c>
      <c r="I702" s="2" t="str">
        <f>IFERROR(__xludf.DUMMYFUNCTION("GOOGLETRANSLATE(C702,""fr"",""en"")"),"I am satisfied with the service The site was well done, we easily found the information and I was able to quickly do my approach and especially the presence of a telephone customer service")</f>
        <v>I am satisfied with the service The site was well done, we easily found the information and I was able to quickly do my approach and especially the presence of a telephone customer service</v>
      </c>
    </row>
    <row r="703" ht="15.75" customHeight="1">
      <c r="A703" s="2">
        <v>4.0</v>
      </c>
      <c r="B703" s="2" t="s">
        <v>1995</v>
      </c>
      <c r="C703" s="2" t="s">
        <v>1996</v>
      </c>
      <c r="D703" s="2" t="s">
        <v>13</v>
      </c>
      <c r="E703" s="2" t="s">
        <v>14</v>
      </c>
      <c r="F703" s="2" t="s">
        <v>15</v>
      </c>
      <c r="G703" s="2" t="s">
        <v>1057</v>
      </c>
      <c r="H703" s="2" t="s">
        <v>61</v>
      </c>
      <c r="I703" s="2" t="str">
        <f>IFERROR(__xludf.DUMMYFUNCTION("GOOGLETRANSLATE(C703,""fr"",""en"")"),"I am satisfied by the service. The advisor explained to me the steps to be taken in my file is practical by internet instead of sending by mail")</f>
        <v>I am satisfied by the service. The advisor explained to me the steps to be taken in my file is practical by internet instead of sending by mail</v>
      </c>
    </row>
    <row r="704" ht="15.75" customHeight="1">
      <c r="A704" s="2">
        <v>3.0</v>
      </c>
      <c r="B704" s="2" t="s">
        <v>1997</v>
      </c>
      <c r="C704" s="2" t="s">
        <v>1998</v>
      </c>
      <c r="D704" s="2" t="s">
        <v>87</v>
      </c>
      <c r="E704" s="2" t="s">
        <v>14</v>
      </c>
      <c r="F704" s="2" t="s">
        <v>15</v>
      </c>
      <c r="G704" s="2" t="s">
        <v>1994</v>
      </c>
      <c r="H704" s="2" t="s">
        <v>27</v>
      </c>
      <c r="I704" s="2" t="str">
        <f>IFERROR(__xludf.DUMMYFUNCTION("GOOGLETRANSLATE(C704,""fr"",""en"")"),"I am happy that you assure me by being a young license
Thank you at the price level I find it well but a little expensive and especially to pay two months in ahead c far too much")</f>
        <v>I am happy that you assure me by being a young license
Thank you at the price level I find it well but a little expensive and especially to pay two months in ahead c far too much</v>
      </c>
    </row>
    <row r="705" ht="15.75" customHeight="1">
      <c r="A705" s="2">
        <v>1.0</v>
      </c>
      <c r="B705" s="2" t="s">
        <v>1999</v>
      </c>
      <c r="C705" s="2" t="s">
        <v>2000</v>
      </c>
      <c r="D705" s="2" t="s">
        <v>120</v>
      </c>
      <c r="E705" s="2" t="s">
        <v>14</v>
      </c>
      <c r="F705" s="2" t="s">
        <v>15</v>
      </c>
      <c r="G705" s="2" t="s">
        <v>2001</v>
      </c>
      <c r="H705" s="2" t="s">
        <v>209</v>
      </c>
      <c r="I705" s="2" t="str">
        <f>IFERROR(__xludf.DUMMYFUNCTION("GOOGLETRANSLATE(C705,""fr"",""en"")"),"I do not recommend, following a non -responsible accident in the year (in which I was injured), I just learned that if I did not increase my 200 € more franchise (I am 400 € ). They would be obliged to terminate my contract on the date of birthday.
I've "&amp;"been there for several years and I had a break in ice and a single accident in June 2020 for which I was not responsible.
Watch out for future customers and elders ....")</f>
        <v>I do not recommend, following a non -responsible accident in the year (in which I was injured), I just learned that if I did not increase my 200 € more franchise (I am 400 € ). They would be obliged to terminate my contract on the date of birthday.
I've been there for several years and I had a break in ice and a single accident in June 2020 for which I was not responsible.
Watch out for future customers and elders ....</v>
      </c>
    </row>
    <row r="706" ht="15.75" customHeight="1">
      <c r="A706" s="2">
        <v>4.0</v>
      </c>
      <c r="B706" s="2" t="s">
        <v>2002</v>
      </c>
      <c r="C706" s="2" t="s">
        <v>2003</v>
      </c>
      <c r="D706" s="2" t="s">
        <v>87</v>
      </c>
      <c r="E706" s="2" t="s">
        <v>14</v>
      </c>
      <c r="F706" s="2" t="s">
        <v>15</v>
      </c>
      <c r="G706" s="2" t="s">
        <v>2004</v>
      </c>
      <c r="H706" s="2" t="s">
        <v>169</v>
      </c>
      <c r="I706" s="2" t="str">
        <f>IFERROR(__xludf.DUMMYFUNCTION("GOOGLETRANSLATE(C706,""fr"",""en"")"),"It is a quick, fairly competitive insurance solution, formulas available,
Affordable price but overly significant case fees. Good to treat everything online")</f>
        <v>It is a quick, fairly competitive insurance solution, formulas available,
Affordable price but overly significant case fees. Good to treat everything online</v>
      </c>
    </row>
    <row r="707" ht="15.75" customHeight="1">
      <c r="A707" s="2">
        <v>4.0</v>
      </c>
      <c r="B707" s="2" t="s">
        <v>2005</v>
      </c>
      <c r="C707" s="2" t="s">
        <v>2006</v>
      </c>
      <c r="D707" s="2" t="s">
        <v>87</v>
      </c>
      <c r="E707" s="2" t="s">
        <v>14</v>
      </c>
      <c r="F707" s="2" t="s">
        <v>15</v>
      </c>
      <c r="G707" s="2" t="s">
        <v>1112</v>
      </c>
      <c r="H707" s="2" t="s">
        <v>190</v>
      </c>
      <c r="I707" s="2" t="str">
        <f>IFERROR(__xludf.DUMMYFUNCTION("GOOGLETRANSLATE(C707,""fr"",""en"")"),"Satisfied with the service, suitable price, ease of registration on the site. Fluid and clear website.")</f>
        <v>Satisfied with the service, suitable price, ease of registration on the site. Fluid and clear website.</v>
      </c>
    </row>
    <row r="708" ht="15.75" customHeight="1">
      <c r="A708" s="2">
        <v>1.0</v>
      </c>
      <c r="B708" s="2" t="s">
        <v>2007</v>
      </c>
      <c r="C708" s="2" t="s">
        <v>2008</v>
      </c>
      <c r="D708" s="2" t="s">
        <v>330</v>
      </c>
      <c r="E708" s="2" t="s">
        <v>31</v>
      </c>
      <c r="F708" s="2" t="s">
        <v>15</v>
      </c>
      <c r="G708" s="2" t="s">
        <v>2009</v>
      </c>
      <c r="H708" s="2" t="s">
        <v>103</v>
      </c>
      <c r="I708" s="2" t="str">
        <f>IFERROR(__xludf.DUMMYFUNCTION("GOOGLETRANSLATE(C708,""fr"",""en"")"),"I am very disappointed with the MGEN. I have just learned today that my dental curettage was not reimbursed. 120 euros in my pocket and nothing reimbursed? I think of changing the mutual!")</f>
        <v>I am very disappointed with the MGEN. I have just learned today that my dental curettage was not reimbursed. 120 euros in my pocket and nothing reimbursed? I think of changing the mutual!</v>
      </c>
    </row>
    <row r="709" ht="15.75" customHeight="1">
      <c r="A709" s="2">
        <v>4.0</v>
      </c>
      <c r="B709" s="2" t="s">
        <v>2010</v>
      </c>
      <c r="C709" s="2" t="s">
        <v>2011</v>
      </c>
      <c r="D709" s="2" t="s">
        <v>30</v>
      </c>
      <c r="E709" s="2" t="s">
        <v>31</v>
      </c>
      <c r="F709" s="2" t="s">
        <v>15</v>
      </c>
      <c r="G709" s="2" t="s">
        <v>2012</v>
      </c>
      <c r="H709" s="2" t="s">
        <v>33</v>
      </c>
      <c r="I709" s="2" t="str">
        <f>IFERROR(__xludf.DUMMYFUNCTION("GOOGLETRANSLATE(C709,""fr"",""en"")"),"MGP is the police mutual.
In no case any privatization or subcontracting to health companies should be implemented
Region contacts must be extended and kept see amplify
")</f>
        <v>MGP is the police mutual.
In no case any privatization or subcontracting to health companies should be implemented
Region contacts must be extended and kept see amplify
</v>
      </c>
    </row>
    <row r="710" ht="15.75" customHeight="1">
      <c r="A710" s="2">
        <v>2.0</v>
      </c>
      <c r="B710" s="2" t="s">
        <v>2013</v>
      </c>
      <c r="C710" s="2" t="s">
        <v>2014</v>
      </c>
      <c r="D710" s="2" t="s">
        <v>164</v>
      </c>
      <c r="E710" s="2" t="s">
        <v>14</v>
      </c>
      <c r="F710" s="2" t="s">
        <v>15</v>
      </c>
      <c r="G710" s="2" t="s">
        <v>202</v>
      </c>
      <c r="H710" s="2" t="s">
        <v>23</v>
      </c>
      <c r="I710" s="2" t="str">
        <f>IFERROR(__xludf.DUMMYFUNCTION("GOOGLETRANSLATE(C710,""fr"",""en"")"),"Very unhappy. Car accident since March 26 with a Diac credit. The Diac returns it to the Matmut and I learned on April 30 that the Diac needed a Matmut document. This document is obviously not received today at the Diac. In the meantime I continue to pay "&amp;"for my credit and my car insurance that I have no more and I am not even entitled to a loan vehicle. Whenever I have an advisor to different speeches are held. Last weekend the advisor I had told me it will be settled late last week. Apart from paid and t"&amp;"ake money here is the Matmut. I am a customer then over 30 years. When I called on legal assistance (problems on a chantepier and well my contract did not allow to benefit from it ....)")</f>
        <v>Very unhappy. Car accident since March 26 with a Diac credit. The Diac returns it to the Matmut and I learned on April 30 that the Diac needed a Matmut document. This document is obviously not received today at the Diac. In the meantime I continue to pay for my credit and my car insurance that I have no more and I am not even entitled to a loan vehicle. Whenever I have an advisor to different speeches are held. Last weekend the advisor I had told me it will be settled late last week. Apart from paid and take money here is the Matmut. I am a customer then over 30 years. When I called on legal assistance (problems on a chantepier and well my contract did not allow to benefit from it ....)</v>
      </c>
    </row>
    <row r="711" ht="15.75" customHeight="1">
      <c r="A711" s="2">
        <v>4.0</v>
      </c>
      <c r="B711" s="2" t="s">
        <v>2015</v>
      </c>
      <c r="C711" s="2" t="s">
        <v>2016</v>
      </c>
      <c r="D711" s="2" t="s">
        <v>13</v>
      </c>
      <c r="E711" s="2" t="s">
        <v>14</v>
      </c>
      <c r="F711" s="2" t="s">
        <v>15</v>
      </c>
      <c r="G711" s="2" t="s">
        <v>2017</v>
      </c>
      <c r="H711" s="2" t="s">
        <v>61</v>
      </c>
      <c r="I711" s="2" t="str">
        <f>IFERROR(__xludf.DUMMYFUNCTION("GOOGLETRANSLATE(C711,""fr"",""en"")"),"Too bad that Direct Insurance does not offer insurance per kilometer for small medium rollers, otherwise nothing to complain about the quality of service.")</f>
        <v>Too bad that Direct Insurance does not offer insurance per kilometer for small medium rollers, otherwise nothing to complain about the quality of service.</v>
      </c>
    </row>
    <row r="712" ht="15.75" customHeight="1">
      <c r="A712" s="2">
        <v>1.0</v>
      </c>
      <c r="B712" s="2" t="s">
        <v>2018</v>
      </c>
      <c r="C712" s="2" t="s">
        <v>2019</v>
      </c>
      <c r="D712" s="2" t="s">
        <v>277</v>
      </c>
      <c r="E712" s="2" t="s">
        <v>14</v>
      </c>
      <c r="F712" s="2" t="s">
        <v>15</v>
      </c>
      <c r="G712" s="2" t="s">
        <v>2020</v>
      </c>
      <c r="H712" s="2" t="s">
        <v>76</v>
      </c>
      <c r="I712" s="2" t="str">
        <f>IFERROR(__xludf.DUMMYFUNCTION("GOOGLETRANSLATE(C712,""fr"",""en"")"),"Pacifica is an assurance to be banned, does not respect the Hamon law in the event of termination by another insurer and it takes no less than 3 recommended for them to do the necessary and in the meantime you receive a recommended for their share of impl"&amp;"ementation remains to pay if not termination .. this is how good customers are treated who have never had an accident or payment incident. They have the assurance of being paid since you go through your bank for contributions but The legal insurance of an"&amp;"other insurer is recommended if you have difficulty being heard and above all enforce the law.
I am never told about this insurance, the departure of this one was initially motivated by a huge difference in price on a car.
A word of advice: make a quote"&amp;" elsewhere and you will see that their prices are exorbitant.")</f>
        <v>Pacifica is an assurance to be banned, does not respect the Hamon law in the event of termination by another insurer and it takes no less than 3 recommended for them to do the necessary and in the meantime you receive a recommended for their share of implementation remains to pay if not termination .. this is how good customers are treated who have never had an accident or payment incident. They have the assurance of being paid since you go through your bank for contributions but The legal insurance of another insurer is recommended if you have difficulty being heard and above all enforce the law.
I am never told about this insurance, the departure of this one was initially motivated by a huge difference in price on a car.
A word of advice: make a quote elsewhere and you will see that their prices are exorbitant.</v>
      </c>
    </row>
    <row r="713" ht="15.75" customHeight="1">
      <c r="A713" s="2">
        <v>3.0</v>
      </c>
      <c r="B713" s="2" t="s">
        <v>2021</v>
      </c>
      <c r="C713" s="2" t="s">
        <v>2022</v>
      </c>
      <c r="D713" s="2" t="s">
        <v>87</v>
      </c>
      <c r="E713" s="2" t="s">
        <v>14</v>
      </c>
      <c r="F713" s="2" t="s">
        <v>15</v>
      </c>
      <c r="G713" s="2" t="s">
        <v>1016</v>
      </c>
      <c r="H713" s="2" t="s">
        <v>57</v>
      </c>
      <c r="I713" s="2" t="str">
        <f>IFERROR(__xludf.DUMMYFUNCTION("GOOGLETRANSLATE(C713,""fr"",""en"")"),"Insured since October 2018 I have never received the final green card, yet the samples do it correctly, I do not understand and do not know what to do.")</f>
        <v>Insured since October 2018 I have never received the final green card, yet the samples do it correctly, I do not understand and do not know what to do.</v>
      </c>
    </row>
    <row r="714" ht="15.75" customHeight="1">
      <c r="A714" s="2">
        <v>5.0</v>
      </c>
      <c r="B714" s="2" t="s">
        <v>2023</v>
      </c>
      <c r="C714" s="2" t="s">
        <v>2024</v>
      </c>
      <c r="D714" s="2" t="s">
        <v>13</v>
      </c>
      <c r="E714" s="2" t="s">
        <v>14</v>
      </c>
      <c r="F714" s="2" t="s">
        <v>15</v>
      </c>
      <c r="G714" s="2" t="s">
        <v>2025</v>
      </c>
      <c r="H714" s="2" t="s">
        <v>42</v>
      </c>
      <c r="I714" s="2" t="str">
        <f>IFERROR(__xludf.DUMMYFUNCTION("GOOGLETRANSLATE(C714,""fr"",""en"")"),"I am satisfied with the service which is fast and without heavy formality. I will recommend this insurance to relatives, it remains to be seen the service offered")</f>
        <v>I am satisfied with the service which is fast and without heavy formality. I will recommend this insurance to relatives, it remains to be seen the service offered</v>
      </c>
    </row>
    <row r="715" ht="15.75" customHeight="1">
      <c r="A715" s="2">
        <v>3.0</v>
      </c>
      <c r="B715" s="2" t="s">
        <v>2026</v>
      </c>
      <c r="C715" s="2" t="s">
        <v>2027</v>
      </c>
      <c r="D715" s="2" t="s">
        <v>558</v>
      </c>
      <c r="E715" s="2" t="s">
        <v>31</v>
      </c>
      <c r="F715" s="2" t="s">
        <v>15</v>
      </c>
      <c r="G715" s="2" t="s">
        <v>2028</v>
      </c>
      <c r="H715" s="2" t="s">
        <v>607</v>
      </c>
      <c r="I715" s="2" t="str">
        <f>IFERROR(__xludf.DUMMYFUNCTION("GOOGLETRANSLATE(C715,""fr"",""en"")"),"Customer since January I am at home ...
Mutual taken personally that I am not imposed ...")</f>
        <v>Customer since January I am at home ...
Mutual taken personally that I am not imposed ...</v>
      </c>
    </row>
    <row r="716" ht="15.75" customHeight="1">
      <c r="A716" s="2">
        <v>1.0</v>
      </c>
      <c r="B716" s="2" t="s">
        <v>2029</v>
      </c>
      <c r="C716" s="2" t="s">
        <v>2030</v>
      </c>
      <c r="D716" s="2" t="s">
        <v>13</v>
      </c>
      <c r="E716" s="2" t="s">
        <v>14</v>
      </c>
      <c r="F716" s="2" t="s">
        <v>15</v>
      </c>
      <c r="G716" s="2" t="s">
        <v>2031</v>
      </c>
      <c r="H716" s="2" t="s">
        <v>493</v>
      </c>
      <c r="I716" s="2" t="str">
        <f>IFERROR(__xludf.DUMMYFUNCTION("GOOGLETRANSLATE(C716,""fr"",""en"")"),"They are breaded with Assur2000 .... to whom they refer us in the event of termination after 5 days ... and keep the file fees in passing! It is unacceptable!")</f>
        <v>They are breaded with Assur2000 .... to whom they refer us in the event of termination after 5 days ... and keep the file fees in passing! It is unacceptable!</v>
      </c>
    </row>
    <row r="717" ht="15.75" customHeight="1">
      <c r="A717" s="2">
        <v>3.0</v>
      </c>
      <c r="B717" s="2" t="s">
        <v>2032</v>
      </c>
      <c r="C717" s="2" t="s">
        <v>2033</v>
      </c>
      <c r="D717" s="2" t="s">
        <v>87</v>
      </c>
      <c r="E717" s="2" t="s">
        <v>14</v>
      </c>
      <c r="F717" s="2" t="s">
        <v>15</v>
      </c>
      <c r="G717" s="2" t="s">
        <v>1194</v>
      </c>
      <c r="H717" s="2" t="s">
        <v>282</v>
      </c>
      <c r="I717" s="2" t="str">
        <f>IFERROR(__xludf.DUMMYFUNCTION("GOOGLETRANSLATE(C717,""fr"",""en"")"),"The contract not yet started it is premature, if not impossible to decide. To see as the life of said contract progresses, especially if it were to be actually mobilized!")</f>
        <v>The contract not yet started it is premature, if not impossible to decide. To see as the life of said contract progresses, especially if it were to be actually mobilized!</v>
      </c>
    </row>
    <row r="718" ht="15.75" customHeight="1">
      <c r="A718" s="2">
        <v>1.0</v>
      </c>
      <c r="B718" s="2" t="s">
        <v>2034</v>
      </c>
      <c r="C718" s="2" t="s">
        <v>2035</v>
      </c>
      <c r="D718" s="2" t="s">
        <v>164</v>
      </c>
      <c r="E718" s="2" t="s">
        <v>14</v>
      </c>
      <c r="F718" s="2" t="s">
        <v>15</v>
      </c>
      <c r="G718" s="2" t="s">
        <v>2036</v>
      </c>
      <c r="H718" s="2" t="s">
        <v>861</v>
      </c>
      <c r="I718" s="2" t="str">
        <f>IFERROR(__xludf.DUMMYFUNCTION("GOOGLETRANSLATE(C718,""fr"",""en"")"),"Overall, unmanageable and expeditious advisers by phone, my problem has still not been solved for 3 months now ... Nothing happens, no followed.")</f>
        <v>Overall, unmanageable and expeditious advisers by phone, my problem has still not been solved for 3 months now ... Nothing happens, no followed.</v>
      </c>
    </row>
    <row r="719" ht="15.75" customHeight="1">
      <c r="A719" s="2">
        <v>5.0</v>
      </c>
      <c r="B719" s="2" t="s">
        <v>2037</v>
      </c>
      <c r="C719" s="2" t="s">
        <v>2038</v>
      </c>
      <c r="D719" s="2" t="s">
        <v>13</v>
      </c>
      <c r="E719" s="2" t="s">
        <v>14</v>
      </c>
      <c r="F719" s="2" t="s">
        <v>15</v>
      </c>
      <c r="G719" s="2" t="s">
        <v>113</v>
      </c>
      <c r="H719" s="2" t="s">
        <v>52</v>
      </c>
      <c r="I719" s="2" t="str">
        <f>IFERROR(__xludf.DUMMYFUNCTION("GOOGLETRANSLATE(C719,""fr"",""en"")"),"I follow satisfied with the price after I hope that the service will be also great and that I would be well insured and that everything is going for the best sea.")</f>
        <v>I follow satisfied with the price after I hope that the service will be also great and that I would be well insured and that everything is going for the best sea.</v>
      </c>
    </row>
    <row r="720" ht="15.75" customHeight="1">
      <c r="A720" s="2">
        <v>4.0</v>
      </c>
      <c r="B720" s="2" t="s">
        <v>2039</v>
      </c>
      <c r="C720" s="2" t="s">
        <v>2040</v>
      </c>
      <c r="D720" s="2" t="s">
        <v>87</v>
      </c>
      <c r="E720" s="2" t="s">
        <v>14</v>
      </c>
      <c r="F720" s="2" t="s">
        <v>15</v>
      </c>
      <c r="G720" s="2" t="s">
        <v>2041</v>
      </c>
      <c r="H720" s="2" t="s">
        <v>190</v>
      </c>
      <c r="I720" s="2" t="str">
        <f>IFERROR(__xludf.DUMMYFUNCTION("GOOGLETRANSLATE(C720,""fr"",""en"")"),"I was satisfied with the service and the price, fast and efficient to take out insurance at home, I would recommend the insurance olive tree to those around me.")</f>
        <v>I was satisfied with the service and the price, fast and efficient to take out insurance at home, I would recommend the insurance olive tree to those around me.</v>
      </c>
    </row>
    <row r="721" ht="15.75" customHeight="1">
      <c r="A721" s="2">
        <v>1.0</v>
      </c>
      <c r="B721" s="2" t="s">
        <v>2042</v>
      </c>
      <c r="C721" s="2" t="s">
        <v>2043</v>
      </c>
      <c r="D721" s="2" t="s">
        <v>948</v>
      </c>
      <c r="E721" s="2" t="s">
        <v>288</v>
      </c>
      <c r="F721" s="2" t="s">
        <v>15</v>
      </c>
      <c r="G721" s="2" t="s">
        <v>2044</v>
      </c>
      <c r="H721" s="2" t="s">
        <v>122</v>
      </c>
      <c r="I721" s="2" t="str">
        <f>IFERROR(__xludf.DUMMYFUNCTION("GOOGLETRANSLATE(C721,""fr"",""en"")"),"No communication. On the phone you never get an answer and by email always a different response depending on the customer service.
Complaint service that never responds to letters either ...
Teletransmission never set up and reimbursements that drag in "&amp;"short to flee quickly")</f>
        <v>No communication. On the phone you never get an answer and by email always a different response depending on the customer service.
Complaint service that never responds to letters either ...
Teletransmission never set up and reimbursements that drag in short to flee quickly</v>
      </c>
    </row>
    <row r="722" ht="15.75" customHeight="1">
      <c r="A722" s="2">
        <v>3.0</v>
      </c>
      <c r="B722" s="2" t="s">
        <v>2045</v>
      </c>
      <c r="C722" s="2" t="s">
        <v>2046</v>
      </c>
      <c r="D722" s="2" t="s">
        <v>13</v>
      </c>
      <c r="E722" s="2" t="s">
        <v>14</v>
      </c>
      <c r="F722" s="2" t="s">
        <v>15</v>
      </c>
      <c r="G722" s="2" t="s">
        <v>565</v>
      </c>
      <c r="H722" s="2" t="s">
        <v>190</v>
      </c>
      <c r="I722" s="2" t="str">
        <f>IFERROR(__xludf.DUMMYFUNCTION("GOOGLETRANSLATE(C722,""fr"",""en"")"),"Regarding my request today, no answer to know where the menu is to change the password? The site is not very friendly and must be improved.")</f>
        <v>Regarding my request today, no answer to know where the menu is to change the password? The site is not very friendly and must be improved.</v>
      </c>
    </row>
    <row r="723" ht="15.75" customHeight="1">
      <c r="A723" s="2">
        <v>4.0</v>
      </c>
      <c r="B723" s="2" t="s">
        <v>2047</v>
      </c>
      <c r="C723" s="2" t="s">
        <v>2048</v>
      </c>
      <c r="D723" s="2" t="s">
        <v>87</v>
      </c>
      <c r="E723" s="2" t="s">
        <v>14</v>
      </c>
      <c r="F723" s="2" t="s">
        <v>15</v>
      </c>
      <c r="G723" s="2" t="s">
        <v>1495</v>
      </c>
      <c r="H723" s="2" t="s">
        <v>209</v>
      </c>
      <c r="I723" s="2" t="str">
        <f>IFERROR(__xludf.DUMMYFUNCTION("GOOGLETRANSLATE(C723,""fr"",""en"")"),"Insurance that was kind enough to take me despite my young age and my non -experience with other insurance. A little high price because of the power of the car as well as my bonus of 1.")</f>
        <v>Insurance that was kind enough to take me despite my young age and my non -experience with other insurance. A little high price because of the power of the car as well as my bonus of 1.</v>
      </c>
    </row>
    <row r="724" ht="15.75" customHeight="1">
      <c r="A724" s="2">
        <v>4.0</v>
      </c>
      <c r="B724" s="2" t="s">
        <v>2049</v>
      </c>
      <c r="C724" s="2" t="s">
        <v>2050</v>
      </c>
      <c r="D724" s="2" t="s">
        <v>13</v>
      </c>
      <c r="E724" s="2" t="s">
        <v>14</v>
      </c>
      <c r="F724" s="2" t="s">
        <v>15</v>
      </c>
      <c r="G724" s="2" t="s">
        <v>1323</v>
      </c>
      <c r="H724" s="2" t="s">
        <v>27</v>
      </c>
      <c r="I724" s="2" t="str">
        <f>IFERROR(__xludf.DUMMYFUNCTION("GOOGLETRANSLATE(C724,""fr"",""en"")"),"During my disaster it was sometimes difficult to have someone on the phone.
Recently during a quote request, the price offered was not competitive.")</f>
        <v>During my disaster it was sometimes difficult to have someone on the phone.
Recently during a quote request, the price offered was not competitive.</v>
      </c>
    </row>
    <row r="725" ht="15.75" customHeight="1">
      <c r="A725" s="2">
        <v>1.0</v>
      </c>
      <c r="B725" s="2" t="s">
        <v>2051</v>
      </c>
      <c r="C725" s="2" t="s">
        <v>2052</v>
      </c>
      <c r="D725" s="2" t="s">
        <v>13</v>
      </c>
      <c r="E725" s="2" t="s">
        <v>14</v>
      </c>
      <c r="F725" s="2" t="s">
        <v>15</v>
      </c>
      <c r="G725" s="2" t="s">
        <v>2053</v>
      </c>
      <c r="H725" s="2" t="s">
        <v>38</v>
      </c>
      <c r="I725" s="2" t="str">
        <f>IFERROR(__xludf.DUMMYFUNCTION("GOOGLETRANSLATE(C725,""fr"",""en"")"),"Insurance with attractive departure prices and after prices soar every year I take violent increases even with my bonus which increases I strongly advise against this insurance I am about to leave for cheaper I expect their new After several apel I still "&amp;"have no managers on the phone he's mockery of their loyal customer even with no sinister a shame")</f>
        <v>Insurance with attractive departure prices and after prices soar every year I take violent increases even with my bonus which increases I strongly advise against this insurance I am about to leave for cheaper I expect their new After several apel I still have no managers on the phone he's mockery of their loyal customer even with no sinister a shame</v>
      </c>
    </row>
    <row r="726" ht="15.75" customHeight="1">
      <c r="A726" s="2">
        <v>2.0</v>
      </c>
      <c r="B726" s="2" t="s">
        <v>2054</v>
      </c>
      <c r="C726" s="2" t="s">
        <v>2055</v>
      </c>
      <c r="D726" s="2" t="s">
        <v>74</v>
      </c>
      <c r="E726" s="2" t="s">
        <v>14</v>
      </c>
      <c r="F726" s="2" t="s">
        <v>15</v>
      </c>
      <c r="G726" s="2" t="s">
        <v>42</v>
      </c>
      <c r="H726" s="2" t="s">
        <v>42</v>
      </c>
      <c r="I726" s="2" t="str">
        <f>IFERROR(__xludf.DUMMYFUNCTION("GOOGLETRANSLATE(C726,""fr"",""en"")"),"I met very big concerns for managing a file following domestic incident so customer satisfaction is at least! I have never received the call from a salesperson! Quality level close to the Zero currently")</f>
        <v>I met very big concerns for managing a file following domestic incident so customer satisfaction is at least! I have never received the call from a salesperson! Quality level close to the Zero currently</v>
      </c>
    </row>
    <row r="727" ht="15.75" customHeight="1">
      <c r="A727" s="2">
        <v>5.0</v>
      </c>
      <c r="B727" s="2" t="s">
        <v>2056</v>
      </c>
      <c r="C727" s="2" t="s">
        <v>2057</v>
      </c>
      <c r="D727" s="2" t="s">
        <v>13</v>
      </c>
      <c r="E727" s="2" t="s">
        <v>14</v>
      </c>
      <c r="F727" s="2" t="s">
        <v>15</v>
      </c>
      <c r="G727" s="2" t="s">
        <v>125</v>
      </c>
      <c r="H727" s="2" t="s">
        <v>61</v>
      </c>
      <c r="I727" s="2" t="str">
        <f>IFERROR(__xludf.DUMMYFUNCTION("GOOGLETRANSLATE(C727,""fr"",""en"")"),"Charming and competent telephone reception for very attractive prices.")</f>
        <v>Charming and competent telephone reception for very attractive prices.</v>
      </c>
    </row>
    <row r="728" ht="15.75" customHeight="1">
      <c r="A728" s="2">
        <v>1.0</v>
      </c>
      <c r="B728" s="2" t="s">
        <v>2058</v>
      </c>
      <c r="C728" s="2" t="s">
        <v>2059</v>
      </c>
      <c r="D728" s="2" t="s">
        <v>36</v>
      </c>
      <c r="E728" s="2" t="s">
        <v>14</v>
      </c>
      <c r="F728" s="2" t="s">
        <v>15</v>
      </c>
      <c r="G728" s="2" t="s">
        <v>179</v>
      </c>
      <c r="H728" s="2" t="s">
        <v>179</v>
      </c>
      <c r="I728" s="2" t="str">
        <f>IFERROR(__xludf.DUMMYFUNCTION("GOOGLETRANSLATE(C728,""fr"",""en"")"),"Insured for years everything is fine until you have no worries but even for a damage to water you are very badly informed. An expert passes and minimizes work to save money and you only have your eyes to cry because Everything is calculated so as not to d"&amp;"o a counter expertise that is more expensive.
When you are poor you are poorly defended, this is the MAIF of militant insurers for their money.")</f>
        <v>Insured for years everything is fine until you have no worries but even for a damage to water you are very badly informed. An expert passes and minimizes work to save money and you only have your eyes to cry because Everything is calculated so as not to do a counter expertise that is more expensive.
When you are poor you are poorly defended, this is the MAIF of militant insurers for their money.</v>
      </c>
    </row>
    <row r="729" ht="15.75" customHeight="1">
      <c r="A729" s="2">
        <v>1.0</v>
      </c>
      <c r="B729" s="2" t="s">
        <v>2060</v>
      </c>
      <c r="C729" s="2" t="s">
        <v>2061</v>
      </c>
      <c r="D729" s="2" t="s">
        <v>13</v>
      </c>
      <c r="E729" s="2" t="s">
        <v>55</v>
      </c>
      <c r="F729" s="2" t="s">
        <v>15</v>
      </c>
      <c r="G729" s="2" t="s">
        <v>2062</v>
      </c>
      <c r="H729" s="2" t="s">
        <v>38</v>
      </c>
      <c r="I729" s="2" t="str">
        <f>IFERROR(__xludf.DUMMYFUNCTION("GOOGLETRANSLATE(C729,""fr"",""en"")"),"I paid a subscription on time and they terminated my insurance by pretending to be a law while hosting my check.
Suddenly I find myself having paid a 2nd insurance.")</f>
        <v>I paid a subscription on time and they terminated my insurance by pretending to be a law while hosting my check.
Suddenly I find myself having paid a 2nd insurance.</v>
      </c>
    </row>
    <row r="730" ht="15.75" customHeight="1">
      <c r="A730" s="2">
        <v>1.0</v>
      </c>
      <c r="B730" s="2" t="s">
        <v>2063</v>
      </c>
      <c r="C730" s="2" t="s">
        <v>2064</v>
      </c>
      <c r="D730" s="2" t="s">
        <v>13</v>
      </c>
      <c r="E730" s="2" t="s">
        <v>14</v>
      </c>
      <c r="F730" s="2" t="s">
        <v>15</v>
      </c>
      <c r="G730" s="2" t="s">
        <v>417</v>
      </c>
      <c r="H730" s="2" t="s">
        <v>27</v>
      </c>
      <c r="I730" s="2" t="str">
        <f>IFERROR(__xludf.DUMMYFUNCTION("GOOGLETRANSLATE(C730,""fr"",""en"")"),"It becomes too expensive, far too expensive !! From year to year, it reaches heights, and it's a shame!
I really think more and more to go and see elsewhere.
")</f>
        <v>It becomes too expensive, far too expensive !! From year to year, it reaches heights, and it's a shame!
I really think more and more to go and see elsewhere.
</v>
      </c>
    </row>
    <row r="731" ht="15.75" customHeight="1">
      <c r="A731" s="2">
        <v>4.0</v>
      </c>
      <c r="B731" s="2" t="s">
        <v>2065</v>
      </c>
      <c r="C731" s="2" t="s">
        <v>2066</v>
      </c>
      <c r="D731" s="2" t="s">
        <v>13</v>
      </c>
      <c r="E731" s="2" t="s">
        <v>14</v>
      </c>
      <c r="F731" s="2" t="s">
        <v>15</v>
      </c>
      <c r="G731" s="2" t="s">
        <v>664</v>
      </c>
      <c r="H731" s="2" t="s">
        <v>433</v>
      </c>
      <c r="I731" s="2" t="str">
        <f>IFERROR(__xludf.DUMMYFUNCTION("GOOGLETRANSLATE(C731,""fr"",""en"")"),"The prices are correct,
I am also satisfied with the customer service who helped me a lot in my insurance and who also saved me compared to the Internet")</f>
        <v>The prices are correct,
I am also satisfied with the customer service who helped me a lot in my insurance and who also saved me compared to the Internet</v>
      </c>
    </row>
    <row r="732" ht="15.75" customHeight="1">
      <c r="A732" s="2">
        <v>3.0</v>
      </c>
      <c r="B732" s="2" t="s">
        <v>2067</v>
      </c>
      <c r="C732" s="2" t="s">
        <v>2068</v>
      </c>
      <c r="D732" s="2" t="s">
        <v>50</v>
      </c>
      <c r="E732" s="2" t="s">
        <v>21</v>
      </c>
      <c r="F732" s="2" t="s">
        <v>15</v>
      </c>
      <c r="G732" s="2" t="s">
        <v>2069</v>
      </c>
      <c r="H732" s="2" t="s">
        <v>110</v>
      </c>
      <c r="I732" s="2" t="str">
        <f>IFERROR(__xludf.DUMMYFUNCTION("GOOGLETRANSLATE(C732,""fr"",""en"")"),"The prices suit me, it's very reasonable
I hope that in the event of an accident, I would have an answer as quickly as my quote
But above all I hope not to make an accident.")</f>
        <v>The prices suit me, it's very reasonable
I hope that in the event of an accident, I would have an answer as quickly as my quote
But above all I hope not to make an accident.</v>
      </c>
    </row>
    <row r="733" ht="15.75" customHeight="1">
      <c r="A733" s="2">
        <v>4.0</v>
      </c>
      <c r="B733" s="2" t="s">
        <v>2070</v>
      </c>
      <c r="C733" s="2" t="s">
        <v>2071</v>
      </c>
      <c r="D733" s="2" t="s">
        <v>13</v>
      </c>
      <c r="E733" s="2" t="s">
        <v>14</v>
      </c>
      <c r="F733" s="2" t="s">
        <v>15</v>
      </c>
      <c r="G733" s="2" t="s">
        <v>893</v>
      </c>
      <c r="H733" s="2" t="s">
        <v>209</v>
      </c>
      <c r="I733" s="2" t="str">
        <f>IFERROR(__xludf.DUMMYFUNCTION("GOOGLETRANSLATE(C733,""fr"",""en"")"),"Good telephone relationship: respond quickly and clearly ,; Patients.
Affordable prices, after I never had problems so I can't say anything about the ""claims treatment"" service")</f>
        <v>Good telephone relationship: respond quickly and clearly ,; Patients.
Affordable prices, after I never had problems so I can't say anything about the "claims treatment" service</v>
      </c>
    </row>
    <row r="734" ht="15.75" customHeight="1">
      <c r="A734" s="2">
        <v>2.0</v>
      </c>
      <c r="B734" s="2" t="s">
        <v>2072</v>
      </c>
      <c r="C734" s="2" t="s">
        <v>2073</v>
      </c>
      <c r="D734" s="2" t="s">
        <v>45</v>
      </c>
      <c r="E734" s="2" t="s">
        <v>14</v>
      </c>
      <c r="F734" s="2" t="s">
        <v>15</v>
      </c>
      <c r="G734" s="2" t="s">
        <v>2074</v>
      </c>
      <c r="H734" s="2" t="s">
        <v>400</v>
      </c>
      <c r="I734" s="2" t="str">
        <f>IFERROR(__xludf.DUMMYFUNCTION("GOOGLETRANSLATE(C734,""fr"",""en"")"),"Very very good insurance ... well if you don't need them.
I was stolen my vehicle with the keys inside by a drunk summer man. There car was found a few hundred meters further damaged with the thief inside. So filing of a complaint and everything that fol"&amp;"lows. Result € 6000 repair on the car (side at more than 10,000 €) at my expense because the keys were inside. 10 years of insurance at the Macif and it was the first claim I declared. No right to Macif's error! Thank you I would remember ...")</f>
        <v>Very very good insurance ... well if you don't need them.
I was stolen my vehicle with the keys inside by a drunk summer man. There car was found a few hundred meters further damaged with the thief inside. So filing of a complaint and everything that follows. Result € 6000 repair on the car (side at more than 10,000 €) at my expense because the keys were inside. 10 years of insurance at the Macif and it was the first claim I declared. No right to Macif's error! Thank you I would remember ...</v>
      </c>
    </row>
    <row r="735" ht="15.75" customHeight="1">
      <c r="A735" s="2">
        <v>4.0</v>
      </c>
      <c r="B735" s="2" t="s">
        <v>2075</v>
      </c>
      <c r="C735" s="2" t="s">
        <v>2076</v>
      </c>
      <c r="D735" s="2" t="s">
        <v>87</v>
      </c>
      <c r="E735" s="2" t="s">
        <v>14</v>
      </c>
      <c r="F735" s="2" t="s">
        <v>15</v>
      </c>
      <c r="G735" s="2" t="s">
        <v>1967</v>
      </c>
      <c r="H735" s="2" t="s">
        <v>110</v>
      </c>
      <c r="I735" s="2" t="str">
        <f>IFERROR(__xludf.DUMMYFUNCTION("GOOGLETRANSLATE(C735,""fr"",""en"")"),"The prices suit me knowing that I lost all my bonus because I had not been insured as a main driver for more than 5 years. So having had no accidents or other I start from scratch ...")</f>
        <v>The prices suit me knowing that I lost all my bonus because I had not been insured as a main driver for more than 5 years. So having had no accidents or other I start from scratch ...</v>
      </c>
    </row>
    <row r="736" ht="15.75" customHeight="1">
      <c r="A736" s="2">
        <v>4.0</v>
      </c>
      <c r="B736" s="2" t="s">
        <v>2077</v>
      </c>
      <c r="C736" s="2" t="s">
        <v>2078</v>
      </c>
      <c r="D736" s="2" t="s">
        <v>832</v>
      </c>
      <c r="E736" s="2" t="s">
        <v>232</v>
      </c>
      <c r="F736" s="2" t="s">
        <v>15</v>
      </c>
      <c r="G736" s="2" t="s">
        <v>1309</v>
      </c>
      <c r="H736" s="2" t="s">
        <v>52</v>
      </c>
      <c r="I736" s="2" t="str">
        <f>IFERROR(__xludf.DUMMYFUNCTION("GOOGLETRANSLATE(C736,""fr"",""en"")"),"I am very satisfied with the services and professionalism of the broker just perfect very attentive, with a lot of courtesy with a lot of explanations")</f>
        <v>I am very satisfied with the services and professionalism of the broker just perfect very attentive, with a lot of courtesy with a lot of explanations</v>
      </c>
    </row>
    <row r="737" ht="15.75" customHeight="1">
      <c r="A737" s="2">
        <v>3.0</v>
      </c>
      <c r="B737" s="2" t="s">
        <v>2079</v>
      </c>
      <c r="C737" s="2" t="s">
        <v>2080</v>
      </c>
      <c r="D737" s="2" t="s">
        <v>13</v>
      </c>
      <c r="E737" s="2" t="s">
        <v>14</v>
      </c>
      <c r="F737" s="2" t="s">
        <v>15</v>
      </c>
      <c r="G737" s="2" t="s">
        <v>464</v>
      </c>
      <c r="H737" s="2" t="s">
        <v>52</v>
      </c>
      <c r="I737" s="2" t="str">
        <f>IFERROR(__xludf.DUMMYFUNCTION("GOOGLETRANSLATE(C737,""fr"",""en"")"),"The prices are correct (there is better elsewhere) May the subscription is fast so practical. Note: no sponsorship offer damage
To see on management, in the event of a claim ...")</f>
        <v>The prices are correct (there is better elsewhere) May the subscription is fast so practical. Note: no sponsorship offer damage
To see on management, in the event of a claim ...</v>
      </c>
    </row>
    <row r="738" ht="15.75" customHeight="1">
      <c r="A738" s="2">
        <v>5.0</v>
      </c>
      <c r="B738" s="2" t="s">
        <v>2081</v>
      </c>
      <c r="C738" s="2" t="s">
        <v>2082</v>
      </c>
      <c r="D738" s="2" t="s">
        <v>13</v>
      </c>
      <c r="E738" s="2" t="s">
        <v>14</v>
      </c>
      <c r="F738" s="2" t="s">
        <v>15</v>
      </c>
      <c r="G738" s="2" t="s">
        <v>510</v>
      </c>
      <c r="H738" s="2" t="s">
        <v>190</v>
      </c>
      <c r="I738" s="2" t="str">
        <f>IFERROR(__xludf.DUMMYFUNCTION("GOOGLETRANSLATE(C738,""fr"",""en"")"),"The prices remain competition, very very attractive, the reactivitis is present, the time slot is wide. The services are unbeatable. I remain faithful to the brand")</f>
        <v>The prices remain competition, very very attractive, the reactivitis is present, the time slot is wide. The services are unbeatable. I remain faithful to the brand</v>
      </c>
    </row>
    <row r="739" ht="15.75" customHeight="1">
      <c r="A739" s="2">
        <v>1.0</v>
      </c>
      <c r="B739" s="2" t="s">
        <v>2083</v>
      </c>
      <c r="C739" s="2" t="s">
        <v>2084</v>
      </c>
      <c r="D739" s="2" t="s">
        <v>330</v>
      </c>
      <c r="E739" s="2" t="s">
        <v>31</v>
      </c>
      <c r="F739" s="2" t="s">
        <v>15</v>
      </c>
      <c r="G739" s="2" t="s">
        <v>327</v>
      </c>
      <c r="H739" s="2" t="s">
        <v>186</v>
      </c>
      <c r="I739" s="2" t="str">
        <f>IFERROR(__xludf.DUMMYFUNCTION("GOOGLETRANSLATE(C739,""fr"",""en"")"),"I have been a member for 50 years and I am more and more disappointed
Sending standard letters when a part is missing that do not correspond to what it really is missing
Once I received a letter please send us the invoice and in the letter we send me th"&amp;"is invoice
If nothing changes to flee")</f>
        <v>I have been a member for 50 years and I am more and more disappointed
Sending standard letters when a part is missing that do not correspond to what it really is missing
Once I received a letter please send us the invoice and in the letter we send me this invoice
If nothing changes to flee</v>
      </c>
    </row>
    <row r="740" ht="15.75" customHeight="1">
      <c r="A740" s="2">
        <v>5.0</v>
      </c>
      <c r="B740" s="2" t="s">
        <v>2085</v>
      </c>
      <c r="C740" s="2" t="s">
        <v>2086</v>
      </c>
      <c r="D740" s="2" t="s">
        <v>87</v>
      </c>
      <c r="E740" s="2" t="s">
        <v>14</v>
      </c>
      <c r="F740" s="2" t="s">
        <v>15</v>
      </c>
      <c r="G740" s="2" t="s">
        <v>842</v>
      </c>
      <c r="H740" s="2" t="s">
        <v>190</v>
      </c>
      <c r="I740" s="2" t="str">
        <f>IFERROR(__xludf.DUMMYFUNCTION("GOOGLETRANSLATE(C740,""fr"",""en"")"),"Very simple. I was surprised to find such a simple and easy insurance. I am delighted to count among these customers. I hope I will be supported when the Olivier is part!")</f>
        <v>Very simple. I was surprised to find such a simple and easy insurance. I am delighted to count among these customers. I hope I will be supported when the Olivier is part!</v>
      </c>
    </row>
    <row r="741" ht="15.75" customHeight="1">
      <c r="A741" s="2">
        <v>3.0</v>
      </c>
      <c r="B741" s="2" t="s">
        <v>2087</v>
      </c>
      <c r="C741" s="2" t="s">
        <v>2088</v>
      </c>
      <c r="D741" s="2" t="s">
        <v>13</v>
      </c>
      <c r="E741" s="2" t="s">
        <v>14</v>
      </c>
      <c r="F741" s="2" t="s">
        <v>15</v>
      </c>
      <c r="G741" s="2" t="s">
        <v>335</v>
      </c>
      <c r="H741" s="2" t="s">
        <v>61</v>
      </c>
      <c r="I741" s="2" t="str">
        <f>IFERROR(__xludf.DUMMYFUNCTION("GOOGLETRANSLATE(C741,""fr"",""en"")"),"Bof not satisfied with the prices in the end of the contract procedure. Leave for this for another insurance. Or the starting rate is the meme when you arrive!")</f>
        <v>Bof not satisfied with the prices in the end of the contract procedure. Leave for this for another insurance. Or the starting rate is the meme when you arrive!</v>
      </c>
    </row>
    <row r="742" ht="15.75" customHeight="1">
      <c r="A742" s="2">
        <v>4.0</v>
      </c>
      <c r="B742" s="2" t="s">
        <v>2089</v>
      </c>
      <c r="C742" s="2" t="s">
        <v>2090</v>
      </c>
      <c r="D742" s="2" t="s">
        <v>50</v>
      </c>
      <c r="E742" s="2" t="s">
        <v>21</v>
      </c>
      <c r="F742" s="2" t="s">
        <v>15</v>
      </c>
      <c r="G742" s="2" t="s">
        <v>559</v>
      </c>
      <c r="H742" s="2" t="s">
        <v>282</v>
      </c>
      <c r="I742" s="2" t="str">
        <f>IFERROR(__xludf.DUMMYFUNCTION("GOOGLETRANSLATE(C742,""fr"",""en"")"),"I am satisfied with the price and the services offered to date. I hope to have satisfaction over time. Fast and efficient service. Attractive prices")</f>
        <v>I am satisfied with the price and the services offered to date. I hope to have satisfaction over time. Fast and efficient service. Attractive prices</v>
      </c>
    </row>
    <row r="743" ht="15.75" customHeight="1">
      <c r="A743" s="2">
        <v>2.0</v>
      </c>
      <c r="B743" s="2" t="s">
        <v>2091</v>
      </c>
      <c r="C743" s="2" t="s">
        <v>2092</v>
      </c>
      <c r="D743" s="2" t="s">
        <v>13</v>
      </c>
      <c r="E743" s="2" t="s">
        <v>14</v>
      </c>
      <c r="F743" s="2" t="s">
        <v>15</v>
      </c>
      <c r="G743" s="2" t="s">
        <v>2093</v>
      </c>
      <c r="H743" s="2" t="s">
        <v>110</v>
      </c>
      <c r="I743" s="2" t="str">
        <f>IFERROR(__xludf.DUMMYFUNCTION("GOOGLETRANSLATE(C743,""fr"",""en"")"),"Hello,
Impossible to send you the document corresponding to your request.
Several attempts, on my customer account, by email?
How to transmit?")</f>
        <v>Hello,
Impossible to send you the document corresponding to your request.
Several attempts, on my customer account, by email?
How to transmit?</v>
      </c>
    </row>
    <row r="744" ht="15.75" customHeight="1">
      <c r="A744" s="2">
        <v>2.0</v>
      </c>
      <c r="B744" s="2" t="s">
        <v>2094</v>
      </c>
      <c r="C744" s="2" t="s">
        <v>2095</v>
      </c>
      <c r="D744" s="2" t="s">
        <v>36</v>
      </c>
      <c r="E744" s="2" t="s">
        <v>55</v>
      </c>
      <c r="F744" s="2" t="s">
        <v>15</v>
      </c>
      <c r="G744" s="2" t="s">
        <v>2096</v>
      </c>
      <c r="H744" s="2" t="s">
        <v>473</v>
      </c>
      <c r="I744" s="2" t="str">
        <f>IFERROR(__xludf.DUMMYFUNCTION("GOOGLETRANSLATE(C744,""fr"",""en"")"),"Additional costs not justified (deadlines when I pay at once !!!!) + mismanagement of customer service")</f>
        <v>Additional costs not justified (deadlines when I pay at once !!!!) + mismanagement of customer service</v>
      </c>
    </row>
    <row r="745" ht="15.75" customHeight="1">
      <c r="A745" s="2">
        <v>5.0</v>
      </c>
      <c r="B745" s="2" t="s">
        <v>2097</v>
      </c>
      <c r="C745" s="2" t="s">
        <v>2098</v>
      </c>
      <c r="D745" s="2" t="s">
        <v>74</v>
      </c>
      <c r="E745" s="2" t="s">
        <v>14</v>
      </c>
      <c r="F745" s="2" t="s">
        <v>15</v>
      </c>
      <c r="G745" s="2" t="s">
        <v>867</v>
      </c>
      <c r="H745" s="2" t="s">
        <v>42</v>
      </c>
      <c r="I745" s="2" t="str">
        <f>IFERROR(__xludf.DUMMYFUNCTION("GOOGLETRANSLATE(C745,""fr"",""en"")"),"I am satisfied with the service
online formalities that made me facilitated the process, coupled with a telephone interview with a advisor
I recommend GMF to those around me")</f>
        <v>I am satisfied with the service
online formalities that made me facilitated the process, coupled with a telephone interview with a advisor
I recommend GMF to those around me</v>
      </c>
    </row>
    <row r="746" ht="15.75" customHeight="1">
      <c r="A746" s="2">
        <v>1.0</v>
      </c>
      <c r="B746" s="2" t="s">
        <v>2099</v>
      </c>
      <c r="C746" s="2" t="s">
        <v>2100</v>
      </c>
      <c r="D746" s="2" t="s">
        <v>277</v>
      </c>
      <c r="E746" s="2" t="s">
        <v>55</v>
      </c>
      <c r="F746" s="2" t="s">
        <v>15</v>
      </c>
      <c r="G746" s="2" t="s">
        <v>573</v>
      </c>
      <c r="H746" s="2" t="s">
        <v>209</v>
      </c>
      <c r="I746" s="2" t="str">
        <f>IFERROR(__xludf.DUMMYFUNCTION("GOOGLETRANSLATE(C746,""fr"",""en"")"),"Insurer of my neighbor from above, water damage that has been going on for 11 days and still no leakage search I will spend another weekend with the fleeing ceiling ... Panding that time (in Vera Cruz), my insurer did After the expert and the craftsman, v"&amp;"alidated their file, and they cannot go further because the flight is still in progress ...
I did not know Pacifica and am not ready to be a client or recommend them to anyone.")</f>
        <v>Insurer of my neighbor from above, water damage that has been going on for 11 days and still no leakage search I will spend another weekend with the fleeing ceiling ... Panding that time (in Vera Cruz), my insurer did After the expert and the craftsman, validated their file, and they cannot go further because the flight is still in progress ...
I did not know Pacifica and am not ready to be a client or recommend them to anyone.</v>
      </c>
    </row>
    <row r="747" ht="15.75" customHeight="1">
      <c r="A747" s="2">
        <v>5.0</v>
      </c>
      <c r="B747" s="2" t="s">
        <v>2101</v>
      </c>
      <c r="C747" s="2" t="s">
        <v>2102</v>
      </c>
      <c r="D747" s="2" t="s">
        <v>2103</v>
      </c>
      <c r="E747" s="2" t="s">
        <v>2104</v>
      </c>
      <c r="F747" s="2" t="s">
        <v>15</v>
      </c>
      <c r="G747" s="2" t="s">
        <v>2105</v>
      </c>
      <c r="H747" s="2" t="s">
        <v>699</v>
      </c>
      <c r="I747" s="2" t="str">
        <f>IFERROR(__xludf.DUMMYFUNCTION("GOOGLETRANSLATE(C747,""fr"",""en"")"),"Serious and efficient insurer. Leader insurer in construction insurance. I recommend.")</f>
        <v>Serious and efficient insurer. Leader insurer in construction insurance. I recommend.</v>
      </c>
    </row>
    <row r="748" ht="15.75" customHeight="1">
      <c r="A748" s="2">
        <v>2.0</v>
      </c>
      <c r="B748" s="2" t="s">
        <v>2106</v>
      </c>
      <c r="C748" s="2" t="s">
        <v>2107</v>
      </c>
      <c r="D748" s="2" t="s">
        <v>30</v>
      </c>
      <c r="E748" s="2" t="s">
        <v>31</v>
      </c>
      <c r="F748" s="2" t="s">
        <v>15</v>
      </c>
      <c r="G748" s="2" t="s">
        <v>2108</v>
      </c>
      <c r="H748" s="2" t="s">
        <v>33</v>
      </c>
      <c r="I748" s="2" t="str">
        <f>IFERROR(__xludf.DUMMYFUNCTION("GOOGLETRANSLATE(C748,""fr"",""en"")"),"Insurance a little expensive even a lot but on the other hand great ease of advice I recommend this mutual by listening, their advice and the quality of the information")</f>
        <v>Insurance a little expensive even a lot but on the other hand great ease of advice I recommend this mutual by listening, their advice and the quality of the information</v>
      </c>
    </row>
    <row r="749" ht="15.75" customHeight="1">
      <c r="A749" s="2">
        <v>2.0</v>
      </c>
      <c r="B749" s="2" t="s">
        <v>2109</v>
      </c>
      <c r="C749" s="2" t="s">
        <v>2110</v>
      </c>
      <c r="D749" s="2" t="s">
        <v>319</v>
      </c>
      <c r="E749" s="2" t="s">
        <v>14</v>
      </c>
      <c r="F749" s="2" t="s">
        <v>15</v>
      </c>
      <c r="G749" s="2" t="s">
        <v>2111</v>
      </c>
      <c r="H749" s="2" t="s">
        <v>263</v>
      </c>
      <c r="I749" s="2" t="str">
        <f>IFERROR(__xludf.DUMMYFUNCTION("GOOGLETRANSLATE(C749,""fr"",""en"")"),"Are not serious they terminated the contract without my informed. I rolled without insurance for year until the day I was controlled by the police ......
")</f>
        <v>Are not serious they terminated the contract without my informed. I rolled without insurance for year until the day I was controlled by the police ......
</v>
      </c>
    </row>
    <row r="750" ht="15.75" customHeight="1">
      <c r="A750" s="2">
        <v>5.0</v>
      </c>
      <c r="B750" s="2" t="s">
        <v>2112</v>
      </c>
      <c r="C750" s="2" t="s">
        <v>2113</v>
      </c>
      <c r="D750" s="2" t="s">
        <v>87</v>
      </c>
      <c r="E750" s="2" t="s">
        <v>14</v>
      </c>
      <c r="F750" s="2" t="s">
        <v>15</v>
      </c>
      <c r="G750" s="2" t="s">
        <v>1495</v>
      </c>
      <c r="H750" s="2" t="s">
        <v>209</v>
      </c>
      <c r="I750" s="2" t="str">
        <f>IFERROR(__xludf.DUMMYFUNCTION("GOOGLETRANSLATE(C750,""fr"",""en"")"),"I am very satisfied with the price I obtained by saving 450 euros per year and having better protection. I strongly recommend this insurance to everyone who is looking for inexpensive insurance and who protects well")</f>
        <v>I am very satisfied with the price I obtained by saving 450 euros per year and having better protection. I strongly recommend this insurance to everyone who is looking for inexpensive insurance and who protects well</v>
      </c>
    </row>
    <row r="751" ht="15.75" customHeight="1">
      <c r="A751" s="2">
        <v>1.0</v>
      </c>
      <c r="B751" s="2" t="s">
        <v>2114</v>
      </c>
      <c r="C751" s="2" t="s">
        <v>2115</v>
      </c>
      <c r="D751" s="2" t="s">
        <v>13</v>
      </c>
      <c r="E751" s="2" t="s">
        <v>14</v>
      </c>
      <c r="F751" s="2" t="s">
        <v>15</v>
      </c>
      <c r="G751" s="2" t="s">
        <v>2116</v>
      </c>
      <c r="H751" s="2" t="s">
        <v>761</v>
      </c>
      <c r="I751" s="2" t="str">
        <f>IFERROR(__xludf.DUMMYFUNCTION("GOOGLETRANSLATE(C751,""fr"",""en"")"),"Lamentable !!!")</f>
        <v>Lamentable !!!</v>
      </c>
    </row>
    <row r="752" ht="15.75" customHeight="1">
      <c r="A752" s="2">
        <v>2.0</v>
      </c>
      <c r="B752" s="2" t="s">
        <v>2117</v>
      </c>
      <c r="C752" s="2" t="s">
        <v>2118</v>
      </c>
      <c r="D752" s="2" t="s">
        <v>13</v>
      </c>
      <c r="E752" s="2" t="s">
        <v>14</v>
      </c>
      <c r="F752" s="2" t="s">
        <v>15</v>
      </c>
      <c r="G752" s="2" t="s">
        <v>1661</v>
      </c>
      <c r="H752" s="2" t="s">
        <v>61</v>
      </c>
      <c r="I752" s="2" t="str">
        <f>IFERROR(__xludf.DUMMYFUNCTION("GOOGLETRANSLATE(C752,""fr"",""en"")"),"You claim me with several emails my statement of information while it has been awaiting validation by your services for ten days. I tried to call you to report the fact: all our advisers are busy, be sure to recall later the standardist. After having pati"&amp;"ent and press the 1 2 1 3 etc. while before subscribing there the advisers to recall;")</f>
        <v>You claim me with several emails my statement of information while it has been awaiting validation by your services for ten days. I tried to call you to report the fact: all our advisers are busy, be sure to recall later the standardist. After having patient and press the 1 2 1 3 etc. while before subscribing there the advisers to recall;</v>
      </c>
    </row>
    <row r="753" ht="15.75" customHeight="1">
      <c r="A753" s="2">
        <v>2.0</v>
      </c>
      <c r="B753" s="2" t="s">
        <v>2119</v>
      </c>
      <c r="C753" s="2" t="s">
        <v>2120</v>
      </c>
      <c r="D753" s="2" t="s">
        <v>13</v>
      </c>
      <c r="E753" s="2" t="s">
        <v>14</v>
      </c>
      <c r="F753" s="2" t="s">
        <v>15</v>
      </c>
      <c r="G753" s="2" t="s">
        <v>335</v>
      </c>
      <c r="H753" s="2" t="s">
        <v>61</v>
      </c>
      <c r="I753" s="2" t="str">
        <f>IFERROR(__xludf.DUMMYFUNCTION("GOOGLETRANSLATE(C753,""fr"",""en"")"),"Because I chose to have my Volvo repaired by a Volvo garage, I had to pay the repair myself, 7,500 euros, then claim a refund. I was involved in a faultless accident in December and I am still waiting for the reimbursement of my franchise, we are now in A"&amp;"pril")</f>
        <v>Because I chose to have my Volvo repaired by a Volvo garage, I had to pay the repair myself, 7,500 euros, then claim a refund. I was involved in a faultless accident in December and I am still waiting for the reimbursement of my franchise, we are now in April</v>
      </c>
    </row>
    <row r="754" ht="15.75" customHeight="1">
      <c r="A754" s="2">
        <v>4.0</v>
      </c>
      <c r="B754" s="2" t="s">
        <v>2121</v>
      </c>
      <c r="C754" s="2" t="s">
        <v>2122</v>
      </c>
      <c r="D754" s="2" t="s">
        <v>13</v>
      </c>
      <c r="E754" s="2" t="s">
        <v>14</v>
      </c>
      <c r="F754" s="2" t="s">
        <v>15</v>
      </c>
      <c r="G754" s="2" t="s">
        <v>125</v>
      </c>
      <c r="H754" s="2" t="s">
        <v>61</v>
      </c>
      <c r="I754" s="2" t="str">
        <f>IFERROR(__xludf.DUMMYFUNCTION("GOOGLETRANSLATE(C754,""fr"",""en"")"),"Very satisfied, awaiting a reduction for good driving ... lol
I would get closer to you after my move for home insurance.
Cordially")</f>
        <v>Very satisfied, awaiting a reduction for good driving ... lol
I would get closer to you after my move for home insurance.
Cordially</v>
      </c>
    </row>
    <row r="755" ht="15.75" customHeight="1">
      <c r="A755" s="2">
        <v>1.0</v>
      </c>
      <c r="B755" s="2" t="s">
        <v>2123</v>
      </c>
      <c r="C755" s="2" t="s">
        <v>2124</v>
      </c>
      <c r="D755" s="2" t="s">
        <v>330</v>
      </c>
      <c r="E755" s="2" t="s">
        <v>31</v>
      </c>
      <c r="F755" s="2" t="s">
        <v>15</v>
      </c>
      <c r="G755" s="2" t="s">
        <v>1596</v>
      </c>
      <c r="H755" s="2" t="s">
        <v>42</v>
      </c>
      <c r="I755" s="2" t="str">
        <f>IFERROR(__xludf.DUMMYFUNCTION("GOOGLETRANSLATE(C755,""fr"",""en"")"),"Shameful, the MGEN is not up to the image it wants to give itself in its advertising. For 15 months I have been waiting for the payment of loss of autonomy and daily allowances. I spent more than a dozen calls where it is continuously re -explaining the s"&amp;"ituation, I sent them all the documents by mail, no answer, in a/r no better. I even moved to the agency of Evry or once I put all the documents for these two services or the welcome agent confirmed to me that everything was in order and complete and well"&amp;" despite that we Continue to claim a document stipulating that I have received 90 days of full rate salary, when it is not the case and my employer has completed a document that reports.
They can advertise, with the price of contributions and the reimbur"&amp;"sements that are not made, it is all profit for them. I find their behavior mean. One thing is certain I will advertise them they deserve, social networks are there for that.")</f>
        <v>Shameful, the MGEN is not up to the image it wants to give itself in its advertising. For 15 months I have been waiting for the payment of loss of autonomy and daily allowances. I spent more than a dozen calls where it is continuously re -explaining the situation, I sent them all the documents by mail, no answer, in a/r no better. I even moved to the agency of Evry or once I put all the documents for these two services or the welcome agent confirmed to me that everything was in order and complete and well despite that we Continue to claim a document stipulating that I have received 90 days of full rate salary, when it is not the case and my employer has completed a document that reports.
They can advertise, with the price of contributions and the reimbursements that are not made, it is all profit for them. I find their behavior mean. One thing is certain I will advertise them they deserve, social networks are there for that.</v>
      </c>
    </row>
    <row r="756" ht="15.75" customHeight="1">
      <c r="A756" s="2">
        <v>3.0</v>
      </c>
      <c r="B756" s="2" t="s">
        <v>2125</v>
      </c>
      <c r="C756" s="2" t="s">
        <v>2126</v>
      </c>
      <c r="D756" s="2" t="s">
        <v>237</v>
      </c>
      <c r="E756" s="2" t="s">
        <v>14</v>
      </c>
      <c r="F756" s="2" t="s">
        <v>15</v>
      </c>
      <c r="G756" s="2" t="s">
        <v>2127</v>
      </c>
      <c r="H756" s="2" t="s">
        <v>89</v>
      </c>
      <c r="I756" s="2" t="str">
        <f>IFERROR(__xludf.DUMMYFUNCTION("GOOGLETRANSLATE(C756,""fr"",""en"")"),"Hello
Very bad assurance I advise not to take care of you when there is a problem they parade my son to had an accident in February 2019 and by going to my broker to declare the accident we are told that he is More insured for two days we have been told "&amp;"that they have sent a registered letter that we have never received but for them it does not count so I ask you a question of the accident will not have occurred we will not have been at Current and now we have just known that he is responsible we do how "&amp;"on the other hand I do not understand his brother had a payment problem on the other hand he was called him I do not understand their mamiere to work even if You go through a letter do not have axa because maybe cheap and I doubt it because I have a vehic"&amp;"le who was insured with them and for the same conditions I found cheaper with a colleague I assure you that I will make a very bad publicity in Axa and I will even go through the RVICE Consumer
       Christine Lourenco")</f>
        <v>Hello
Very bad assurance I advise not to take care of you when there is a problem they parade my son to had an accident in February 2019 and by going to my broker to declare the accident we are told that he is More insured for two days we have been told that they have sent a registered letter that we have never received but for them it does not count so I ask you a question of the accident will not have occurred we will not have been at Current and now we have just known that he is responsible we do how on the other hand I do not understand his brother had a payment problem on the other hand he was called him I do not understand their mamiere to work even if You go through a letter do not have axa because maybe cheap and I doubt it because I have a vehicle who was insured with them and for the same conditions I found cheaper with a colleague I assure you that I will make a very bad publicity in Axa and I will even go through the RVICE Consumer
       Christine Lourenco</v>
      </c>
    </row>
    <row r="757" ht="15.75" customHeight="1">
      <c r="A757" s="2">
        <v>2.0</v>
      </c>
      <c r="B757" s="2" t="s">
        <v>2128</v>
      </c>
      <c r="C757" s="2" t="s">
        <v>2129</v>
      </c>
      <c r="D757" s="2" t="s">
        <v>13</v>
      </c>
      <c r="E757" s="2" t="s">
        <v>14</v>
      </c>
      <c r="F757" s="2" t="s">
        <v>15</v>
      </c>
      <c r="G757" s="2" t="s">
        <v>592</v>
      </c>
      <c r="H757" s="2" t="s">
        <v>61</v>
      </c>
      <c r="I757" s="2" t="str">
        <f>IFERROR(__xludf.DUMMYFUNCTION("GOOGLETRANSLATE(C757,""fr"",""en"")"),"Correct service for need
attractive rate only for new customers but attractive price for renewal or faithful
Very complicated to join you to have the information statement
")</f>
        <v>Correct service for need
attractive rate only for new customers but attractive price for renewal or faithful
Very complicated to join you to have the information statement
</v>
      </c>
    </row>
    <row r="758" ht="15.75" customHeight="1">
      <c r="A758" s="2">
        <v>4.0</v>
      </c>
      <c r="B758" s="2" t="s">
        <v>2130</v>
      </c>
      <c r="C758" s="2" t="s">
        <v>2131</v>
      </c>
      <c r="D758" s="2" t="s">
        <v>164</v>
      </c>
      <c r="E758" s="2" t="s">
        <v>55</v>
      </c>
      <c r="F758" s="2" t="s">
        <v>15</v>
      </c>
      <c r="G758" s="2" t="s">
        <v>867</v>
      </c>
      <c r="H758" s="2" t="s">
        <v>42</v>
      </c>
      <c r="I758" s="2" t="str">
        <f>IFERROR(__xludf.DUMMYFUNCTION("GOOGLETRANSLATE(C758,""fr"",""en"")"),"Better home insurance.
The Matmut is still alongside its members.
I highly recommend this insurer.
You will not be disappointed.")</f>
        <v>Better home insurance.
The Matmut is still alongside its members.
I highly recommend this insurer.
You will not be disappointed.</v>
      </c>
    </row>
    <row r="759" ht="15.75" customHeight="1">
      <c r="A759" s="2">
        <v>5.0</v>
      </c>
      <c r="B759" s="2" t="s">
        <v>2132</v>
      </c>
      <c r="C759" s="2" t="s">
        <v>2133</v>
      </c>
      <c r="D759" s="2" t="s">
        <v>13</v>
      </c>
      <c r="E759" s="2" t="s">
        <v>14</v>
      </c>
      <c r="F759" s="2" t="s">
        <v>15</v>
      </c>
      <c r="G759" s="2" t="s">
        <v>1944</v>
      </c>
      <c r="H759" s="2" t="s">
        <v>190</v>
      </c>
      <c r="I759" s="2" t="str">
        <f>IFERROR(__xludf.DUMMYFUNCTION("GOOGLETRANSLATE(C759,""fr"",""en"")"),"I have always been followed by Direct Insurance on all my serious service vehicles fast and clear response I recommend there are price increases May it's minimal")</f>
        <v>I have always been followed by Direct Insurance on all my serious service vehicles fast and clear response I recommend there are price increases May it's minimal</v>
      </c>
    </row>
    <row r="760" ht="15.75" customHeight="1">
      <c r="A760" s="2">
        <v>1.0</v>
      </c>
      <c r="B760" s="2" t="s">
        <v>2134</v>
      </c>
      <c r="C760" s="2" t="s">
        <v>2135</v>
      </c>
      <c r="D760" s="2" t="s">
        <v>87</v>
      </c>
      <c r="E760" s="2" t="s">
        <v>14</v>
      </c>
      <c r="F760" s="2" t="s">
        <v>15</v>
      </c>
      <c r="G760" s="2" t="s">
        <v>2136</v>
      </c>
      <c r="H760" s="2" t="s">
        <v>239</v>
      </c>
      <c r="I760" s="2" t="str">
        <f>IFERROR(__xludf.DUMMYFUNCTION("GOOGLETRANSLATE(C760,""fr"",""en"")"),"Watch out for hidden prices. The price positioning is at first glance very interesting but be careful to fulfill all the information requested very precisely because they charge any modifications 15 euros even if this information has no impact on the pric"&amp;"e of insurance ... to be Very precise I resumed a vehicle at the end of February and I had the misfortune to put Mars when I made up my file, the person I had on the phone made the modification in 2 seconds that he So billed at 15 euros ... In addition, I"&amp;" had to call myself because I had no specific information on the progress of my file ...")</f>
        <v>Watch out for hidden prices. The price positioning is at first glance very interesting but be careful to fulfill all the information requested very precisely because they charge any modifications 15 euros even if this information has no impact on the price of insurance ... to be Very precise I resumed a vehicle at the end of February and I had the misfortune to put Mars when I made up my file, the person I had on the phone made the modification in 2 seconds that he So billed at 15 euros ... In addition, I had to call myself because I had no specific information on the progress of my file ...</v>
      </c>
    </row>
    <row r="761" ht="15.75" customHeight="1">
      <c r="A761" s="2">
        <v>5.0</v>
      </c>
      <c r="B761" s="2" t="s">
        <v>2137</v>
      </c>
      <c r="C761" s="2" t="s">
        <v>2138</v>
      </c>
      <c r="D761" s="2" t="s">
        <v>74</v>
      </c>
      <c r="E761" s="2" t="s">
        <v>14</v>
      </c>
      <c r="F761" s="2" t="s">
        <v>15</v>
      </c>
      <c r="G761" s="2" t="s">
        <v>1034</v>
      </c>
      <c r="H761" s="2" t="s">
        <v>190</v>
      </c>
      <c r="I761" s="2" t="str">
        <f>IFERROR(__xludf.DUMMYFUNCTION("GOOGLETRANSLATE(C761,""fr"",""en"")"),"Very satisfied I recommend.
I am assured for car, health, house.
And I have just applied for credit.
Reactive, available and serious insurance.")</f>
        <v>Very satisfied I recommend.
I am assured for car, health, house.
And I have just applied for credit.
Reactive, available and serious insurance.</v>
      </c>
    </row>
    <row r="762" ht="15.75" customHeight="1">
      <c r="A762" s="2">
        <v>5.0</v>
      </c>
      <c r="B762" s="2" t="s">
        <v>2139</v>
      </c>
      <c r="C762" s="2" t="s">
        <v>2140</v>
      </c>
      <c r="D762" s="2" t="s">
        <v>13</v>
      </c>
      <c r="E762" s="2" t="s">
        <v>14</v>
      </c>
      <c r="F762" s="2" t="s">
        <v>15</v>
      </c>
      <c r="G762" s="2" t="s">
        <v>787</v>
      </c>
      <c r="H762" s="2" t="s">
        <v>52</v>
      </c>
      <c r="I762" s="2" t="str">
        <f>IFERROR(__xludf.DUMMYFUNCTION("GOOGLETRANSLATE(C762,""fr"",""en"")"),"Interesting price to see after in case of damage how I will be compensated
Interesting price
Satisfied
Satisfied
Thank you
Excellent day
Best regards")</f>
        <v>Interesting price to see after in case of damage how I will be compensated
Interesting price
Satisfied
Satisfied
Thank you
Excellent day
Best regards</v>
      </c>
    </row>
    <row r="763" ht="15.75" customHeight="1">
      <c r="A763" s="2">
        <v>4.0</v>
      </c>
      <c r="B763" s="2" t="s">
        <v>2141</v>
      </c>
      <c r="C763" s="2" t="s">
        <v>2142</v>
      </c>
      <c r="D763" s="2" t="s">
        <v>13</v>
      </c>
      <c r="E763" s="2" t="s">
        <v>14</v>
      </c>
      <c r="F763" s="2" t="s">
        <v>15</v>
      </c>
      <c r="G763" s="2" t="s">
        <v>379</v>
      </c>
      <c r="H763" s="2" t="s">
        <v>42</v>
      </c>
      <c r="I763" s="2" t="str">
        <f>IFERROR(__xludf.DUMMYFUNCTION("GOOGLETRANSLATE(C763,""fr"",""en"")"),"The quote is fast and the price is interesting, I'm waiting to see the services offered now! Easy to use site I hope customer service will be at the top
")</f>
        <v>The quote is fast and the price is interesting, I'm waiting to see the services offered now! Easy to use site I hope customer service will be at the top
</v>
      </c>
    </row>
    <row r="764" ht="15.75" customHeight="1">
      <c r="A764" s="2">
        <v>4.0</v>
      </c>
      <c r="B764" s="2" t="s">
        <v>2143</v>
      </c>
      <c r="C764" s="2" t="s">
        <v>2144</v>
      </c>
      <c r="D764" s="2" t="s">
        <v>13</v>
      </c>
      <c r="E764" s="2" t="s">
        <v>14</v>
      </c>
      <c r="F764" s="2" t="s">
        <v>15</v>
      </c>
      <c r="G764" s="2" t="s">
        <v>842</v>
      </c>
      <c r="H764" s="2" t="s">
        <v>190</v>
      </c>
      <c r="I764" s="2" t="str">
        <f>IFERROR(__xludf.DUMMYFUNCTION("GOOGLETRANSLATE(C764,""fr"",""en"")"),"Very happy with the quote made online very simple and easy to use. I highly recommend this site for a car or motorcycle insurance subscription")</f>
        <v>Very happy with the quote made online very simple and easy to use. I highly recommend this site for a car or motorcycle insurance subscription</v>
      </c>
    </row>
    <row r="765" ht="15.75" customHeight="1">
      <c r="A765" s="2">
        <v>4.0</v>
      </c>
      <c r="B765" s="2" t="s">
        <v>2145</v>
      </c>
      <c r="C765" s="2" t="s">
        <v>2146</v>
      </c>
      <c r="D765" s="2" t="s">
        <v>74</v>
      </c>
      <c r="E765" s="2" t="s">
        <v>14</v>
      </c>
      <c r="F765" s="2" t="s">
        <v>15</v>
      </c>
      <c r="G765" s="2" t="s">
        <v>1442</v>
      </c>
      <c r="H765" s="2" t="s">
        <v>42</v>
      </c>
      <c r="I765" s="2" t="str">
        <f>IFERROR(__xludf.DUMMYFUNCTION("GOOGLETRANSLATE(C765,""fr"",""en"")"),"Satisfied with this home insurance and legal protection coverage, the prices are correct, and the application and site are very easy to access")</f>
        <v>Satisfied with this home insurance and legal protection coverage, the prices are correct, and the application and site are very easy to access</v>
      </c>
    </row>
    <row r="766" ht="15.75" customHeight="1">
      <c r="A766" s="2">
        <v>4.0</v>
      </c>
      <c r="B766" s="2" t="s">
        <v>2147</v>
      </c>
      <c r="C766" s="2" t="s">
        <v>2148</v>
      </c>
      <c r="D766" s="2" t="s">
        <v>13</v>
      </c>
      <c r="E766" s="2" t="s">
        <v>14</v>
      </c>
      <c r="F766" s="2" t="s">
        <v>15</v>
      </c>
      <c r="G766" s="2" t="s">
        <v>550</v>
      </c>
      <c r="H766" s="2" t="s">
        <v>42</v>
      </c>
      <c r="I766" s="2" t="str">
        <f>IFERROR(__xludf.DUMMYFUNCTION("GOOGLETRANSLATE(C766,""fr"",""en"")"),"Satisfactory, accessible service.
The information is clear and precise
The prices are affordable and adapted according to the use of the vehicle.")</f>
        <v>Satisfactory, accessible service.
The information is clear and precise
The prices are affordable and adapted according to the use of the vehicle.</v>
      </c>
    </row>
    <row r="767" ht="15.75" customHeight="1">
      <c r="A767" s="2">
        <v>4.0</v>
      </c>
      <c r="B767" s="2" t="s">
        <v>2149</v>
      </c>
      <c r="C767" s="2" t="s">
        <v>2150</v>
      </c>
      <c r="D767" s="2" t="s">
        <v>87</v>
      </c>
      <c r="E767" s="2" t="s">
        <v>14</v>
      </c>
      <c r="F767" s="2" t="s">
        <v>15</v>
      </c>
      <c r="G767" s="2" t="s">
        <v>411</v>
      </c>
      <c r="H767" s="2" t="s">
        <v>169</v>
      </c>
      <c r="I767" s="2" t="str">
        <f>IFERROR(__xludf.DUMMYFUNCTION("GOOGLETRANSLATE(C767,""fr"",""en"")"),"Simple and quick subscription is possible even on Sunday
Very attractive price, easy to use site
The transmission of documents is relatively simple")</f>
        <v>Simple and quick subscription is possible even on Sunday
Very attractive price, easy to use site
The transmission of documents is relatively simple</v>
      </c>
    </row>
    <row r="768" ht="15.75" customHeight="1">
      <c r="A768" s="2">
        <v>1.0</v>
      </c>
      <c r="B768" s="2" t="s">
        <v>2151</v>
      </c>
      <c r="C768" s="2" t="s">
        <v>2152</v>
      </c>
      <c r="D768" s="2" t="s">
        <v>237</v>
      </c>
      <c r="E768" s="2" t="s">
        <v>14</v>
      </c>
      <c r="F768" s="2" t="s">
        <v>15</v>
      </c>
      <c r="G768" s="2" t="s">
        <v>2153</v>
      </c>
      <c r="H768" s="2" t="s">
        <v>213</v>
      </c>
      <c r="I768" s="2" t="str">
        <f>IFERROR(__xludf.DUMMYFUNCTION("GOOGLETRANSLATE(C768,""fr"",""en"")"),"I am not at all satisfied with AXA insurance. Indeed, I subscribed to a contract with them by internet, thereafter, an advisor took charge of my file. The latter therefore explained to me that my vehicle would be fully covered and supported by the insuran"&amp;"ce package.
Excluding August, I had an accident and I was perplexed when I called the assistance in order to make my insurance work.
It was explained to me that I did not benefit from any option covering the disaster due to an accident and therefore tha"&amp;"t which I had just suffered.
From that moment, the problems started to be linked.
First of all, the clauses stipulated by the advisor who created my package for me do not correspond with the contract.
I was told during my accident:
1. that I did not"&amp;" benefit from a ""loan car"" but from ""courtesy"" while it is stipulated black on white on my contract that I will be compensated for a loan car if an accident came to manifest in order to to be able to keep my mobility while waiting for repairs to my ve"&amp;"hicles.
2. that I was not covered on vehicle repairs so repairs were on my own.
3. That one could not take care of my car being parking in the deposit in the area of ​​the accident, since I had not yet signed the contract.
The worst in all of this is"&amp;" that I was debit on my bank card in an amount representing the first three months of insurance in order to be able to benefit from my insurance. In addition, the advisor told me that I had no right to any right of withdrawal, which is false since I can b"&amp;"enefit from a right of 14 days to retract. So I asked that my extended third party contract immediately changed at all extensive risks in order to benefit from my departure requests, that is to say, the total management of my vehicle. Throughout my exchan"&amp;"ges with my advisers to solve this problem, they have continued to lie to me, a blow I have the right to retract, a blow no, then I ask for a manager, I am told that He is on leave when the same day I had been told that he was present or told me that I ha"&amp;"d already spoken to all those responsible.
I was therefore badly informed by the advisor having opened my insurance which is now worth additional costs when I am only a learning student. I wanted to establish an amicable contract with my advisor and th"&amp;"e latter refused when he only led me by boat. Today, 4 months later ... I still suffer the non -professionalism of this service, after multiple requests to change my contract since the car has not been driving since August, they say they have no history w"&amp;"hile Mocals M 'were transmitted by email thus proving a lack of follow -up on their part or a deletion of the latest data concerning me, moreover impossible to be put in relation to the same person because it is not found, which does not facilitate the ta"&amp;"sk .
I do not recommend AXA insurance and especially the telephone service made available.
Be careful.")</f>
        <v>I am not at all satisfied with AXA insurance. Indeed, I subscribed to a contract with them by internet, thereafter, an advisor took charge of my file. The latter therefore explained to me that my vehicle would be fully covered and supported by the insurance package.
Excluding August, I had an accident and I was perplexed when I called the assistance in order to make my insurance work.
It was explained to me that I did not benefit from any option covering the disaster due to an accident and therefore that which I had just suffered.
From that moment, the problems started to be linked.
First of all, the clauses stipulated by the advisor who created my package for me do not correspond with the contract.
I was told during my accident:
1. that I did not benefit from a "loan car" but from "courtesy" while it is stipulated black on white on my contract that I will be compensated for a loan car if an accident came to manifest in order to to be able to keep my mobility while waiting for repairs to my vehicles.
2. that I was not covered on vehicle repairs so repairs were on my own.
3. That one could not take care of my car being parking in the deposit in the area of ​​the accident, since I had not yet signed the contract.
The worst in all of this is that I was debit on my bank card in an amount representing the first three months of insurance in order to be able to benefit from my insurance. In addition, the advisor told me that I had no right to any right of withdrawal, which is false since I can benefit from a right of 14 days to retract. So I asked that my extended third party contract immediately changed at all extensive risks in order to benefit from my departure requests, that is to say, the total management of my vehicle. Throughout my exchanges with my advisers to solve this problem, they have continued to lie to me, a blow I have the right to retract, a blow no, then I ask for a manager, I am told that He is on leave when the same day I had been told that he was present or told me that I had already spoken to all those responsible.
I was therefore badly informed by the advisor having opened my insurance which is now worth additional costs when I am only a learning student. I wanted to establish an amicable contract with my advisor and the latter refused when he only led me by boat. Today, 4 months later ... I still suffer the non -professionalism of this service, after multiple requests to change my contract since the car has not been driving since August, they say they have no history while Mocals M 'were transmitted by email thus proving a lack of follow -up on their part or a deletion of the latest data concerning me, moreover impossible to be put in relation to the same person because it is not found, which does not facilitate the task .
I do not recommend AXA insurance and especially the telephone service made available.
Be careful.</v>
      </c>
    </row>
    <row r="769" ht="15.75" customHeight="1">
      <c r="A769" s="2">
        <v>5.0</v>
      </c>
      <c r="B769" s="2" t="s">
        <v>2154</v>
      </c>
      <c r="C769" s="2" t="s">
        <v>2155</v>
      </c>
      <c r="D769" s="2" t="s">
        <v>201</v>
      </c>
      <c r="E769" s="2" t="s">
        <v>21</v>
      </c>
      <c r="F769" s="2" t="s">
        <v>15</v>
      </c>
      <c r="G769" s="2" t="s">
        <v>2156</v>
      </c>
      <c r="H769" s="2" t="s">
        <v>27</v>
      </c>
      <c r="I769" s="2" t="str">
        <f>IFERROR(__xludf.DUMMYFUNCTION("GOOGLETRANSLATE(C769,""fr"",""en"")"),"Very satisfied with AMV Insurance, very low prices and an immediate response that makes me recommend this insurance to everyone, of all the quotes that I have been able to make AMV and the insurance that suits me best")</f>
        <v>Very satisfied with AMV Insurance, very low prices and an immediate response that makes me recommend this insurance to everyone, of all the quotes that I have been able to make AMV and the insurance that suits me best</v>
      </c>
    </row>
    <row r="770" ht="15.75" customHeight="1">
      <c r="A770" s="2">
        <v>1.0</v>
      </c>
      <c r="B770" s="2" t="s">
        <v>2157</v>
      </c>
      <c r="C770" s="2" t="s">
        <v>2158</v>
      </c>
      <c r="D770" s="2" t="s">
        <v>87</v>
      </c>
      <c r="E770" s="2" t="s">
        <v>14</v>
      </c>
      <c r="F770" s="2" t="s">
        <v>15</v>
      </c>
      <c r="G770" s="2" t="s">
        <v>533</v>
      </c>
      <c r="H770" s="2" t="s">
        <v>76</v>
      </c>
      <c r="I770" s="2" t="str">
        <f>IFERROR(__xludf.DUMMYFUNCTION("GOOGLETRANSLATE(C770,""fr"",""en"")"),"Total shame run away to run away. Flee. Auto accident not responsible since February. Already I had to do everything myself to have an expert, then I had to do everything myself so that the connection between the expert and the insurance is done, then I h"&amp;"ad to do everything myself To ask them to move and manage my file, which they did not do despite multiple reminders! Dépuis the month of March (27 to be precise), they collected my vehicle to me but my contract is still not sold, they sent me at the last "&amp;"moment (2 months after having recovered my vehicle) the transfer contract that I have returned automatically, and that they still haven't managed suddenly no sale of the vehicle! . The worst part in all this is that during all this time they take, they ta"&amp;"ke, they take, why exactly? They don't even do their job! But how can we accept that in France seriously? After being fed up, I decided to cut any sample and what they finally meet with .. threats of cutting bridge, but what is the logic exactly? I agree "&amp;"to be taken but why? All I ask is to be reimbursed legally for a non -responsible accident, which they are unable to do so badly. Run away run away from fleeing very honestly and for your good")</f>
        <v>Total shame run away to run away. Flee. Auto accident not responsible since February. Already I had to do everything myself to have an expert, then I had to do everything myself so that the connection between the expert and the insurance is done, then I had to do everything myself To ask them to move and manage my file, which they did not do despite multiple reminders! Dépuis the month of March (27 to be precise), they collected my vehicle to me but my contract is still not sold, they sent me at the last moment (2 months after having recovered my vehicle) the transfer contract that I have returned automatically, and that they still haven't managed suddenly no sale of the vehicle! . The worst part in all this is that during all this time they take, they take, they take, why exactly? They don't even do their job! But how can we accept that in France seriously? After being fed up, I decided to cut any sample and what they finally meet with .. threats of cutting bridge, but what is the logic exactly? I agree to be taken but why? All I ask is to be reimbursed legally for a non -responsible accident, which they are unable to do so badly. Run away run away from fleeing very honestly and for your good</v>
      </c>
    </row>
    <row r="771" ht="15.75" customHeight="1">
      <c r="A771" s="2">
        <v>3.0</v>
      </c>
      <c r="B771" s="2" t="s">
        <v>2159</v>
      </c>
      <c r="C771" s="2" t="s">
        <v>2160</v>
      </c>
      <c r="D771" s="2" t="s">
        <v>13</v>
      </c>
      <c r="E771" s="2" t="s">
        <v>14</v>
      </c>
      <c r="F771" s="2" t="s">
        <v>15</v>
      </c>
      <c r="G771" s="2" t="s">
        <v>340</v>
      </c>
      <c r="H771" s="2" t="s">
        <v>61</v>
      </c>
      <c r="I771" s="2" t="str">
        <f>IFERROR(__xludf.DUMMYFUNCTION("GOOGLETRANSLATE(C771,""fr"",""en"")"),"I am satisfied with the service on the other hand the prices undergo unprecedented inflation while with confinement I have much less rolled than in normal times")</f>
        <v>I am satisfied with the service on the other hand the prices undergo unprecedented inflation while with confinement I have much less rolled than in normal times</v>
      </c>
    </row>
    <row r="772" ht="15.75" customHeight="1">
      <c r="A772" s="2">
        <v>1.0</v>
      </c>
      <c r="B772" s="2" t="s">
        <v>2161</v>
      </c>
      <c r="C772" s="2" t="s">
        <v>2162</v>
      </c>
      <c r="D772" s="2" t="s">
        <v>64</v>
      </c>
      <c r="E772" s="2" t="s">
        <v>31</v>
      </c>
      <c r="F772" s="2" t="s">
        <v>15</v>
      </c>
      <c r="G772" s="2" t="s">
        <v>138</v>
      </c>
      <c r="H772" s="2" t="s">
        <v>138</v>
      </c>
      <c r="I772" s="2" t="str">
        <f>IFERROR(__xludf.DUMMYFUNCTION("GOOGLETRANSLATE(C772,""fr"",""en"")"),"I was on work stops during the pandemic, March and April, and to date on 01/10/2020, my colleagues and I have still not received salary compensation.
When will we finally have our due?
I am answered the tel, employer confidentiality clause,
In the mean"&amp;"time, we are patient but why still!
Always the same thing we are taken, we pay, but when it is the meaning return silence radio !!
")</f>
        <v>I was on work stops during the pandemic, March and April, and to date on 01/10/2020, my colleagues and I have still not received salary compensation.
When will we finally have our due?
I am answered the tel, employer confidentiality clause,
In the meantime, we are patient but why still!
Always the same thing we are taken, we pay, but when it is the meaning return silence radio !!
</v>
      </c>
    </row>
    <row r="773" ht="15.75" customHeight="1">
      <c r="A773" s="2">
        <v>3.0</v>
      </c>
      <c r="B773" s="2" t="s">
        <v>2163</v>
      </c>
      <c r="C773" s="2" t="s">
        <v>2164</v>
      </c>
      <c r="D773" s="2" t="s">
        <v>948</v>
      </c>
      <c r="E773" s="2" t="s">
        <v>288</v>
      </c>
      <c r="F773" s="2" t="s">
        <v>15</v>
      </c>
      <c r="G773" s="2" t="s">
        <v>1028</v>
      </c>
      <c r="H773" s="2" t="s">
        <v>718</v>
      </c>
      <c r="I773" s="2" t="str">
        <f>IFERROR(__xludf.DUMMYFUNCTION("GOOGLETRANSLATE(C773,""fr"",""en"")"),"My husband died on October 31, 2016. I sent all the papers to Swisslife. Several emails sent and never response. Several phone strokes and never the same interlocutor. Everyone returns the ball. No information.")</f>
        <v>My husband died on October 31, 2016. I sent all the papers to Swisslife. Several emails sent and never response. Several phone strokes and never the same interlocutor. Everyone returns the ball. No information.</v>
      </c>
    </row>
    <row r="774" ht="15.75" customHeight="1">
      <c r="A774" s="2">
        <v>3.0</v>
      </c>
      <c r="B774" s="2" t="s">
        <v>2165</v>
      </c>
      <c r="C774" s="2" t="s">
        <v>2166</v>
      </c>
      <c r="D774" s="2" t="s">
        <v>70</v>
      </c>
      <c r="E774" s="2" t="s">
        <v>31</v>
      </c>
      <c r="F774" s="2" t="s">
        <v>15</v>
      </c>
      <c r="G774" s="2" t="s">
        <v>559</v>
      </c>
      <c r="H774" s="2" t="s">
        <v>179</v>
      </c>
      <c r="I774" s="2" t="str">
        <f>IFERROR(__xludf.DUMMYFUNCTION("GOOGLETRANSLATE(C774,""fr"",""en"")"),"The Mutual refuses to reimburse me.
I am mistakenly sent the original invoices and now they tell me that he does not have them or that even if he had them should be returned to update the file.
After that I wanted to terminate and they blocked the termi"&amp;"nation.
Aberrant.")</f>
        <v>The Mutual refuses to reimburse me.
I am mistakenly sent the original invoices and now they tell me that he does not have them or that even if he had them should be returned to update the file.
After that I wanted to terminate and they blocked the termination.
Aberrant.</v>
      </c>
    </row>
    <row r="775" ht="15.75" customHeight="1">
      <c r="A775" s="2">
        <v>5.0</v>
      </c>
      <c r="B775" s="2" t="s">
        <v>2167</v>
      </c>
      <c r="C775" s="2" t="s">
        <v>2168</v>
      </c>
      <c r="D775" s="2" t="s">
        <v>13</v>
      </c>
      <c r="E775" s="2" t="s">
        <v>14</v>
      </c>
      <c r="F775" s="2" t="s">
        <v>15</v>
      </c>
      <c r="G775" s="2" t="s">
        <v>1944</v>
      </c>
      <c r="H775" s="2" t="s">
        <v>190</v>
      </c>
      <c r="I775" s="2" t="str">
        <f>IFERROR(__xludf.DUMMYFUNCTION("GOOGLETRANSLATE(C775,""fr"",""en"")"),"Thank you for everything, you are great!
I recommend, I will tell my friends to advise them to come to your place,
I hope that I remain faithful to you.
I take good care of my vehicle.
Good continuation !")</f>
        <v>Thank you for everything, you are great!
I recommend, I will tell my friends to advise them to come to your place,
I hope that I remain faithful to you.
I take good care of my vehicle.
Good continuation !</v>
      </c>
    </row>
    <row r="776" ht="15.75" customHeight="1">
      <c r="A776" s="2">
        <v>1.0</v>
      </c>
      <c r="B776" s="2" t="s">
        <v>2169</v>
      </c>
      <c r="C776" s="2" t="s">
        <v>2170</v>
      </c>
      <c r="D776" s="2" t="s">
        <v>164</v>
      </c>
      <c r="E776" s="2" t="s">
        <v>14</v>
      </c>
      <c r="F776" s="2" t="s">
        <v>15</v>
      </c>
      <c r="G776" s="2" t="s">
        <v>2171</v>
      </c>
      <c r="H776" s="2" t="s">
        <v>17</v>
      </c>
      <c r="I776" s="2" t="str">
        <f>IFERROR(__xludf.DUMMYFUNCTION("GOOGLETRANSLATE(C776,""fr"",""en"")"),"Very disappointed with the Matmut despite the seniority at home, it just took a responsible accident for my husband so that he would terminate his contract and at the same time we could not ensure another vehicle. No matter how much you have paid money fo"&amp;"r years, it is enough for a concern he no longer knows you, what ingratitude !!!")</f>
        <v>Very disappointed with the Matmut despite the seniority at home, it just took a responsible accident for my husband so that he would terminate his contract and at the same time we could not ensure another vehicle. No matter how much you have paid money for years, it is enough for a concern he no longer knows you, what ingratitude !!!</v>
      </c>
    </row>
    <row r="777" ht="15.75" customHeight="1">
      <c r="A777" s="2">
        <v>4.0</v>
      </c>
      <c r="B777" s="2" t="s">
        <v>2172</v>
      </c>
      <c r="C777" s="2" t="s">
        <v>2173</v>
      </c>
      <c r="D777" s="2" t="s">
        <v>50</v>
      </c>
      <c r="E777" s="2" t="s">
        <v>21</v>
      </c>
      <c r="F777" s="2" t="s">
        <v>15</v>
      </c>
      <c r="G777" s="2" t="s">
        <v>209</v>
      </c>
      <c r="H777" s="2" t="s">
        <v>209</v>
      </c>
      <c r="I777" s="2" t="str">
        <f>IFERROR(__xludf.DUMMYFUNCTION("GOOGLETRANSLATE(C777,""fr"",""en"")"),"Simple and pleasant service.
Leave the user the choice without forcing their hand.
Thank you April, I assured my scooter with a certain ease.")</f>
        <v>Simple and pleasant service.
Leave the user the choice without forcing their hand.
Thank you April, I assured my scooter with a certain ease.</v>
      </c>
    </row>
    <row r="778" ht="15.75" customHeight="1">
      <c r="A778" s="2">
        <v>5.0</v>
      </c>
      <c r="B778" s="2" t="s">
        <v>2174</v>
      </c>
      <c r="C778" s="2" t="s">
        <v>2175</v>
      </c>
      <c r="D778" s="2" t="s">
        <v>13</v>
      </c>
      <c r="E778" s="2" t="s">
        <v>14</v>
      </c>
      <c r="F778" s="2" t="s">
        <v>15</v>
      </c>
      <c r="G778" s="2" t="s">
        <v>1258</v>
      </c>
      <c r="H778" s="2" t="s">
        <v>52</v>
      </c>
      <c r="I778" s="2" t="str">
        <f>IFERROR(__xludf.DUMMYFUNCTION("GOOGLETRANSLATE(C778,""fr"",""en"")"),"I am satisfied with the service, the price is very good. I will see in use if it suits me. For the moment I am satisfied with the service.
If it's good, I will recommend it to those around me.")</f>
        <v>I am satisfied with the service, the price is very good. I will see in use if it suits me. For the moment I am satisfied with the service.
If it's good, I will recommend it to those around me.</v>
      </c>
    </row>
    <row r="779" ht="15.75" customHeight="1">
      <c r="A779" s="2">
        <v>4.0</v>
      </c>
      <c r="B779" s="2" t="s">
        <v>2176</v>
      </c>
      <c r="C779" s="2" t="s">
        <v>2177</v>
      </c>
      <c r="D779" s="2" t="s">
        <v>30</v>
      </c>
      <c r="E779" s="2" t="s">
        <v>31</v>
      </c>
      <c r="F779" s="2" t="s">
        <v>15</v>
      </c>
      <c r="G779" s="2" t="s">
        <v>2178</v>
      </c>
      <c r="H779" s="2" t="s">
        <v>302</v>
      </c>
      <c r="I779" s="2" t="str">
        <f>IFERROR(__xludf.DUMMYFUNCTION("GOOGLETRANSLATE(C779,""fr"",""en"")"),"Affiliated to the MGP since 1967 I have always found a listening delegate during my activity period and then correspondents during my various places of residence. I am generally satisfied. year.
The wait during telephone calls is often long ... but it is"&amp;" so everywhere alas.")</f>
        <v>Affiliated to the MGP since 1967 I have always found a listening delegate during my activity period and then correspondents during my various places of residence. I am generally satisfied. year.
The wait during telephone calls is often long ... but it is so everywhere alas.</v>
      </c>
    </row>
    <row r="780" ht="15.75" customHeight="1">
      <c r="A780" s="2">
        <v>1.0</v>
      </c>
      <c r="B780" s="2" t="s">
        <v>2179</v>
      </c>
      <c r="C780" s="2" t="s">
        <v>2180</v>
      </c>
      <c r="D780" s="2" t="s">
        <v>13</v>
      </c>
      <c r="E780" s="2" t="s">
        <v>14</v>
      </c>
      <c r="F780" s="2" t="s">
        <v>15</v>
      </c>
      <c r="G780" s="2" t="s">
        <v>2181</v>
      </c>
      <c r="H780" s="2" t="s">
        <v>23</v>
      </c>
      <c r="I780" s="2" t="str">
        <f>IFERROR(__xludf.DUMMYFUNCTION("GOOGLETRANSLATE(C780,""fr"",""en"")"),"Be careful they make a price to bring you and then a big increase from year to year.
This year 9% increase when we had no claim and 50% for 11 years")</f>
        <v>Be careful they make a price to bring you and then a big increase from year to year.
This year 9% increase when we had no claim and 50% for 11 years</v>
      </c>
    </row>
    <row r="781" ht="15.75" customHeight="1">
      <c r="A781" s="2">
        <v>1.0</v>
      </c>
      <c r="B781" s="2" t="s">
        <v>2182</v>
      </c>
      <c r="C781" s="2" t="s">
        <v>2183</v>
      </c>
      <c r="D781" s="2" t="s">
        <v>315</v>
      </c>
      <c r="E781" s="2" t="s">
        <v>55</v>
      </c>
      <c r="F781" s="2" t="s">
        <v>15</v>
      </c>
      <c r="G781" s="2" t="s">
        <v>2184</v>
      </c>
      <c r="H781" s="2" t="s">
        <v>103</v>
      </c>
      <c r="I781" s="2" t="str">
        <f>IFERROR(__xludf.DUMMYFUNCTION("GOOGLETRANSLATE(C781,""fr"",""en"")"),"TO FLEE")</f>
        <v>TO FLEE</v>
      </c>
    </row>
    <row r="782" ht="15.75" customHeight="1">
      <c r="A782" s="2">
        <v>1.0</v>
      </c>
      <c r="B782" s="2" t="s">
        <v>2185</v>
      </c>
      <c r="C782" s="2" t="s">
        <v>2186</v>
      </c>
      <c r="D782" s="2" t="s">
        <v>45</v>
      </c>
      <c r="E782" s="2" t="s">
        <v>14</v>
      </c>
      <c r="F782" s="2" t="s">
        <v>15</v>
      </c>
      <c r="G782" s="2" t="s">
        <v>2187</v>
      </c>
      <c r="H782" s="2" t="s">
        <v>263</v>
      </c>
      <c r="I782" s="2" t="str">
        <f>IFERROR(__xludf.DUMMYFUNCTION("GOOGLETRANSLATE(C782,""fr"",""en"")"),"Absolutely catastrophic insurance. More than deplorable service. Finish contracts at home. To make people pay there people !!! Flee as long as there is still time !!!")</f>
        <v>Absolutely catastrophic insurance. More than deplorable service. Finish contracts at home. To make people pay there people !!! Flee as long as there is still time !!!</v>
      </c>
    </row>
    <row r="783" ht="15.75" customHeight="1">
      <c r="A783" s="2">
        <v>2.0</v>
      </c>
      <c r="B783" s="2" t="s">
        <v>2188</v>
      </c>
      <c r="C783" s="2" t="s">
        <v>2189</v>
      </c>
      <c r="D783" s="2" t="s">
        <v>74</v>
      </c>
      <c r="E783" s="2" t="s">
        <v>14</v>
      </c>
      <c r="F783" s="2" t="s">
        <v>15</v>
      </c>
      <c r="G783" s="2" t="s">
        <v>2190</v>
      </c>
      <c r="H783" s="2" t="s">
        <v>94</v>
      </c>
      <c r="I783" s="2" t="str">
        <f>IFERROR(__xludf.DUMMYFUNCTION("GOOGLETRANSLATE(C783,""fr"",""en"")"),"Customer for more than 10 years with a single disaster. I broke my contract following the sale of my vehicle and provided the supporting documents (assignment cerfa) by mail with acknowledgment of receipt but that did not prevent the GMF from ""losing"" t"&amp;"he said proof. 1 month since the sale of my vehicle and my file is therefore in neutral.
Over the duration, the quality of GMF staff seem to be down. Their price placement, however, not so much.")</f>
        <v>Customer for more than 10 years with a single disaster. I broke my contract following the sale of my vehicle and provided the supporting documents (assignment cerfa) by mail with acknowledgment of receipt but that did not prevent the GMF from "losing" the said proof. 1 month since the sale of my vehicle and my file is therefore in neutral.
Over the duration, the quality of GMF staff seem to be down. Their price placement, however, not so much.</v>
      </c>
    </row>
    <row r="784" ht="15.75" customHeight="1">
      <c r="A784" s="2">
        <v>1.0</v>
      </c>
      <c r="B784" s="2" t="s">
        <v>2191</v>
      </c>
      <c r="C784" s="2" t="s">
        <v>2192</v>
      </c>
      <c r="D784" s="2" t="s">
        <v>79</v>
      </c>
      <c r="E784" s="2" t="s">
        <v>14</v>
      </c>
      <c r="F784" s="2" t="s">
        <v>15</v>
      </c>
      <c r="G784" s="2" t="s">
        <v>1379</v>
      </c>
      <c r="H784" s="2" t="s">
        <v>263</v>
      </c>
      <c r="I784" s="2" t="str">
        <f>IFERROR(__xludf.DUMMYFUNCTION("GOOGLETRANSLATE(C784,""fr"",""en"")"),"To perceive the money they are very responsive. I was stolen my conveyed and I am still not reimbursed despite the sending all the documents. The claims number is disabled as if by chance. I have two hours to go to work.")</f>
        <v>To perceive the money they are very responsive. I was stolen my conveyed and I am still not reimbursed despite the sending all the documents. The claims number is disabled as if by chance. I have two hours to go to work.</v>
      </c>
    </row>
    <row r="785" ht="15.75" customHeight="1">
      <c r="A785" s="2">
        <v>4.0</v>
      </c>
      <c r="B785" s="2" t="s">
        <v>2193</v>
      </c>
      <c r="C785" s="2" t="s">
        <v>2194</v>
      </c>
      <c r="D785" s="2" t="s">
        <v>13</v>
      </c>
      <c r="E785" s="2" t="s">
        <v>14</v>
      </c>
      <c r="F785" s="2" t="s">
        <v>15</v>
      </c>
      <c r="G785" s="2" t="s">
        <v>1944</v>
      </c>
      <c r="H785" s="2" t="s">
        <v>190</v>
      </c>
      <c r="I785" s="2" t="str">
        <f>IFERROR(__xludf.DUMMYFUNCTION("GOOGLETRANSLATE(C785,""fr"",""en"")"),"Very satisfied. Fast efficient. And the prices are reasonable compared to what I have seen elsewhere on the internet or what I had at AXA !!!!!!!!!!!")</f>
        <v>Very satisfied. Fast efficient. And the prices are reasonable compared to what I have seen elsewhere on the internet or what I had at AXA !!!!!!!!!!!</v>
      </c>
    </row>
    <row r="786" ht="15.75" customHeight="1">
      <c r="A786" s="2">
        <v>3.0</v>
      </c>
      <c r="B786" s="2" t="s">
        <v>2195</v>
      </c>
      <c r="C786" s="2" t="s">
        <v>2196</v>
      </c>
      <c r="D786" s="2" t="s">
        <v>92</v>
      </c>
      <c r="E786" s="2" t="s">
        <v>31</v>
      </c>
      <c r="F786" s="2" t="s">
        <v>15</v>
      </c>
      <c r="G786" s="2" t="s">
        <v>2197</v>
      </c>
      <c r="H786" s="2" t="s">
        <v>400</v>
      </c>
      <c r="I786" s="2" t="str">
        <f>IFERROR(__xludf.DUMMYFUNCTION("GOOGLETRANSLATE(C786,""fr"",""en"")"),"I am very new assured and I cannot really ronon. However, I could see it is the speed to reimburse me for medical expenses.
By cons I phoned to change the warranty, I was well replied by elephone then nothing.")</f>
        <v>I am very new assured and I cannot really ronon. However, I could see it is the speed to reimburse me for medical expenses.
By cons I phoned to change the warranty, I was well replied by elephone then nothing.</v>
      </c>
    </row>
    <row r="787" ht="15.75" customHeight="1">
      <c r="A787" s="2">
        <v>2.0</v>
      </c>
      <c r="B787" s="2" t="s">
        <v>2198</v>
      </c>
      <c r="C787" s="2" t="s">
        <v>2199</v>
      </c>
      <c r="D787" s="2" t="s">
        <v>87</v>
      </c>
      <c r="E787" s="2" t="s">
        <v>14</v>
      </c>
      <c r="F787" s="2" t="s">
        <v>15</v>
      </c>
      <c r="G787" s="2" t="s">
        <v>1612</v>
      </c>
      <c r="H787" s="2" t="s">
        <v>52</v>
      </c>
      <c r="I787" s="2" t="str">
        <f>IFERROR(__xludf.DUMMYFUNCTION("GOOGLETRANSLATE(C787,""fr"",""en"")"),"Too much difficulty finalizing this contract for several months that it lasts.
And errors of understanding on the phone.
Received the bad green card in the wrong name !!!")</f>
        <v>Too much difficulty finalizing this contract for several months that it lasts.
And errors of understanding on the phone.
Received the bad green card in the wrong name !!!</v>
      </c>
    </row>
    <row r="788" ht="15.75" customHeight="1">
      <c r="A788" s="2">
        <v>5.0</v>
      </c>
      <c r="B788" s="2" t="s">
        <v>2200</v>
      </c>
      <c r="C788" s="2" t="s">
        <v>2201</v>
      </c>
      <c r="D788" s="2" t="s">
        <v>87</v>
      </c>
      <c r="E788" s="2" t="s">
        <v>14</v>
      </c>
      <c r="F788" s="2" t="s">
        <v>15</v>
      </c>
      <c r="G788" s="2" t="s">
        <v>27</v>
      </c>
      <c r="H788" s="2" t="s">
        <v>27</v>
      </c>
      <c r="I788" s="2" t="str">
        <f>IFERROR(__xludf.DUMMYFUNCTION("GOOGLETRANSLATE(C788,""fr"",""en"")"),"I am very happy to have called you for the new insurance of my daughter very clear and very pleasant explanation I am")</f>
        <v>I am very happy to have called you for the new insurance of my daughter very clear and very pleasant explanation I am</v>
      </c>
    </row>
    <row r="789" ht="15.75" customHeight="1">
      <c r="A789" s="2">
        <v>1.0</v>
      </c>
      <c r="B789" s="2" t="s">
        <v>2202</v>
      </c>
      <c r="C789" s="2" t="s">
        <v>2203</v>
      </c>
      <c r="D789" s="2" t="s">
        <v>201</v>
      </c>
      <c r="E789" s="2" t="s">
        <v>21</v>
      </c>
      <c r="F789" s="2" t="s">
        <v>15</v>
      </c>
      <c r="G789" s="2" t="s">
        <v>2204</v>
      </c>
      <c r="H789" s="2" t="s">
        <v>302</v>
      </c>
      <c r="I789" s="2" t="str">
        <f>IFERROR(__xludf.DUMMYFUNCTION("GOOGLETRANSLATE(C789,""fr"",""en"")"),"After having given all the documents necessary for the opening of the contract, the mail processing period is far too long from Yamaha Insurance (AMV) especially when a claim is in progress (vehicle with a full chest that strikes the Before my motorcycle "&amp;"by making a reverse ...)
This will only be processed by the manager dedicated to claims only condition that the file is open (opening of the contract + sending the gray card) but if you put chandeliers to scan two checks too ... (you need 10 days for t"&amp;"hat obviously ...)
For the moment, I am disappointed with the AMV insurance without counting that it is really a shame that there is not one or two physical agencies in each region of France with appointment and documents to iron to Facilitate procedur"&amp;"es (claim, contract).")</f>
        <v>After having given all the documents necessary for the opening of the contract, the mail processing period is far too long from Yamaha Insurance (AMV) especially when a claim is in progress (vehicle with a full chest that strikes the Before my motorcycle by making a reverse ...)
This will only be processed by the manager dedicated to claims only condition that the file is open (opening of the contract + sending the gray card) but if you put chandeliers to scan two checks too ... (you need 10 days for that obviously ...)
For the moment, I am disappointed with the AMV insurance without counting that it is really a shame that there is not one or two physical agencies in each region of France with appointment and documents to iron to Facilitate procedures (claim, contract).</v>
      </c>
    </row>
    <row r="790" ht="15.75" customHeight="1">
      <c r="A790" s="2">
        <v>5.0</v>
      </c>
      <c r="B790" s="2" t="s">
        <v>2205</v>
      </c>
      <c r="C790" s="2" t="s">
        <v>2206</v>
      </c>
      <c r="D790" s="2" t="s">
        <v>50</v>
      </c>
      <c r="E790" s="2" t="s">
        <v>21</v>
      </c>
      <c r="F790" s="2" t="s">
        <v>15</v>
      </c>
      <c r="G790" s="2" t="s">
        <v>190</v>
      </c>
      <c r="H790" s="2" t="s">
        <v>190</v>
      </c>
      <c r="I790" s="2" t="str">
        <f>IFERROR(__xludf.DUMMYFUNCTION("GOOGLETRANSLATE(C790,""fr"",""en"")"),"Fast and practical service. Surprised that I can make sure of my home at 2am! Do not change anything on this point, everything is perfect ... The prices are suitable for the services offered")</f>
        <v>Fast and practical service. Surprised that I can make sure of my home at 2am! Do not change anything on this point, everything is perfect ... The prices are suitable for the services offered</v>
      </c>
    </row>
    <row r="791" ht="15.75" customHeight="1">
      <c r="A791" s="2">
        <v>2.0</v>
      </c>
      <c r="B791" s="2" t="s">
        <v>2207</v>
      </c>
      <c r="C791" s="2" t="s">
        <v>2208</v>
      </c>
      <c r="D791" s="2" t="s">
        <v>87</v>
      </c>
      <c r="E791" s="2" t="s">
        <v>14</v>
      </c>
      <c r="F791" s="2" t="s">
        <v>15</v>
      </c>
      <c r="G791" s="2" t="s">
        <v>2209</v>
      </c>
      <c r="H791" s="2" t="s">
        <v>1013</v>
      </c>
      <c r="I791" s="2" t="str">
        <f>IFERROR(__xludf.DUMMYFUNCTION("GOOGLETRANSLATE(C791,""fr"",""en"")"),"Incompetent customer service. Sending lying emails. Serious this company. This is my third year with them, but never again.")</f>
        <v>Incompetent customer service. Sending lying emails. Serious this company. This is my third year with them, but never again.</v>
      </c>
    </row>
    <row r="792" ht="15.75" customHeight="1">
      <c r="A792" s="2">
        <v>1.0</v>
      </c>
      <c r="B792" s="2" t="s">
        <v>2210</v>
      </c>
      <c r="C792" s="2" t="s">
        <v>2211</v>
      </c>
      <c r="D792" s="2" t="s">
        <v>375</v>
      </c>
      <c r="E792" s="2" t="s">
        <v>65</v>
      </c>
      <c r="F792" s="2" t="s">
        <v>15</v>
      </c>
      <c r="G792" s="2" t="s">
        <v>2212</v>
      </c>
      <c r="H792" s="2" t="s">
        <v>117</v>
      </c>
      <c r="I792" s="2" t="str">
        <f>IFERROR(__xludf.DUMMYFUNCTION("GOOGLETRANSLATE(C792,""fr"",""en"")"),"The satisfaction grid is only of interest if Generali respects its contract. Since November 2019 my health sheets are no longer treated. To my repeated messages and my complaints (2) a deafening silence to the point of being insulting. A member for many y"&amp;"ears I have been waiting for the intervention of the mediator to terminate my contract (collective status).")</f>
        <v>The satisfaction grid is only of interest if Generali respects its contract. Since November 2019 my health sheets are no longer treated. To my repeated messages and my complaints (2) a deafening silence to the point of being insulting. A member for many years I have been waiting for the intervention of the mediator to terminate my contract (collective status).</v>
      </c>
    </row>
    <row r="793" ht="15.75" customHeight="1">
      <c r="A793" s="2">
        <v>5.0</v>
      </c>
      <c r="B793" s="2" t="s">
        <v>2213</v>
      </c>
      <c r="C793" s="2" t="s">
        <v>2214</v>
      </c>
      <c r="D793" s="2" t="s">
        <v>92</v>
      </c>
      <c r="E793" s="2" t="s">
        <v>31</v>
      </c>
      <c r="F793" s="2" t="s">
        <v>15</v>
      </c>
      <c r="G793" s="2" t="s">
        <v>2215</v>
      </c>
      <c r="H793" s="2" t="s">
        <v>169</v>
      </c>
      <c r="I793" s="2" t="str">
        <f>IFERROR(__xludf.DUMMYFUNCTION("GOOGLETRANSLATE(C793,""fr"",""en"")"),"I am satisfied the prices suit me and and there are several choices of quick and well explained memberships I recommend your mutual one we already have 2 contracts to April")</f>
        <v>I am satisfied the prices suit me and and there are several choices of quick and well explained memberships I recommend your mutual one we already have 2 contracts to April</v>
      </c>
    </row>
    <row r="794" ht="15.75" customHeight="1">
      <c r="A794" s="2">
        <v>1.0</v>
      </c>
      <c r="B794" s="2" t="s">
        <v>2216</v>
      </c>
      <c r="C794" s="2" t="s">
        <v>2217</v>
      </c>
      <c r="D794" s="2" t="s">
        <v>164</v>
      </c>
      <c r="E794" s="2" t="s">
        <v>55</v>
      </c>
      <c r="F794" s="2" t="s">
        <v>15</v>
      </c>
      <c r="G794" s="2" t="s">
        <v>2218</v>
      </c>
      <c r="H794" s="2" t="s">
        <v>718</v>
      </c>
      <c r="I794" s="2" t="str">
        <f>IFERROR(__xludf.DUMMYFUNCTION("GOOGLETRANSLATE(C794,""fr"",""en"")"),"Beware of this insurer they display very good prices, but when you sign, we realize that they add costs, which makes the note strongly inflate (almost 20% in my case), in the end the price n 'is no more interesting than other companies. I have not yet bee"&amp;"n able to test customer service.")</f>
        <v>Beware of this insurer they display very good prices, but when you sign, we realize that they add costs, which makes the note strongly inflate (almost 20% in my case), in the end the price n 'is no more interesting than other companies. I have not yet been able to test customer service.</v>
      </c>
    </row>
    <row r="795" ht="15.75" customHeight="1">
      <c r="A795" s="2">
        <v>2.0</v>
      </c>
      <c r="B795" s="2" t="s">
        <v>2219</v>
      </c>
      <c r="C795" s="2" t="s">
        <v>2220</v>
      </c>
      <c r="D795" s="2" t="s">
        <v>74</v>
      </c>
      <c r="E795" s="2" t="s">
        <v>55</v>
      </c>
      <c r="F795" s="2" t="s">
        <v>15</v>
      </c>
      <c r="G795" s="2" t="s">
        <v>169</v>
      </c>
      <c r="H795" s="2" t="s">
        <v>195</v>
      </c>
      <c r="I795" s="2" t="str">
        <f>IFERROR(__xludf.DUMMYFUNCTION("GOOGLETRANSLATE(C795,""fr"",""en"")"),"It's been a year since our home has burned .. we are more traumatized by the GMF than by the disaster itself! Everything is done to compensate as little as possible. Force to take a lawyer to advance our file. Simply scandalous !!")</f>
        <v>It's been a year since our home has burned .. we are more traumatized by the GMF than by the disaster itself! Everything is done to compensate as little as possible. Force to take a lawyer to advance our file. Simply scandalous !!</v>
      </c>
    </row>
    <row r="796" ht="15.75" customHeight="1">
      <c r="A796" s="2">
        <v>1.0</v>
      </c>
      <c r="B796" s="2" t="s">
        <v>2221</v>
      </c>
      <c r="C796" s="2" t="s">
        <v>2222</v>
      </c>
      <c r="D796" s="2" t="s">
        <v>70</v>
      </c>
      <c r="E796" s="2" t="s">
        <v>31</v>
      </c>
      <c r="F796" s="2" t="s">
        <v>15</v>
      </c>
      <c r="G796" s="2" t="s">
        <v>1834</v>
      </c>
      <c r="H796" s="2" t="s">
        <v>138</v>
      </c>
      <c r="I796" s="2" t="str">
        <f>IFERROR(__xludf.DUMMYFUNCTION("GOOGLETRANSLATE(C796,""fr"",""en"")"),"For 1 year, I have transmitted 5 times the schooling certificates, a new security certificate with their number, of my binoculars. They never receive anything, neither by mail, nor by email and on the phone finds nothing either.
Impossible for 1 year to "&amp;"obtain reimbursements for my daughters, because they do not update teletransmission ... Parcontre, they do not forget the samples to pay monthly. I do not recommend them at all.")</f>
        <v>For 1 year, I have transmitted 5 times the schooling certificates, a new security certificate with their number, of my binoculars. They never receive anything, neither by mail, nor by email and on the phone finds nothing either.
Impossible for 1 year to obtain reimbursements for my daughters, because they do not update teletransmission ... Parcontre, they do not forget the samples to pay monthly. I do not recommend them at all.</v>
      </c>
    </row>
    <row r="797" ht="15.75" customHeight="1">
      <c r="A797" s="2">
        <v>4.0</v>
      </c>
      <c r="B797" s="2" t="s">
        <v>2223</v>
      </c>
      <c r="C797" s="2" t="s">
        <v>2224</v>
      </c>
      <c r="D797" s="2" t="s">
        <v>50</v>
      </c>
      <c r="E797" s="2" t="s">
        <v>21</v>
      </c>
      <c r="F797" s="2" t="s">
        <v>15</v>
      </c>
      <c r="G797" s="2" t="s">
        <v>110</v>
      </c>
      <c r="H797" s="2" t="s">
        <v>110</v>
      </c>
      <c r="I797" s="2" t="str">
        <f>IFERROR(__xludf.DUMMYFUNCTION("GOOGLETRANSLATE(C797,""fr"",""en"")"),"I am satisfied with the price
A very good contact with the advisor for the quote
Good online service to finalize the insurance proposal
Cordially
")</f>
        <v>I am satisfied with the price
A very good contact with the advisor for the quote
Good online service to finalize the insurance proposal
Cordially
</v>
      </c>
    </row>
    <row r="798" ht="15.75" customHeight="1">
      <c r="A798" s="2">
        <v>3.0</v>
      </c>
      <c r="B798" s="2" t="s">
        <v>2225</v>
      </c>
      <c r="C798" s="2" t="s">
        <v>2226</v>
      </c>
      <c r="D798" s="2" t="s">
        <v>87</v>
      </c>
      <c r="E798" s="2" t="s">
        <v>14</v>
      </c>
      <c r="F798" s="2" t="s">
        <v>15</v>
      </c>
      <c r="G798" s="2" t="s">
        <v>208</v>
      </c>
      <c r="H798" s="2" t="s">
        <v>209</v>
      </c>
      <c r="I798" s="2" t="str">
        <f>IFERROR(__xludf.DUMMYFUNCTION("GOOGLETRANSLATE(C798,""fr"",""en"")"),"1/ Impossibility of signing the online quote from the email of quote received ==&gt; forced to go by phone to finally subscribe (despite several trials and several calls for hotline)
2/ I would have liked to be able to change the assurance of my X1 the last"&amp;" month to go into parking insurance only but Lolivier does not do that.
")</f>
        <v>1/ Impossibility of signing the online quote from the email of quote received ==&gt; forced to go by phone to finally subscribe (despite several trials and several calls for hotline)
2/ I would have liked to be able to change the assurance of my X1 the last month to go into parking insurance only but Lolivier does not do that.
</v>
      </c>
    </row>
    <row r="799" ht="15.75" customHeight="1">
      <c r="A799" s="2">
        <v>3.0</v>
      </c>
      <c r="B799" s="2" t="s">
        <v>2227</v>
      </c>
      <c r="C799" s="2" t="s">
        <v>2228</v>
      </c>
      <c r="D799" s="2" t="s">
        <v>13</v>
      </c>
      <c r="E799" s="2" t="s">
        <v>14</v>
      </c>
      <c r="F799" s="2" t="s">
        <v>15</v>
      </c>
      <c r="G799" s="2" t="s">
        <v>536</v>
      </c>
      <c r="H799" s="2" t="s">
        <v>42</v>
      </c>
      <c r="I799" s="2" t="str">
        <f>IFERROR(__xludf.DUMMYFUNCTION("GOOGLETRANSLATE(C799,""fr"",""en"")"),"I am satisfied with the service at the moment the rate remains reasonable I hope that I will be satisfied with your insurance to be able to stay at home")</f>
        <v>I am satisfied with the service at the moment the rate remains reasonable I hope that I will be satisfied with your insurance to be able to stay at home</v>
      </c>
    </row>
    <row r="800" ht="15.75" customHeight="1">
      <c r="A800" s="2">
        <v>4.0</v>
      </c>
      <c r="B800" s="2" t="s">
        <v>2229</v>
      </c>
      <c r="C800" s="2" t="s">
        <v>2230</v>
      </c>
      <c r="D800" s="2" t="s">
        <v>13</v>
      </c>
      <c r="E800" s="2" t="s">
        <v>14</v>
      </c>
      <c r="F800" s="2" t="s">
        <v>15</v>
      </c>
      <c r="G800" s="2" t="s">
        <v>1123</v>
      </c>
      <c r="H800" s="2" t="s">
        <v>52</v>
      </c>
      <c r="I800" s="2" t="str">
        <f>IFERROR(__xludf.DUMMYFUNCTION("GOOGLETRANSLATE(C800,""fr"",""en"")"),"Simple practice
Reasonable price
Good quality price
Fast and effective
I highly recommend
A friend recommended me I don't regret
Fast and effective
Simple
Quick
")</f>
        <v>Simple practice
Reasonable price
Good quality price
Fast and effective
I highly recommend
A friend recommended me I don't regret
Fast and effective
Simple
Quick
</v>
      </c>
    </row>
    <row r="801" ht="15.75" customHeight="1">
      <c r="A801" s="2">
        <v>1.0</v>
      </c>
      <c r="B801" s="2" t="s">
        <v>2231</v>
      </c>
      <c r="C801" s="2" t="s">
        <v>2232</v>
      </c>
      <c r="D801" s="2" t="s">
        <v>64</v>
      </c>
      <c r="E801" s="2" t="s">
        <v>65</v>
      </c>
      <c r="F801" s="2" t="s">
        <v>15</v>
      </c>
      <c r="G801" s="2" t="s">
        <v>2233</v>
      </c>
      <c r="H801" s="2" t="s">
        <v>1013</v>
      </c>
      <c r="I801" s="2" t="str">
        <f>IFERROR(__xludf.DUMMYFUNCTION("GOOGLETRANSLATE(C801,""fr"",""en"")"),"The person died in December 2005. Insurance was looking for me. I wrote to Agira. Since April 2016 the file has been being processed. Since the end of June 2017 the file is calculated, controlled and etc ... supposedly a computer problem that blocks payme"&amp;"nt !!! Too bad it does not block the samples for others !!! LOL!!
Complicate file death in 2005 !!! Since a new life; strongly that it is settled and that we speak more of it; On September 1 I address myself to a lawyer because I have rebuilt my life and"&amp;" my new spouse no longer wants to hear about it.
")</f>
        <v>The person died in December 2005. Insurance was looking for me. I wrote to Agira. Since April 2016 the file has been being processed. Since the end of June 2017 the file is calculated, controlled and etc ... supposedly a computer problem that blocks payment !!! Too bad it does not block the samples for others !!! LOL!!
Complicate file death in 2005 !!! Since a new life; strongly that it is settled and that we speak more of it; On September 1 I address myself to a lawyer because I have rebuilt my life and my new spouse no longer wants to hear about it.
</v>
      </c>
    </row>
    <row r="802" ht="15.75" customHeight="1">
      <c r="A802" s="2">
        <v>2.0</v>
      </c>
      <c r="B802" s="2" t="s">
        <v>2234</v>
      </c>
      <c r="C802" s="2" t="s">
        <v>2235</v>
      </c>
      <c r="D802" s="2" t="s">
        <v>723</v>
      </c>
      <c r="E802" s="2" t="s">
        <v>65</v>
      </c>
      <c r="F802" s="2" t="s">
        <v>15</v>
      </c>
      <c r="G802" s="2" t="s">
        <v>66</v>
      </c>
      <c r="H802" s="2" t="s">
        <v>67</v>
      </c>
      <c r="I802" s="2" t="str">
        <f>IFERROR(__xludf.DUMMYFUNCTION("GOOGLETRANSLATE(C802,""fr"",""en"")"),"Intermeau announces a response to reclamations in 2 days opened
Without an answer from the mutual insurance company since October 24")</f>
        <v>Intermeau announces a response to reclamations in 2 days opened
Without an answer from the mutual insurance company since October 24</v>
      </c>
    </row>
    <row r="803" ht="15.75" customHeight="1">
      <c r="A803" s="2">
        <v>1.0</v>
      </c>
      <c r="B803" s="2" t="s">
        <v>2236</v>
      </c>
      <c r="C803" s="2" t="s">
        <v>2237</v>
      </c>
      <c r="D803" s="2" t="s">
        <v>87</v>
      </c>
      <c r="E803" s="2" t="s">
        <v>14</v>
      </c>
      <c r="F803" s="2" t="s">
        <v>15</v>
      </c>
      <c r="G803" s="2" t="s">
        <v>2238</v>
      </c>
      <c r="H803" s="2" t="s">
        <v>103</v>
      </c>
      <c r="I803" s="2" t="str">
        <f>IFERROR(__xludf.DUMMYFUNCTION("GOOGLETRANSLATE(C803,""fr"",""en"")"),"Hello
I am assured any risk
I was robbed of my car with violence (complaint was filed of course)
The driver had an accident under the influence of narcotic and alcohol and without a license.
The convenience store following the gendarmerie call"&amp;" took charge of the vehicle (wreck)
After many documents transmitted to assurrance following their request to justify the theft there was always a request from them so as not to compensate.
The convenience store asked us for the towing costs and the"&amp;" transfer of the EPAVE to avoid the guard costs, before the official passage of the expert 5 days before we were in Christmas on 22/12 ( which even saw the car at the convenience store on 27/12) following this the assurrance refuses any compensation. Brei"&amp;"st number 2017234615 of December 17, 2017.
Good luck to you
Above all, do not have any problems because no chances of management if a grain of sand does not fall under their conditions.
")</f>
        <v>Hello
I am assured any risk
I was robbed of my car with violence (complaint was filed of course)
The driver had an accident under the influence of narcotic and alcohol and without a license.
The convenience store following the gendarmerie call took charge of the vehicle (wreck)
After many documents transmitted to assurrance following their request to justify the theft there was always a request from them so as not to compensate.
The convenience store asked us for the towing costs and the transfer of the EPAVE to avoid the guard costs, before the official passage of the expert 5 days before we were in Christmas on 22/12 ( which even saw the car at the convenience store on 27/12) following this the assurrance refuses any compensation. Breist number 2017234615 of December 17, 2017.
Good luck to you
Above all, do not have any problems because no chances of management if a grain of sand does not fall under their conditions.
</v>
      </c>
    </row>
    <row r="804" ht="15.75" customHeight="1">
      <c r="A804" s="2">
        <v>5.0</v>
      </c>
      <c r="B804" s="2" t="s">
        <v>2239</v>
      </c>
      <c r="C804" s="2" t="s">
        <v>2240</v>
      </c>
      <c r="D804" s="2" t="s">
        <v>558</v>
      </c>
      <c r="E804" s="2" t="s">
        <v>31</v>
      </c>
      <c r="F804" s="2" t="s">
        <v>15</v>
      </c>
      <c r="G804" s="2" t="s">
        <v>2241</v>
      </c>
      <c r="H804" s="2" t="s">
        <v>302</v>
      </c>
      <c r="I804" s="2" t="str">
        <f>IFERROR(__xludf.DUMMYFUNCTION("GOOGLETRANSLATE(C804,""fr"",""en"")"),"Super services, both telephone and reimbursements! They are fast and very kind. Level price, my old company took into account some of the costs so it seemed reasonable to me.
I did not have a claim but I had some medical consultation and I must say that "&amp;"the reimbursement was very fast!
Small flat but really small ... It is that to send the supporting documents by internet, you have to look for a little little because it is not very explicit ...")</f>
        <v>Super services, both telephone and reimbursements! They are fast and very kind. Level price, my old company took into account some of the costs so it seemed reasonable to me.
I did not have a claim but I had some medical consultation and I must say that the reimbursement was very fast!
Small flat but really small ... It is that to send the supporting documents by internet, you have to look for a little little because it is not very explicit ...</v>
      </c>
    </row>
    <row r="805" ht="15.75" customHeight="1">
      <c r="A805" s="2">
        <v>2.0</v>
      </c>
      <c r="B805" s="2" t="s">
        <v>2242</v>
      </c>
      <c r="C805" s="2" t="s">
        <v>2243</v>
      </c>
      <c r="D805" s="2" t="s">
        <v>13</v>
      </c>
      <c r="E805" s="2" t="s">
        <v>14</v>
      </c>
      <c r="F805" s="2" t="s">
        <v>15</v>
      </c>
      <c r="G805" s="2" t="s">
        <v>1729</v>
      </c>
      <c r="H805" s="2" t="s">
        <v>61</v>
      </c>
      <c r="I805" s="2" t="str">
        <f>IFERROR(__xludf.DUMMYFUNCTION("GOOGLETRANSLATE(C805,""fr"",""en"")"),"No claim declared, and a good increase in contribution + € 20 ??? for what.
Taken by time, I will still test the competition.")</f>
        <v>No claim declared, and a good increase in contribution + € 20 ??? for what.
Taken by time, I will still test the competition.</v>
      </c>
    </row>
    <row r="806" ht="15.75" customHeight="1">
      <c r="A806" s="2">
        <v>1.0</v>
      </c>
      <c r="B806" s="2" t="s">
        <v>2244</v>
      </c>
      <c r="C806" s="2" t="s">
        <v>2245</v>
      </c>
      <c r="D806" s="2" t="s">
        <v>87</v>
      </c>
      <c r="E806" s="2" t="s">
        <v>14</v>
      </c>
      <c r="F806" s="2" t="s">
        <v>15</v>
      </c>
      <c r="G806" s="2" t="s">
        <v>2246</v>
      </c>
      <c r="H806" s="2" t="s">
        <v>776</v>
      </c>
      <c r="I806" s="2" t="str">
        <f>IFERROR(__xludf.DUMMYFUNCTION("GOOGLETRANSLATE(C806,""fr"",""en"")"),"Insured a first year, I had to terminate the second year because the amount went from 1230 to more than 1530 despite a 5% bonus .... incomprehensible! And unacceptable!
Never responds to emails.")</f>
        <v>Insured a first year, I had to terminate the second year because the amount went from 1230 to more than 1530 despite a 5% bonus .... incomprehensible! And unacceptable!
Never responds to emails.</v>
      </c>
    </row>
    <row r="807" ht="15.75" customHeight="1">
      <c r="A807" s="2">
        <v>2.0</v>
      </c>
      <c r="B807" s="2" t="s">
        <v>2247</v>
      </c>
      <c r="C807" s="2" t="s">
        <v>2248</v>
      </c>
      <c r="D807" s="2" t="s">
        <v>45</v>
      </c>
      <c r="E807" s="2" t="s">
        <v>14</v>
      </c>
      <c r="F807" s="2" t="s">
        <v>15</v>
      </c>
      <c r="G807" s="2" t="s">
        <v>2249</v>
      </c>
      <c r="H807" s="2" t="s">
        <v>958</v>
      </c>
      <c r="I807" s="2" t="str">
        <f>IFERROR(__xludf.DUMMYFUNCTION("GOOGLETRANSLATE(C807,""fr"",""en"")"),"No help, my MRI fell back after confinement, my knee sickness, shopping shopping on foot, my vehicle repaired at the Renault garage, the invoice not paid, any empire no help, no compassion no arrangement, however they know that I live at the minimum Socia"&amp;"l with my 3 children, that I have missed job opportunities, my knee evil is only getting worse. And however I have contributed every month at the Macif for twenty years. I think it's because that I am of Algerian origin that I am manhandled.")</f>
        <v>No help, my MRI fell back after confinement, my knee sickness, shopping shopping on foot, my vehicle repaired at the Renault garage, the invoice not paid, any empire no help, no compassion no arrangement, however they know that I live at the minimum Social with my 3 children, that I have missed job opportunities, my knee evil is only getting worse. And however I have contributed every month at the Macif for twenty years. I think it's because that I am of Algerian origin that I am manhandled.</v>
      </c>
    </row>
    <row r="808" ht="15.75" customHeight="1">
      <c r="A808" s="2">
        <v>4.0</v>
      </c>
      <c r="B808" s="2" t="s">
        <v>2250</v>
      </c>
      <c r="C808" s="2" t="s">
        <v>2251</v>
      </c>
      <c r="D808" s="2" t="s">
        <v>36</v>
      </c>
      <c r="E808" s="2" t="s">
        <v>55</v>
      </c>
      <c r="F808" s="2" t="s">
        <v>15</v>
      </c>
      <c r="G808" s="2" t="s">
        <v>2252</v>
      </c>
      <c r="H808" s="2" t="s">
        <v>138</v>
      </c>
      <c r="I808" s="2" t="str">
        <f>IFERROR(__xludf.DUMMYFUNCTION("GOOGLETRANSLATE(C808,""fr"",""en"")"),"A little more expensive but no worries in the event of a glitch! It is a real mutual. . . Ex I had a problem with the humidity from my courette, it is systematically supported. My mother had insurance at A ... A: No taken care of, I had problems!")</f>
        <v>A little more expensive but no worries in the event of a glitch! It is a real mutual. . . Ex I had a problem with the humidity from my courette, it is systematically supported. My mother had insurance at A ... A: No taken care of, I had problems!</v>
      </c>
    </row>
    <row r="809" ht="15.75" customHeight="1">
      <c r="A809" s="2">
        <v>1.0</v>
      </c>
      <c r="B809" s="2" t="s">
        <v>2253</v>
      </c>
      <c r="C809" s="2" t="s">
        <v>2254</v>
      </c>
      <c r="D809" s="2" t="s">
        <v>64</v>
      </c>
      <c r="E809" s="2" t="s">
        <v>65</v>
      </c>
      <c r="F809" s="2" t="s">
        <v>15</v>
      </c>
      <c r="G809" s="2" t="s">
        <v>2255</v>
      </c>
      <c r="H809" s="2" t="s">
        <v>1277</v>
      </c>
      <c r="I809" s="2" t="str">
        <f>IFERROR(__xludf.DUMMYFUNCTION("GOOGLETRANSLATE(C809,""fr"",""en"")"),"I have stopped since April 17 and still no salary supplement. They answer me whenever they do not have my file. The worse they respond to the emails 1 month after what shame !!!")</f>
        <v>I have stopped since April 17 and still no salary supplement. They answer me whenever they do not have my file. The worse they respond to the emails 1 month after what shame !!!</v>
      </c>
    </row>
    <row r="810" ht="15.75" customHeight="1">
      <c r="A810" s="2">
        <v>4.0</v>
      </c>
      <c r="B810" s="2" t="s">
        <v>2256</v>
      </c>
      <c r="C810" s="2" t="s">
        <v>2257</v>
      </c>
      <c r="D810" s="2" t="s">
        <v>13</v>
      </c>
      <c r="E810" s="2" t="s">
        <v>14</v>
      </c>
      <c r="F810" s="2" t="s">
        <v>15</v>
      </c>
      <c r="G810" s="2" t="s">
        <v>1862</v>
      </c>
      <c r="H810" s="2" t="s">
        <v>61</v>
      </c>
      <c r="I810" s="2" t="str">
        <f>IFERROR(__xludf.DUMMYFUNCTION("GOOGLETRANSLATE(C810,""fr"",""en"")"),"I do not understand. My license is legible as a secondary driver for contract insurance N.312693015 but not as the main driver of the contract n.312689515")</f>
        <v>I do not understand. My license is legible as a secondary driver for contract insurance N.312693015 but not as the main driver of the contract n.312689515</v>
      </c>
    </row>
    <row r="811" ht="15.75" customHeight="1">
      <c r="A811" s="2">
        <v>1.0</v>
      </c>
      <c r="B811" s="2" t="s">
        <v>2258</v>
      </c>
      <c r="C811" s="2" t="s">
        <v>2259</v>
      </c>
      <c r="D811" s="2" t="s">
        <v>227</v>
      </c>
      <c r="E811" s="2" t="s">
        <v>14</v>
      </c>
      <c r="F811" s="2" t="s">
        <v>15</v>
      </c>
      <c r="G811" s="2" t="s">
        <v>396</v>
      </c>
      <c r="H811" s="2" t="s">
        <v>209</v>
      </c>
      <c r="I811" s="2" t="str">
        <f>IFERROR(__xludf.DUMMYFUNCTION("GOOGLETRANSLATE(C811,""fr"",""en"")"),"My former Auto Insurer Allianz France claims me a day of unpaid insurance. For an amount of ??? Guess!
For the sum of € 6.98, or € 2547 in annual insurance! No, I don’t provide gold Lamborghini.
What to do ? Morally, I have to help financially ?? The fi"&amp;"rst European group Allianz to get a health, the poor. I even think of creating an allianzthon, what do you think? ??
Of course, the consumer association Que Choisir is informed of the problem. And social networks are starting to hear about it. Bravo for "&amp;"the Allianz communication department, they won everything ... except complete and final erasure of this ridiculous ""debt"".")</f>
        <v>My former Auto Insurer Allianz France claims me a day of unpaid insurance. For an amount of ??? Guess!
For the sum of € 6.98, or € 2547 in annual insurance! No, I don’t provide gold Lamborghini.
What to do ? Morally, I have to help financially ?? The first European group Allianz to get a health, the poor. I even think of creating an allianzthon, what do you think? ??
Of course, the consumer association Que Choisir is informed of the problem. And social networks are starting to hear about it. Bravo for the Allianz communication department, they won everything ... except complete and final erasure of this ridiculous "debt".</v>
      </c>
    </row>
    <row r="812" ht="15.75" customHeight="1">
      <c r="A812" s="2">
        <v>1.0</v>
      </c>
      <c r="B812" s="2" t="s">
        <v>2260</v>
      </c>
      <c r="C812" s="2" t="s">
        <v>2261</v>
      </c>
      <c r="D812" s="2" t="s">
        <v>87</v>
      </c>
      <c r="E812" s="2" t="s">
        <v>14</v>
      </c>
      <c r="F812" s="2" t="s">
        <v>15</v>
      </c>
      <c r="G812" s="2" t="s">
        <v>2262</v>
      </c>
      <c r="H812" s="2" t="s">
        <v>263</v>
      </c>
      <c r="I812" s="2" t="str">
        <f>IFERROR(__xludf.DUMMYFUNCTION("GOOGLETRANSLATE(C812,""fr"",""en"")"),"I made a expensive quote. More than 1450 euros per year against € 559 ​​with my current insurance.
The advertising is not up to its promise, on the contrary I have never had such a high quote.
")</f>
        <v>I made a expensive quote. More than 1450 euros per year against € 559 ​​with my current insurance.
The advertising is not up to its promise, on the contrary I have never had such a high quote.
</v>
      </c>
    </row>
    <row r="813" ht="15.75" customHeight="1">
      <c r="A813" s="2">
        <v>1.0</v>
      </c>
      <c r="B813" s="2" t="s">
        <v>2263</v>
      </c>
      <c r="C813" s="2" t="s">
        <v>2264</v>
      </c>
      <c r="D813" s="2" t="s">
        <v>330</v>
      </c>
      <c r="E813" s="2" t="s">
        <v>31</v>
      </c>
      <c r="F813" s="2" t="s">
        <v>15</v>
      </c>
      <c r="G813" s="2" t="s">
        <v>1453</v>
      </c>
      <c r="H813" s="2" t="s">
        <v>699</v>
      </c>
      <c r="I813" s="2" t="str">
        <f>IFERROR(__xludf.DUMMYFUNCTION("GOOGLETRANSLATE(C813,""fr"",""en"")"),"We wonder if this mutual insurance company is not an empty shell: we have many calls for contributions, with commining emails if the payment does not happen quickly enough, but they refused to reimburse me all my care for a year !! !!")</f>
        <v>We wonder if this mutual insurance company is not an empty shell: we have many calls for contributions, with commining emails if the payment does not happen quickly enough, but they refused to reimburse me all my care for a year !! !!</v>
      </c>
    </row>
    <row r="814" ht="15.75" customHeight="1">
      <c r="A814" s="2">
        <v>1.0</v>
      </c>
      <c r="B814" s="2" t="s">
        <v>2265</v>
      </c>
      <c r="C814" s="2" t="s">
        <v>2266</v>
      </c>
      <c r="D814" s="2" t="s">
        <v>45</v>
      </c>
      <c r="E814" s="2" t="s">
        <v>65</v>
      </c>
      <c r="F814" s="2" t="s">
        <v>15</v>
      </c>
      <c r="G814" s="2" t="s">
        <v>2267</v>
      </c>
      <c r="H814" s="2" t="s">
        <v>589</v>
      </c>
      <c r="I814" s="2" t="str">
        <f>IFERROR(__xludf.DUMMYFUNCTION("GOOGLETRANSLATE(C814,""fr"",""en"")"),"Following a conflict with the Macif, I seized the insurance mediator in November 2018 and at the time of writing, I had no return from him while he has 90 days to respond to complaints.
After research and wise advice, I realize that the mediation of insu"&amp;"rance was created in 1964 with the assistance in particular of ...... Macif !! ?? ....
We now understand his silence which betrays his collusion or rather his complicity with the Macif.
Flee the Macif which is excellent for collecting your contributions"&amp;" but deliberately nullissime for the management and especially the compensation of the victims.
")</f>
        <v>Following a conflict with the Macif, I seized the insurance mediator in November 2018 and at the time of writing, I had no return from him while he has 90 days to respond to complaints.
After research and wise advice, I realize that the mediation of insurance was created in 1964 with the assistance in particular of ...... Macif !! ?? ....
We now understand his silence which betrays his collusion or rather his complicity with the Macif.
Flee the Macif which is excellent for collecting your contributions but deliberately nullissime for the management and especially the compensation of the victims.
</v>
      </c>
    </row>
    <row r="815" ht="15.75" customHeight="1">
      <c r="A815" s="2">
        <v>2.0</v>
      </c>
      <c r="B815" s="2" t="s">
        <v>2268</v>
      </c>
      <c r="C815" s="2" t="s">
        <v>2269</v>
      </c>
      <c r="D815" s="2" t="s">
        <v>237</v>
      </c>
      <c r="E815" s="2" t="s">
        <v>14</v>
      </c>
      <c r="F815" s="2" t="s">
        <v>15</v>
      </c>
      <c r="G815" s="2" t="s">
        <v>2270</v>
      </c>
      <c r="H815" s="2" t="s">
        <v>776</v>
      </c>
      <c r="I815" s="2" t="str">
        <f>IFERROR(__xludf.DUMMYFUNCTION("GOOGLETRANSLATE(C815,""fr"",""en"")"),"Hello,
For me, it's a total disappointment of this insurer! Having my mutual insurance for years for years, I decide to take the rest of my insurance at AXA .... almost a year ago. It is from this moment that the nightmare begins. Already, terminations w"&amp;"ith my former insurer were made 3 months after for the car and 8 months after for the home. Still, if it was the only problem, it would be miraculous.
In terms of auto insurance, a ""bug"" intervened in their software. After payment of the 3 months autom"&amp;"atically, my RIB was not taken into account and the samples are not taken. I contact my advice and send it to him by email. A month later, still no samples. This time, I am called, I return my email and I am offered a month of free for the inconvenience c"&amp;"aused. But ... still no sample! I bring my advice and put it back in hand, in the meantime, Axa called me, calling me a liar for the month offered and obviously reminding me that I have not paid, but no sample again and always. .. I am harassed, I start t"&amp;"o lose patience so I am told that my file will be studying more ""high""! Instead of common ground for a work that Axa has done wrong, I receive letters from bailiff !!! It's a shame ! To date and it's been almost a year, the story always ... we don't car"&amp;"e about me!
For the house, the termination made 8 months later, was dated from the current month. My old insurer therefore taken over a month only. Logic. I therefore ask for an insurance certificate in order to be reimbursed but again, I always wait.
"&amp;"
As for the guarantee of accidents of life, it had to be terminated with my former insurer in January but guess what? It was not done! What a surprise !
 In short ! I do not recommend AXA! I have always paid my bills and they treat me as a thief and "&amp;"liar for errors that they have made! It's incredible incompetence!")</f>
        <v>Hello,
For me, it's a total disappointment of this insurer! Having my mutual insurance for years for years, I decide to take the rest of my insurance at AXA .... almost a year ago. It is from this moment that the nightmare begins. Already, terminations with my former insurer were made 3 months after for the car and 8 months after for the home. Still, if it was the only problem, it would be miraculous.
In terms of auto insurance, a "bug" intervened in their software. After payment of the 3 months automatically, my RIB was not taken into account and the samples are not taken. I contact my advice and send it to him by email. A month later, still no samples. This time, I am called, I return my email and I am offered a month of free for the inconvenience caused. But ... still no sample! I bring my advice and put it back in hand, in the meantime, Axa called me, calling me a liar for the month offered and obviously reminding me that I have not paid, but no sample again and always. .. I am harassed, I start to lose patience so I am told that my file will be studying more "high"! Instead of common ground for a work that Axa has done wrong, I receive letters from bailiff !!! It's a shame ! To date and it's been almost a year, the story always ... we don't care about me!
For the house, the termination made 8 months later, was dated from the current month. My old insurer therefore taken over a month only. Logic. I therefore ask for an insurance certificate in order to be reimbursed but again, I always wait.
As for the guarantee of accidents of life, it had to be terminated with my former insurer in January but guess what? It was not done! What a surprise !
 In short ! I do not recommend AXA! I have always paid my bills and they treat me as a thief and liar for errors that they have made! It's incredible incompetence!</v>
      </c>
    </row>
    <row r="816" ht="15.75" customHeight="1">
      <c r="A816" s="2">
        <v>1.0</v>
      </c>
      <c r="B816" s="2" t="s">
        <v>2271</v>
      </c>
      <c r="C816" s="2" t="s">
        <v>2272</v>
      </c>
      <c r="D816" s="2" t="s">
        <v>231</v>
      </c>
      <c r="E816" s="2" t="s">
        <v>232</v>
      </c>
      <c r="F816" s="2" t="s">
        <v>15</v>
      </c>
      <c r="G816" s="2" t="s">
        <v>750</v>
      </c>
      <c r="H816" s="2" t="s">
        <v>751</v>
      </c>
      <c r="I816" s="2" t="str">
        <f>IFERROR(__xludf.DUMMYFUNCTION("GOOGLETRANSLATE(C816,""fr"",""en"")"),"In disability 2nd category since 2013. J was summoned by an expert doctor on April 12, 2017.
I have asked several times or is my file. Each time I have different people with different info. To date I am still waiting for monitoring my file.
I live alone"&amp;" and more sick. If only cardif could put itself a little in the place of the patients who await an answer and above all a regularization of the situation. The risk of losing my house because today I feel abandoned generates problems on my health")</f>
        <v>In disability 2nd category since 2013. J was summoned by an expert doctor on April 12, 2017.
I have asked several times or is my file. Each time I have different people with different info. To date I am still waiting for monitoring my file.
I live alone and more sick. If only cardif could put itself a little in the place of the patients who await an answer and above all a regularization of the situation. The risk of losing my house because today I feel abandoned generates problems on my health</v>
      </c>
    </row>
    <row r="817" ht="15.75" customHeight="1">
      <c r="A817" s="2">
        <v>5.0</v>
      </c>
      <c r="B817" s="2" t="s">
        <v>2273</v>
      </c>
      <c r="C817" s="2" t="s">
        <v>2274</v>
      </c>
      <c r="D817" s="2" t="s">
        <v>50</v>
      </c>
      <c r="E817" s="2" t="s">
        <v>21</v>
      </c>
      <c r="F817" s="2" t="s">
        <v>15</v>
      </c>
      <c r="G817" s="2" t="s">
        <v>42</v>
      </c>
      <c r="H817" s="2" t="s">
        <v>42</v>
      </c>
      <c r="I817" s="2" t="str">
        <f>IFERROR(__xludf.DUMMYFUNCTION("GOOGLETRANSLATE(C817,""fr"",""en"")"),"Very satisfied with the prices The very simple website cordially thank you for all your information I will receive my green card by mail or not")</f>
        <v>Very satisfied with the prices The very simple website cordially thank you for all your information I will receive my green card by mail or not</v>
      </c>
    </row>
    <row r="818" ht="15.75" customHeight="1">
      <c r="A818" s="2">
        <v>2.0</v>
      </c>
      <c r="B818" s="2" t="s">
        <v>2275</v>
      </c>
      <c r="C818" s="2" t="s">
        <v>2276</v>
      </c>
      <c r="D818" s="2" t="s">
        <v>45</v>
      </c>
      <c r="E818" s="2" t="s">
        <v>14</v>
      </c>
      <c r="F818" s="2" t="s">
        <v>15</v>
      </c>
      <c r="G818" s="2" t="s">
        <v>2277</v>
      </c>
      <c r="H818" s="2" t="s">
        <v>861</v>
      </c>
      <c r="I818" s="2" t="str">
        <f>IFERROR(__xludf.DUMMYFUNCTION("GOOGLETRANSLATE(C818,""fr"",""en"")"),"Macif an insurer who does not guarantee anything I had an act of vandalism on my vehicle I was refused compensation when I was assured all risk so for me Maci is a dummy insurer")</f>
        <v>Macif an insurer who does not guarantee anything I had an act of vandalism on my vehicle I was refused compensation when I was assured all risk so for me Maci is a dummy insurer</v>
      </c>
    </row>
    <row r="819" ht="15.75" customHeight="1">
      <c r="A819" s="2">
        <v>3.0</v>
      </c>
      <c r="B819" s="2" t="s">
        <v>2278</v>
      </c>
      <c r="C819" s="2" t="s">
        <v>2279</v>
      </c>
      <c r="D819" s="2" t="s">
        <v>13</v>
      </c>
      <c r="E819" s="2" t="s">
        <v>14</v>
      </c>
      <c r="F819" s="2" t="s">
        <v>15</v>
      </c>
      <c r="G819" s="2" t="s">
        <v>1720</v>
      </c>
      <c r="H819" s="2" t="s">
        <v>27</v>
      </c>
      <c r="I819" s="2" t="str">
        <f>IFERROR(__xludf.DUMMYFUNCTION("GOOGLETRANSLATE(C819,""fr"",""en"")"),"May be supported by the expert, by insurance, difficulty in contact with the Auto contract service. Cannot call a telephone number on 0970808001, because it answers me to call this same number.")</f>
        <v>May be supported by the expert, by insurance, difficulty in contact with the Auto contract service. Cannot call a telephone number on 0970808001, because it answers me to call this same number.</v>
      </c>
    </row>
    <row r="820" ht="15.75" customHeight="1">
      <c r="A820" s="2">
        <v>2.0</v>
      </c>
      <c r="B820" s="2" t="s">
        <v>2280</v>
      </c>
      <c r="C820" s="2" t="s">
        <v>2281</v>
      </c>
      <c r="D820" s="2" t="s">
        <v>315</v>
      </c>
      <c r="E820" s="2" t="s">
        <v>55</v>
      </c>
      <c r="F820" s="2" t="s">
        <v>15</v>
      </c>
      <c r="G820" s="2" t="s">
        <v>805</v>
      </c>
      <c r="H820" s="2" t="s">
        <v>52</v>
      </c>
      <c r="I820" s="2" t="str">
        <f>IFERROR(__xludf.DUMMYFUNCTION("GOOGLETRANSLATE(C820,""fr"",""en"")"),"As with many service of Société Générale you must now manage most of the time!
What interest then to subscribe to you?
I have been finding myself since Saturday with a lock problem following an attempted theft by break -in.
To date, I have always been "&amp;"found to me, that is to say that we are during a vacation period so no locksmith is available, we politely tell you to get out of you. So in addition to the moral prejudice of the flight attempt, I have to do with the locksmith's holidays! Damn I did not "&amp;"undergo a burglary at the right time! Thank you Sogessur!
Why do I pay insurance ???")</f>
        <v>As with many service of Société Générale you must now manage most of the time!
What interest then to subscribe to you?
I have been finding myself since Saturday with a lock problem following an attempted theft by break -in.
To date, I have always been found to me, that is to say that we are during a vacation period so no locksmith is available, we politely tell you to get out of you. So in addition to the moral prejudice of the flight attempt, I have to do with the locksmith's holidays! Damn I did not undergo a burglary at the right time! Thank you Sogessur!
Why do I pay insurance ???</v>
      </c>
    </row>
    <row r="821" ht="15.75" customHeight="1">
      <c r="A821" s="2">
        <v>4.0</v>
      </c>
      <c r="B821" s="2" t="s">
        <v>2282</v>
      </c>
      <c r="C821" s="2" t="s">
        <v>2283</v>
      </c>
      <c r="D821" s="2" t="s">
        <v>832</v>
      </c>
      <c r="E821" s="2" t="s">
        <v>232</v>
      </c>
      <c r="F821" s="2" t="s">
        <v>15</v>
      </c>
      <c r="G821" s="2" t="s">
        <v>153</v>
      </c>
      <c r="H821" s="2" t="s">
        <v>33</v>
      </c>
      <c r="I821" s="2" t="str">
        <f>IFERROR(__xludf.DUMMYFUNCTION("GOOGLETRANSLATE(C821,""fr"",""en"")"),"Simple and practical, the price is interesting
Team responsiveness.
The interest of the 100% digital
The completeness of the information is done simply and quickly")</f>
        <v>Simple and practical, the price is interesting
Team responsiveness.
The interest of the 100% digital
The completeness of the information is done simply and quickly</v>
      </c>
    </row>
    <row r="822" ht="15.75" customHeight="1">
      <c r="A822" s="2">
        <v>5.0</v>
      </c>
      <c r="B822" s="2" t="s">
        <v>2284</v>
      </c>
      <c r="C822" s="2" t="s">
        <v>2285</v>
      </c>
      <c r="D822" s="2" t="s">
        <v>92</v>
      </c>
      <c r="E822" s="2" t="s">
        <v>31</v>
      </c>
      <c r="F822" s="2" t="s">
        <v>15</v>
      </c>
      <c r="G822" s="2" t="s">
        <v>259</v>
      </c>
      <c r="H822" s="2" t="s">
        <v>169</v>
      </c>
      <c r="I822" s="2" t="str">
        <f>IFERROR(__xludf.DUMMYFUNCTION("GOOGLETRANSLATE(C822,""fr"",""en"")"),"Very satisfied good price thank you very quickly to make my quote the contract said done again thank you for the price thank you very much m butcher I'm waiting for man card")</f>
        <v>Very satisfied good price thank you very quickly to make my quote the contract said done again thank you for the price thank you very much m butcher I'm waiting for man card</v>
      </c>
    </row>
    <row r="823" ht="15.75" customHeight="1">
      <c r="A823" s="2">
        <v>5.0</v>
      </c>
      <c r="B823" s="2" t="s">
        <v>2286</v>
      </c>
      <c r="C823" s="2" t="s">
        <v>2287</v>
      </c>
      <c r="D823" s="2" t="s">
        <v>50</v>
      </c>
      <c r="E823" s="2" t="s">
        <v>21</v>
      </c>
      <c r="F823" s="2" t="s">
        <v>15</v>
      </c>
      <c r="G823" s="2" t="s">
        <v>842</v>
      </c>
      <c r="H823" s="2" t="s">
        <v>190</v>
      </c>
      <c r="I823" s="2" t="str">
        <f>IFERROR(__xludf.DUMMYFUNCTION("GOOGLETRANSLATE(C823,""fr"",""en"")"),"Very satisfied with the online service. Friendly and simple. The price is very correct. I recommend. More than to make beautiful walks on my new machine !!")</f>
        <v>Very satisfied with the online service. Friendly and simple. The price is very correct. I recommend. More than to make beautiful walks on my new machine !!</v>
      </c>
    </row>
    <row r="824" ht="15.75" customHeight="1">
      <c r="A824" s="2">
        <v>1.0</v>
      </c>
      <c r="B824" s="2" t="s">
        <v>2288</v>
      </c>
      <c r="C824" s="2" t="s">
        <v>2289</v>
      </c>
      <c r="D824" s="2" t="s">
        <v>174</v>
      </c>
      <c r="E824" s="2" t="s">
        <v>31</v>
      </c>
      <c r="F824" s="2" t="s">
        <v>15</v>
      </c>
      <c r="G824" s="2" t="s">
        <v>1068</v>
      </c>
      <c r="H824" s="2" t="s">
        <v>190</v>
      </c>
      <c r="I824" s="2" t="str">
        <f>IFERROR(__xludf.DUMMYFUNCTION("GOOGLETRANSLATE(C824,""fr"",""en"")"),"A shame! Run away! Run! Everything is fine until the day you want to leave the mutual for a mandatory mutual! Sending a registered mail signed by the employer and the mutual insurance company simply decides to refuse the termination! After that it becomes"&amp;" horror! Mail on mail etc! Sick people!!!!!!!!!!! Especially since I had a lady on the phone who had told me that everything was ok .....")</f>
        <v>A shame! Run away! Run! Everything is fine until the day you want to leave the mutual for a mandatory mutual! Sending a registered mail signed by the employer and the mutual insurance company simply decides to refuse the termination! After that it becomes horror! Mail on mail etc! Sick people!!!!!!!!!!! Especially since I had a lady on the phone who had told me that everything was ok .....</v>
      </c>
    </row>
    <row r="825" ht="15.75" customHeight="1">
      <c r="A825" s="2">
        <v>5.0</v>
      </c>
      <c r="B825" s="2" t="s">
        <v>2290</v>
      </c>
      <c r="C825" s="2" t="s">
        <v>2291</v>
      </c>
      <c r="D825" s="2" t="s">
        <v>13</v>
      </c>
      <c r="E825" s="2" t="s">
        <v>14</v>
      </c>
      <c r="F825" s="2" t="s">
        <v>15</v>
      </c>
      <c r="G825" s="2" t="s">
        <v>592</v>
      </c>
      <c r="H825" s="2" t="s">
        <v>61</v>
      </c>
      <c r="I825" s="2" t="str">
        <f>IFERROR(__xludf.DUMMYFUNCTION("GOOGLETRANSLATE(C825,""fr"",""en"")"),"Nothing to say, am satisfied with the service .. although a decrease
 Contribution should be envisaged. automatically
After a certain period of loyalty")</f>
        <v>Nothing to say, am satisfied with the service .. although a decrease
 Contribution should be envisaged. automatically
After a certain period of loyalty</v>
      </c>
    </row>
    <row r="826" ht="15.75" customHeight="1">
      <c r="A826" s="2">
        <v>1.0</v>
      </c>
      <c r="B826" s="2" t="s">
        <v>2292</v>
      </c>
      <c r="C826" s="2" t="s">
        <v>2293</v>
      </c>
      <c r="D826" s="2" t="s">
        <v>231</v>
      </c>
      <c r="E826" s="2" t="s">
        <v>232</v>
      </c>
      <c r="F826" s="2" t="s">
        <v>15</v>
      </c>
      <c r="G826" s="2" t="s">
        <v>2294</v>
      </c>
      <c r="H826" s="2" t="s">
        <v>213</v>
      </c>
      <c r="I826" s="2" t="str">
        <f>IFERROR(__xludf.DUMMYFUNCTION("GOOGLETRANSLATE(C826,""fr"",""en"")"),"Insurance should have taken care of my loan after 3 months of sick leave. They send the file, that the fourth month, with questions, really limits to have the attending physician. The treatment of people does not look at them! Time to return this file, wh"&amp;"ether it is processed, it will be 5 months! When you earn 700 euros D IJSS and that you get 135 euros of loan, when it should have been taken care of for 2 months, it is limited. But this allows the bank to take over on the costs, by the way. From here, t"&amp;"hat they move I would probably be banned banking, because my loan, which was supposed to be modular is no longer! I would undoubtedly have resumed the job, before this insurance worked. Obviously, impossible to reach them directly. You have to go through "&amp;"your banker.")</f>
        <v>Insurance should have taken care of my loan after 3 months of sick leave. They send the file, that the fourth month, with questions, really limits to have the attending physician. The treatment of people does not look at them! Time to return this file, whether it is processed, it will be 5 months! When you earn 700 euros D IJSS and that you get 135 euros of loan, when it should have been taken care of for 2 months, it is limited. But this allows the bank to take over on the costs, by the way. From here, that they move I would probably be banned banking, because my loan, which was supposed to be modular is no longer! I would undoubtedly have resumed the job, before this insurance worked. Obviously, impossible to reach them directly. You have to go through your banker.</v>
      </c>
    </row>
    <row r="827" ht="15.75" customHeight="1">
      <c r="A827" s="2">
        <v>4.0</v>
      </c>
      <c r="B827" s="2" t="s">
        <v>2295</v>
      </c>
      <c r="C827" s="2" t="s">
        <v>2296</v>
      </c>
      <c r="D827" s="2" t="s">
        <v>13</v>
      </c>
      <c r="E827" s="2" t="s">
        <v>14</v>
      </c>
      <c r="F827" s="2" t="s">
        <v>15</v>
      </c>
      <c r="G827" s="2" t="s">
        <v>530</v>
      </c>
      <c r="H827" s="2" t="s">
        <v>42</v>
      </c>
      <c r="I827" s="2" t="str">
        <f>IFERROR(__xludf.DUMMYFUNCTION("GOOGLETRANSLATE(C827,""fr"",""en"")"),"I am satisfied with the service,
Simple and practical
Prices suit me,
I have received your proposal, service information.
Thank you")</f>
        <v>I am satisfied with the service,
Simple and practical
Prices suit me,
I have received your proposal, service information.
Thank you</v>
      </c>
    </row>
    <row r="828" ht="15.75" customHeight="1">
      <c r="A828" s="2">
        <v>5.0</v>
      </c>
      <c r="B828" s="2" t="s">
        <v>2297</v>
      </c>
      <c r="C828" s="2" t="s">
        <v>2298</v>
      </c>
      <c r="D828" s="2" t="s">
        <v>87</v>
      </c>
      <c r="E828" s="2" t="s">
        <v>14</v>
      </c>
      <c r="F828" s="2" t="s">
        <v>15</v>
      </c>
      <c r="G828" s="2" t="s">
        <v>308</v>
      </c>
      <c r="H828" s="2" t="s">
        <v>52</v>
      </c>
      <c r="I828" s="2" t="str">
        <f>IFERROR(__xludf.DUMMYFUNCTION("GOOGLETRANSLATE(C828,""fr"",""en"")"),"Customer service is attentive to the insured, very responsive. The insurance price is really interesting.
Easy to understand and manage remotely.")</f>
        <v>Customer service is attentive to the insured, very responsive. The insurance price is really interesting.
Easy to understand and manage remotely.</v>
      </c>
    </row>
    <row r="829" ht="15.75" customHeight="1">
      <c r="A829" s="2">
        <v>4.0</v>
      </c>
      <c r="B829" s="2" t="s">
        <v>2299</v>
      </c>
      <c r="C829" s="2" t="s">
        <v>2300</v>
      </c>
      <c r="D829" s="2" t="s">
        <v>87</v>
      </c>
      <c r="E829" s="2" t="s">
        <v>14</v>
      </c>
      <c r="F829" s="2" t="s">
        <v>15</v>
      </c>
      <c r="G829" s="2" t="s">
        <v>1323</v>
      </c>
      <c r="H829" s="2" t="s">
        <v>27</v>
      </c>
      <c r="I829" s="2" t="str">
        <f>IFERROR(__xludf.DUMMYFUNCTION("GOOGLETRANSLATE(C829,""fr"",""en"")"),"Satisfied for the moment of your contract which I hope, depending on the good driving under the wheel will reduce the contributions which, in the end will be titically satisfactory.")</f>
        <v>Satisfied for the moment of your contract which I hope, depending on the good driving under the wheel will reduce the contributions which, in the end will be titically satisfactory.</v>
      </c>
    </row>
    <row r="830" ht="15.75" customHeight="1">
      <c r="A830" s="2">
        <v>5.0</v>
      </c>
      <c r="B830" s="2" t="s">
        <v>2301</v>
      </c>
      <c r="C830" s="2" t="s">
        <v>2302</v>
      </c>
      <c r="D830" s="2" t="s">
        <v>13</v>
      </c>
      <c r="E830" s="2" t="s">
        <v>14</v>
      </c>
      <c r="F830" s="2" t="s">
        <v>15</v>
      </c>
      <c r="G830" s="2" t="s">
        <v>52</v>
      </c>
      <c r="H830" s="2" t="s">
        <v>52</v>
      </c>
      <c r="I830" s="2" t="str">
        <f>IFERROR(__xludf.DUMMYFUNCTION("GOOGLETRANSLATE(C830,""fr"",""en"")"),"Simple, practical, I am at my first contract with you and as long as I have no problem, difficult to give my opinion on compliance with the rules subscribed")</f>
        <v>Simple, practical, I am at my first contract with you and as long as I have no problem, difficult to give my opinion on compliance with the rules subscribed</v>
      </c>
    </row>
    <row r="831" ht="15.75" customHeight="1">
      <c r="A831" s="2">
        <v>4.0</v>
      </c>
      <c r="B831" s="2" t="s">
        <v>2303</v>
      </c>
      <c r="C831" s="2" t="s">
        <v>2304</v>
      </c>
      <c r="D831" s="2" t="s">
        <v>13</v>
      </c>
      <c r="E831" s="2" t="s">
        <v>14</v>
      </c>
      <c r="F831" s="2" t="s">
        <v>15</v>
      </c>
      <c r="G831" s="2" t="s">
        <v>1057</v>
      </c>
      <c r="H831" s="2" t="s">
        <v>61</v>
      </c>
      <c r="I831" s="2" t="str">
        <f>IFERROR(__xludf.DUMMYFUNCTION("GOOGLETRANSLATE(C831,""fr"",""en"")"),"Very well.
Too bad there is a franchise for the ice of ice. The prices are good, the phone advised is very professional. To recommend.")</f>
        <v>Very well.
Too bad there is a franchise for the ice of ice. The prices are good, the phone advised is very professional. To recommend.</v>
      </c>
    </row>
    <row r="832" ht="15.75" customHeight="1">
      <c r="A832" s="2">
        <v>4.0</v>
      </c>
      <c r="B832" s="2" t="s">
        <v>2305</v>
      </c>
      <c r="C832" s="2" t="s">
        <v>2306</v>
      </c>
      <c r="D832" s="2" t="s">
        <v>13</v>
      </c>
      <c r="E832" s="2" t="s">
        <v>14</v>
      </c>
      <c r="F832" s="2" t="s">
        <v>15</v>
      </c>
      <c r="G832" s="2" t="s">
        <v>912</v>
      </c>
      <c r="H832" s="2" t="s">
        <v>61</v>
      </c>
      <c r="I832" s="2" t="str">
        <f>IFERROR(__xludf.DUMMYFUNCTION("GOOGLETRANSLATE(C832,""fr"",""en"")"),"I am satisfied with my insurance at Direct Insurance.
The prices are attractive.
I appreciate the responsiveness and sympathy of the agents of this insurance.")</f>
        <v>I am satisfied with my insurance at Direct Insurance.
The prices are attractive.
I appreciate the responsiveness and sympathy of the agents of this insurance.</v>
      </c>
    </row>
    <row r="833" ht="15.75" customHeight="1">
      <c r="A833" s="2">
        <v>1.0</v>
      </c>
      <c r="B833" s="2" t="s">
        <v>2307</v>
      </c>
      <c r="C833" s="2" t="s">
        <v>2308</v>
      </c>
      <c r="D833" s="2" t="s">
        <v>156</v>
      </c>
      <c r="E833" s="2" t="s">
        <v>31</v>
      </c>
      <c r="F833" s="2" t="s">
        <v>15</v>
      </c>
      <c r="G833" s="2" t="s">
        <v>2309</v>
      </c>
      <c r="H833" s="2" t="s">
        <v>186</v>
      </c>
      <c r="I833" s="2" t="str">
        <f>IFERROR(__xludf.DUMMYFUNCTION("GOOGLETRANSLATE(C833,""fr"",""en"")"),"Hello, it's been 2 months since I took a health coverage contract at Mercer personally after ten years with a business contract. I contacted them a dozen times by phone and email. They are unable to set up my reimbursements because the old contract does a"&amp;" priori duplicate. I explained my case on numerous occasions, I am promised that the necessary will be done. And it is not. Do not take this mutual that does not know what ""customer service"" means. I will terminate them at the first deadline.")</f>
        <v>Hello, it's been 2 months since I took a health coverage contract at Mercer personally after ten years with a business contract. I contacted them a dozen times by phone and email. They are unable to set up my reimbursements because the old contract does a priori duplicate. I explained my case on numerous occasions, I am promised that the necessary will be done. And it is not. Do not take this mutual that does not know what "customer service" means. I will terminate them at the first deadline.</v>
      </c>
    </row>
    <row r="834" ht="15.75" customHeight="1">
      <c r="A834" s="2">
        <v>4.0</v>
      </c>
      <c r="B834" s="2" t="s">
        <v>2310</v>
      </c>
      <c r="C834" s="2" t="s">
        <v>2311</v>
      </c>
      <c r="D834" s="2" t="s">
        <v>70</v>
      </c>
      <c r="E834" s="2" t="s">
        <v>31</v>
      </c>
      <c r="F834" s="2" t="s">
        <v>15</v>
      </c>
      <c r="G834" s="2" t="s">
        <v>2312</v>
      </c>
      <c r="H834" s="2" t="s">
        <v>718</v>
      </c>
      <c r="I834" s="2" t="str">
        <f>IFERROR(__xludf.DUMMYFUNCTION("GOOGLETRANSLATE(C834,""fr"",""en"")"),"I am assured at Néoliane for health following the advice of my broker who takes care of my mutual because the rest is taken care of by my bank. I did not have a lot of interactions with Néoliane because the reimbursements are made normally now when I need"&amp;"ed, the management center supported me directly.")</f>
        <v>I am assured at Néoliane for health following the advice of my broker who takes care of my mutual because the rest is taken care of by my bank. I did not have a lot of interactions with Néoliane because the reimbursements are made normally now when I needed, the management center supported me directly.</v>
      </c>
    </row>
    <row r="835" ht="15.75" customHeight="1">
      <c r="A835" s="2">
        <v>3.0</v>
      </c>
      <c r="B835" s="2" t="s">
        <v>2313</v>
      </c>
      <c r="C835" s="2" t="s">
        <v>2314</v>
      </c>
      <c r="D835" s="2" t="s">
        <v>13</v>
      </c>
      <c r="E835" s="2" t="s">
        <v>14</v>
      </c>
      <c r="F835" s="2" t="s">
        <v>15</v>
      </c>
      <c r="G835" s="2" t="s">
        <v>2315</v>
      </c>
      <c r="H835" s="2" t="s">
        <v>190</v>
      </c>
      <c r="I835" s="2" t="str">
        <f>IFERROR(__xludf.DUMMYFUNCTION("GOOGLETRANSLATE(C835,""fr"",""en"")"),"Very effective when you are in a hurry excellent but a little expensive but good given the weather it's not bad")</f>
        <v>Very effective when you are in a hurry excellent but a little expensive but good given the weather it's not bad</v>
      </c>
    </row>
    <row r="836" ht="15.75" customHeight="1">
      <c r="A836" s="2">
        <v>2.0</v>
      </c>
      <c r="B836" s="2" t="s">
        <v>2316</v>
      </c>
      <c r="C836" s="2" t="s">
        <v>2317</v>
      </c>
      <c r="D836" s="2" t="s">
        <v>948</v>
      </c>
      <c r="E836" s="2" t="s">
        <v>65</v>
      </c>
      <c r="F836" s="2" t="s">
        <v>15</v>
      </c>
      <c r="G836" s="2" t="s">
        <v>2318</v>
      </c>
      <c r="H836" s="2" t="s">
        <v>493</v>
      </c>
      <c r="I836" s="2" t="str">
        <f>IFERROR(__xludf.DUMMYFUNCTION("GOOGLETRANSLATE(C836,""fr"",""en"")"),"How can insurance that receive a recommended for termination, can question the termination? Angling to see that with a recommended it is not taken into account, and suddenly I take a year of subscription. To ban")</f>
        <v>How can insurance that receive a recommended for termination, can question the termination? Angling to see that with a recommended it is not taken into account, and suddenly I take a year of subscription. To ban</v>
      </c>
    </row>
    <row r="837" ht="15.75" customHeight="1">
      <c r="A837" s="2">
        <v>3.0</v>
      </c>
      <c r="B837" s="2" t="s">
        <v>2319</v>
      </c>
      <c r="C837" s="2" t="s">
        <v>2320</v>
      </c>
      <c r="D837" s="2" t="s">
        <v>13</v>
      </c>
      <c r="E837" s="2" t="s">
        <v>14</v>
      </c>
      <c r="F837" s="2" t="s">
        <v>15</v>
      </c>
      <c r="G837" s="2" t="s">
        <v>182</v>
      </c>
      <c r="H837" s="2" t="s">
        <v>42</v>
      </c>
      <c r="I837" s="2" t="str">
        <f>IFERROR(__xludf.DUMMYFUNCTION("GOOGLETRANSLATE(C837,""fr"",""en"")"),"Thank you for the ease of subscription. .. I just want to know how to cancel my insurance with your colleague. Are I doing it or do you take care of it ??")</f>
        <v>Thank you for the ease of subscription. .. I just want to know how to cancel my insurance with your colleague. Are I doing it or do you take care of it ??</v>
      </c>
    </row>
    <row r="838" ht="15.75" customHeight="1">
      <c r="A838" s="2">
        <v>1.0</v>
      </c>
      <c r="B838" s="2" t="s">
        <v>2321</v>
      </c>
      <c r="C838" s="2" t="s">
        <v>2322</v>
      </c>
      <c r="D838" s="2" t="s">
        <v>74</v>
      </c>
      <c r="E838" s="2" t="s">
        <v>14</v>
      </c>
      <c r="F838" s="2" t="s">
        <v>15</v>
      </c>
      <c r="G838" s="2" t="s">
        <v>784</v>
      </c>
      <c r="H838" s="2" t="s">
        <v>195</v>
      </c>
      <c r="I838" s="2" t="str">
        <f>IFERROR(__xludf.DUMMYFUNCTION("GOOGLETRANSLATE(C838,""fr"",""en"")"),"I have been insured for more than 2 years at GMF. I call them to ensure a car that makes 120hp DIN. L.Assurance refuses me pretending that the car is considered sporty. My bonus being 0.90, you had to have 0.80 to be eligible. I have never had any acciden"&amp;"ts. I consider being insulted because with shame I will be able to the seller who claims me a certificate. If I called myself Kilian Mbappé with 6 months of license, red carpet: only here, I have 32 years of driving license. I hardly dare to buy a castle."&amp;" So, I will end my current car contract as well as my residence. GMF, never again .... 1 star because you can't put 0.")</f>
        <v>I have been insured for more than 2 years at GMF. I call them to ensure a car that makes 120hp DIN. L.Assurance refuses me pretending that the car is considered sporty. My bonus being 0.90, you had to have 0.80 to be eligible. I have never had any accidents. I consider being insulted because with shame I will be able to the seller who claims me a certificate. If I called myself Kilian Mbappé with 6 months of license, red carpet: only here, I have 32 years of driving license. I hardly dare to buy a castle. So, I will end my current car contract as well as my residence. GMF, never again .... 1 star because you can't put 0.</v>
      </c>
    </row>
    <row r="839" ht="15.75" customHeight="1">
      <c r="A839" s="2">
        <v>5.0</v>
      </c>
      <c r="B839" s="2" t="s">
        <v>2323</v>
      </c>
      <c r="C839" s="2" t="s">
        <v>2324</v>
      </c>
      <c r="D839" s="2" t="s">
        <v>87</v>
      </c>
      <c r="E839" s="2" t="s">
        <v>14</v>
      </c>
      <c r="F839" s="2" t="s">
        <v>15</v>
      </c>
      <c r="G839" s="2" t="s">
        <v>2325</v>
      </c>
      <c r="H839" s="2" t="s">
        <v>150</v>
      </c>
      <c r="I839" s="2" t="str">
        <f>IFERROR(__xludf.DUMMYFUNCTION("GOOGLETRANSLATE(C839,""fr"",""en"")"),"Very good value for money. Easily and attentive advisers, pleasant and met all my expectations. I recommend this insurance without hesitation.")</f>
        <v>Very good value for money. Easily and attentive advisers, pleasant and met all my expectations. I recommend this insurance without hesitation.</v>
      </c>
    </row>
    <row r="840" ht="15.75" customHeight="1">
      <c r="A840" s="2">
        <v>5.0</v>
      </c>
      <c r="B840" s="2" t="s">
        <v>2326</v>
      </c>
      <c r="C840" s="2" t="s">
        <v>2327</v>
      </c>
      <c r="D840" s="2" t="s">
        <v>87</v>
      </c>
      <c r="E840" s="2" t="s">
        <v>14</v>
      </c>
      <c r="F840" s="2" t="s">
        <v>15</v>
      </c>
      <c r="G840" s="2" t="s">
        <v>1570</v>
      </c>
      <c r="H840" s="2" t="s">
        <v>169</v>
      </c>
      <c r="I840" s="2" t="str">
        <f>IFERROR(__xludf.DUMMYFUNCTION("GOOGLETRANSLATE(C840,""fr"",""en"")"),"I am satisfied with the service, the prices suit me, simple and practical.
The waiting time is fairly fast and the search responses are clear and precise.")</f>
        <v>I am satisfied with the service, the prices suit me, simple and practical.
The waiting time is fairly fast and the search responses are clear and precise.</v>
      </c>
    </row>
    <row r="841" ht="15.75" customHeight="1">
      <c r="A841" s="2">
        <v>4.0</v>
      </c>
      <c r="B841" s="2" t="s">
        <v>2328</v>
      </c>
      <c r="C841" s="2" t="s">
        <v>2329</v>
      </c>
      <c r="D841" s="2" t="s">
        <v>87</v>
      </c>
      <c r="E841" s="2" t="s">
        <v>14</v>
      </c>
      <c r="F841" s="2" t="s">
        <v>15</v>
      </c>
      <c r="G841" s="2" t="s">
        <v>1798</v>
      </c>
      <c r="H841" s="2" t="s">
        <v>282</v>
      </c>
      <c r="I841" s="2" t="str">
        <f>IFERROR(__xludf.DUMMYFUNCTION("GOOGLETRANSLATE(C841,""fr"",""en"")"),"Very well the relationship on the phone The person is competent she informed me that was quick I am satisfied with the price and the explanations")</f>
        <v>Very well the relationship on the phone The person is competent she informed me that was quick I am satisfied with the price and the explanations</v>
      </c>
    </row>
    <row r="842" ht="15.75" customHeight="1">
      <c r="A842" s="2">
        <v>4.0</v>
      </c>
      <c r="B842" s="2" t="s">
        <v>2330</v>
      </c>
      <c r="C842" s="2" t="s">
        <v>2331</v>
      </c>
      <c r="D842" s="2" t="s">
        <v>13</v>
      </c>
      <c r="E842" s="2" t="s">
        <v>14</v>
      </c>
      <c r="F842" s="2" t="s">
        <v>15</v>
      </c>
      <c r="G842" s="2" t="s">
        <v>1896</v>
      </c>
      <c r="H842" s="2" t="s">
        <v>42</v>
      </c>
      <c r="I842" s="2" t="str">
        <f>IFERROR(__xludf.DUMMYFUNCTION("GOOGLETRANSLATE(C842,""fr"",""en"")"),"High prices but I already have a contract with you. So I don't want another insurer. I have home insurance to do very soon. In a week or two. Make an effort at the price level please")</f>
        <v>High prices but I already have a contract with you. So I don't want another insurer. I have home insurance to do very soon. In a week or two. Make an effort at the price level please</v>
      </c>
    </row>
    <row r="843" ht="15.75" customHeight="1">
      <c r="A843" s="2">
        <v>2.0</v>
      </c>
      <c r="B843" s="2" t="s">
        <v>2332</v>
      </c>
      <c r="C843" s="2" t="s">
        <v>2333</v>
      </c>
      <c r="D843" s="2" t="s">
        <v>45</v>
      </c>
      <c r="E843" s="2" t="s">
        <v>14</v>
      </c>
      <c r="F843" s="2" t="s">
        <v>15</v>
      </c>
      <c r="G843" s="2" t="s">
        <v>2334</v>
      </c>
      <c r="H843" s="2" t="s">
        <v>450</v>
      </c>
      <c r="I843" s="2" t="str">
        <f>IFERROR(__xludf.DUMMYFUNCTION("GOOGLETRANSLATE(C843,""fr"",""en"")"),"Invents new contracts when we only agreed to receive a quote to study the proposal.
We force the hand for the guarantee damage (R002 something like that.)")</f>
        <v>Invents new contracts when we only agreed to receive a quote to study the proposal.
We force the hand for the guarantee damage (R002 something like that.)</v>
      </c>
    </row>
    <row r="844" ht="15.75" customHeight="1">
      <c r="A844" s="2">
        <v>4.0</v>
      </c>
      <c r="B844" s="2" t="s">
        <v>2335</v>
      </c>
      <c r="C844" s="2" t="s">
        <v>2336</v>
      </c>
      <c r="D844" s="2" t="s">
        <v>334</v>
      </c>
      <c r="E844" s="2" t="s">
        <v>31</v>
      </c>
      <c r="F844" s="2" t="s">
        <v>15</v>
      </c>
      <c r="G844" s="2" t="s">
        <v>861</v>
      </c>
      <c r="H844" s="2" t="s">
        <v>861</v>
      </c>
      <c r="I844" s="2" t="str">
        <f>IFERROR(__xludf.DUMMYFUNCTION("GOOGLETRANSLATE(C844,""fr"",""en"")"),"very satisfied very insecure
 Thank you very much several contracts for friends")</f>
        <v>very satisfied very insecure
 Thank you very much several contracts for friends</v>
      </c>
    </row>
    <row r="845" ht="15.75" customHeight="1">
      <c r="A845" s="2">
        <v>1.0</v>
      </c>
      <c r="B845" s="2" t="s">
        <v>2337</v>
      </c>
      <c r="C845" s="2" t="s">
        <v>2338</v>
      </c>
      <c r="D845" s="2" t="s">
        <v>50</v>
      </c>
      <c r="E845" s="2" t="s">
        <v>21</v>
      </c>
      <c r="F845" s="2" t="s">
        <v>15</v>
      </c>
      <c r="G845" s="2" t="s">
        <v>372</v>
      </c>
      <c r="H845" s="2" t="s">
        <v>42</v>
      </c>
      <c r="I845" s="2" t="str">
        <f>IFERROR(__xludf.DUMMYFUNCTION("GOOGLETRANSLATE(C845,""fr"",""en"")"),"I find the excessive rates compare to my insurance for the Burgman 125, there is a price difference of € 50 and I chose the smallest formula you offer me")</f>
        <v>I find the excessive rates compare to my insurance for the Burgman 125, there is a price difference of € 50 and I chose the smallest formula you offer me</v>
      </c>
    </row>
    <row r="846" ht="15.75" customHeight="1">
      <c r="A846" s="2">
        <v>1.0</v>
      </c>
      <c r="B846" s="2" t="s">
        <v>2339</v>
      </c>
      <c r="C846" s="2" t="s">
        <v>2340</v>
      </c>
      <c r="D846" s="2" t="s">
        <v>45</v>
      </c>
      <c r="E846" s="2" t="s">
        <v>14</v>
      </c>
      <c r="F846" s="2" t="s">
        <v>15</v>
      </c>
      <c r="G846" s="2" t="s">
        <v>1890</v>
      </c>
      <c r="H846" s="2" t="s">
        <v>61</v>
      </c>
      <c r="I846" s="2" t="str">
        <f>IFERROR(__xludf.DUMMYFUNCTION("GOOGLETRANSLATE(C846,""fr"",""en"")"),"Assures for several years at the Macif, early 2020 I had a fireplace, I will not go into detail, but a hassle to be compensated by this insurance, between the expert who does not do his job and the Macif who Looking for by all means to compensate you for "&amp;"the bare minimum, I do not imagine if my house would have burned entirely, I fled this insurance very quickly,")</f>
        <v>Assures for several years at the Macif, early 2020 I had a fireplace, I will not go into detail, but a hassle to be compensated by this insurance, between the expert who does not do his job and the Macif who Looking for by all means to compensate you for the bare minimum, I do not imagine if my house would have burned entirely, I fled this insurance very quickly,</v>
      </c>
    </row>
    <row r="847" ht="15.75" customHeight="1">
      <c r="A847" s="2">
        <v>4.0</v>
      </c>
      <c r="B847" s="2" t="s">
        <v>2341</v>
      </c>
      <c r="C847" s="2" t="s">
        <v>2342</v>
      </c>
      <c r="D847" s="2" t="s">
        <v>87</v>
      </c>
      <c r="E847" s="2" t="s">
        <v>14</v>
      </c>
      <c r="F847" s="2" t="s">
        <v>15</v>
      </c>
      <c r="G847" s="2" t="s">
        <v>1436</v>
      </c>
      <c r="H847" s="2" t="s">
        <v>110</v>
      </c>
      <c r="I847" s="2" t="str">
        <f>IFERROR(__xludf.DUMMYFUNCTION("GOOGLETRANSLATE(C847,""fr"",""en"")"),"Simple and practical, very good advisor, you just need assistance in the third -party packs. But I really recommend. I was able to ensure my vehicle very simply.")</f>
        <v>Simple and practical, very good advisor, you just need assistance in the third -party packs. But I really recommend. I was able to ensure my vehicle very simply.</v>
      </c>
    </row>
    <row r="848" ht="15.75" customHeight="1">
      <c r="A848" s="2">
        <v>1.0</v>
      </c>
      <c r="B848" s="2" t="s">
        <v>2343</v>
      </c>
      <c r="C848" s="2" t="s">
        <v>2344</v>
      </c>
      <c r="D848" s="2" t="s">
        <v>74</v>
      </c>
      <c r="E848" s="2" t="s">
        <v>55</v>
      </c>
      <c r="F848" s="2" t="s">
        <v>15</v>
      </c>
      <c r="G848" s="2" t="s">
        <v>439</v>
      </c>
      <c r="H848" s="2" t="s">
        <v>27</v>
      </c>
      <c r="I848" s="2" t="str">
        <f>IFERROR(__xludf.DUMMYFUNCTION("GOOGLETRANSLATE(C848,""fr"",""en"")"),"Hello I have paid my insurance for 10 years.
However on May 22, 2020 I learned that all my things were stolen. I was not in France
Following my given documents (invoices ...) and a complaint to the prosecutor they ask me for documents so as not to ref"&amp;"und me.
I am very disappointed because I did not believe that GMF was like that.
Phil.
")</f>
        <v>Hello I have paid my insurance for 10 years.
However on May 22, 2020 I learned that all my things were stolen. I was not in France
Following my given documents (invoices ...) and a complaint to the prosecutor they ask me for documents so as not to refund me.
I am very disappointed because I did not believe that GMF was like that.
Phil.
</v>
      </c>
    </row>
    <row r="849" ht="15.75" customHeight="1">
      <c r="A849" s="2">
        <v>5.0</v>
      </c>
      <c r="B849" s="2" t="s">
        <v>2345</v>
      </c>
      <c r="C849" s="2" t="s">
        <v>2346</v>
      </c>
      <c r="D849" s="2" t="s">
        <v>13</v>
      </c>
      <c r="E849" s="2" t="s">
        <v>14</v>
      </c>
      <c r="F849" s="2" t="s">
        <v>15</v>
      </c>
      <c r="G849" s="2" t="s">
        <v>1630</v>
      </c>
      <c r="H849" s="2" t="s">
        <v>42</v>
      </c>
      <c r="I849" s="2" t="str">
        <f>IFERROR(__xludf.DUMMYFUNCTION("GOOGLETRANSLATE(C849,""fr"",""en"")"),"Rapid and simple registration, no complicated requests. Acceptable and logical prix. Well we hope that you will not need you in the future ??
")</f>
        <v>Rapid and simple registration, no complicated requests. Acceptable and logical prix. Well we hope that you will not need you in the future ??
</v>
      </c>
    </row>
    <row r="850" ht="15.75" customHeight="1">
      <c r="A850" s="2">
        <v>1.0</v>
      </c>
      <c r="B850" s="2" t="s">
        <v>2347</v>
      </c>
      <c r="C850" s="2" t="s">
        <v>2348</v>
      </c>
      <c r="D850" s="2" t="s">
        <v>227</v>
      </c>
      <c r="E850" s="2" t="s">
        <v>288</v>
      </c>
      <c r="F850" s="2" t="s">
        <v>15</v>
      </c>
      <c r="G850" s="2" t="s">
        <v>2153</v>
      </c>
      <c r="H850" s="2" t="s">
        <v>213</v>
      </c>
      <c r="I850" s="2" t="str">
        <f>IFERROR(__xludf.DUMMYFUNCTION("GOOGLETRANSLATE(C850,""fr"",""en"")"),"Multi Savings Allianz life contract: to flee absolutely
Promise of fully erroneous or even false yield, immediate loss of capital from the subscription, investment supposedly secure and balanced but which is content to follow the evolution of the CAC40 b"&amp;"y strongly repimacing the drops and weakly the increases, no reactivity we are content to look at The capital melts in short, we completely do not care about the customer so if you want to lose money Allianz is a very good solution to get used!
")</f>
        <v>Multi Savings Allianz life contract: to flee absolutely
Promise of fully erroneous or even false yield, immediate loss of capital from the subscription, investment supposedly secure and balanced but which is content to follow the evolution of the CAC40 by strongly repimacing the drops and weakly the increases, no reactivity we are content to look at The capital melts in short, we completely do not care about the customer so if you want to lose money Allianz is a very good solution to get used!
</v>
      </c>
    </row>
    <row r="851" ht="15.75" customHeight="1">
      <c r="A851" s="2">
        <v>5.0</v>
      </c>
      <c r="B851" s="2" t="s">
        <v>2349</v>
      </c>
      <c r="C851" s="2" t="s">
        <v>2350</v>
      </c>
      <c r="D851" s="2" t="s">
        <v>87</v>
      </c>
      <c r="E851" s="2" t="s">
        <v>14</v>
      </c>
      <c r="F851" s="2" t="s">
        <v>15</v>
      </c>
      <c r="G851" s="2" t="s">
        <v>2351</v>
      </c>
      <c r="H851" s="2" t="s">
        <v>195</v>
      </c>
      <c r="I851" s="2" t="str">
        <f>IFERROR(__xludf.DUMMYFUNCTION("GOOGLETRANSLATE(C851,""fr"",""en"")"),"I have just left Eurofil Aviva because they are only bankers for the olive tree insurance until now it is day and night between them the olive tree is very satisfactory at the price level with a competent and professional staff I recommend To see, however"&amp;", with a possible claim")</f>
        <v>I have just left Eurofil Aviva because they are only bankers for the olive tree insurance until now it is day and night between them the olive tree is very satisfactory at the price level with a competent and professional staff I recommend To see, however, with a possible claim</v>
      </c>
    </row>
    <row r="852" ht="15.75" customHeight="1">
      <c r="A852" s="2">
        <v>1.0</v>
      </c>
      <c r="B852" s="2" t="s">
        <v>2352</v>
      </c>
      <c r="C852" s="2" t="s">
        <v>2353</v>
      </c>
      <c r="D852" s="2" t="s">
        <v>231</v>
      </c>
      <c r="E852" s="2" t="s">
        <v>232</v>
      </c>
      <c r="F852" s="2" t="s">
        <v>15</v>
      </c>
      <c r="G852" s="2" t="s">
        <v>760</v>
      </c>
      <c r="H852" s="2" t="s">
        <v>761</v>
      </c>
      <c r="I852" s="2" t="str">
        <f>IFERROR(__xludf.DUMMYFUNCTION("GOOGLETRANSLATE(C852,""fr"",""en"")"),"Do everything to avoid taking charge of compensation when we are in disability not credible electronic voice ever using obsolete insurance while we are in the 21 centuries 2017")</f>
        <v>Do everything to avoid taking charge of compensation when we are in disability not credible electronic voice ever using obsolete insurance while we are in the 21 centuries 2017</v>
      </c>
    </row>
    <row r="853" ht="15.75" customHeight="1">
      <c r="A853" s="2">
        <v>5.0</v>
      </c>
      <c r="B853" s="2" t="s">
        <v>2354</v>
      </c>
      <c r="C853" s="2" t="s">
        <v>2355</v>
      </c>
      <c r="D853" s="2" t="s">
        <v>87</v>
      </c>
      <c r="E853" s="2" t="s">
        <v>14</v>
      </c>
      <c r="F853" s="2" t="s">
        <v>15</v>
      </c>
      <c r="G853" s="2" t="s">
        <v>1720</v>
      </c>
      <c r="H853" s="2" t="s">
        <v>27</v>
      </c>
      <c r="I853" s="2" t="str">
        <f>IFERROR(__xludf.DUMMYFUNCTION("GOOGLETRANSLATE(C853,""fr"",""en"")"),"I am satisfied with my two insurances at home.
I recommend the olive assurance for all insurance combined
Very happy to be a customer at home.")</f>
        <v>I am satisfied with my two insurances at home.
I recommend the olive assurance for all insurance combined
Very happy to be a customer at home.</v>
      </c>
    </row>
    <row r="854" ht="15.75" customHeight="1">
      <c r="A854" s="2">
        <v>1.0</v>
      </c>
      <c r="B854" s="2" t="s">
        <v>2356</v>
      </c>
      <c r="C854" s="2" t="s">
        <v>2357</v>
      </c>
      <c r="D854" s="2" t="s">
        <v>87</v>
      </c>
      <c r="E854" s="2" t="s">
        <v>14</v>
      </c>
      <c r="F854" s="2" t="s">
        <v>15</v>
      </c>
      <c r="G854" s="2" t="s">
        <v>991</v>
      </c>
      <c r="H854" s="2" t="s">
        <v>110</v>
      </c>
      <c r="I854" s="2" t="str">
        <f>IFERROR(__xludf.DUMMYFUNCTION("GOOGLETRANSLATE(C854,""fr"",""en"")"),"I am satisfied with the services offered by insurance and the prices offered are really very attractive. I highly recommend this insurance ....")</f>
        <v>I am satisfied with the services offered by insurance and the prices offered are really very attractive. I highly recommend this insurance ....</v>
      </c>
    </row>
    <row r="855" ht="15.75" customHeight="1">
      <c r="A855" s="2">
        <v>5.0</v>
      </c>
      <c r="B855" s="2" t="s">
        <v>2358</v>
      </c>
      <c r="C855" s="2" t="s">
        <v>2359</v>
      </c>
      <c r="D855" s="2" t="s">
        <v>13</v>
      </c>
      <c r="E855" s="2" t="s">
        <v>14</v>
      </c>
      <c r="F855" s="2" t="s">
        <v>15</v>
      </c>
      <c r="G855" s="2" t="s">
        <v>1862</v>
      </c>
      <c r="H855" s="2" t="s">
        <v>61</v>
      </c>
      <c r="I855" s="2" t="str">
        <f>IFERROR(__xludf.DUMMYFUNCTION("GOOGLETRANSLATE(C855,""fr"",""en"")"),"For the moment prices and new Youdrive technology are innovative and economic, here is a real way to encourage better and more careful")</f>
        <v>For the moment prices and new Youdrive technology are innovative and economic, here is a real way to encourage better and more careful</v>
      </c>
    </row>
    <row r="856" ht="15.75" customHeight="1">
      <c r="A856" s="2">
        <v>3.0</v>
      </c>
      <c r="B856" s="2" t="s">
        <v>2360</v>
      </c>
      <c r="C856" s="2" t="s">
        <v>2361</v>
      </c>
      <c r="D856" s="2" t="s">
        <v>87</v>
      </c>
      <c r="E856" s="2" t="s">
        <v>14</v>
      </c>
      <c r="F856" s="2" t="s">
        <v>15</v>
      </c>
      <c r="G856" s="2" t="s">
        <v>2362</v>
      </c>
      <c r="H856" s="2" t="s">
        <v>446</v>
      </c>
      <c r="I856" s="2" t="str">
        <f>IFERROR(__xludf.DUMMYFUNCTION("GOOGLETRANSLATE(C856,""fr"",""en"")"),"After multiple telephone exchanges I note that the advisers Olivier Insurance are really listening to us, take the lead following a disaster and give good advice. From telephone reception to the end of the exchange with the advisor of kindness is omnipres"&amp;"ent, courteous and relaxed.")</f>
        <v>After multiple telephone exchanges I note that the advisers Olivier Insurance are really listening to us, take the lead following a disaster and give good advice. From telephone reception to the end of the exchange with the advisor of kindness is omnipresent, courteous and relaxed.</v>
      </c>
    </row>
    <row r="857" ht="15.75" customHeight="1">
      <c r="A857" s="2">
        <v>5.0</v>
      </c>
      <c r="B857" s="2" t="s">
        <v>2363</v>
      </c>
      <c r="C857" s="2" t="s">
        <v>2364</v>
      </c>
      <c r="D857" s="2" t="s">
        <v>87</v>
      </c>
      <c r="E857" s="2" t="s">
        <v>14</v>
      </c>
      <c r="F857" s="2" t="s">
        <v>15</v>
      </c>
      <c r="G857" s="2" t="s">
        <v>464</v>
      </c>
      <c r="H857" s="2" t="s">
        <v>52</v>
      </c>
      <c r="I857" s="2" t="str">
        <f>IFERROR(__xludf.DUMMYFUNCTION("GOOGLETRANSLATE(C857,""fr"",""en"")"),"The prices are top. Quick. Simple and effective what more could you ask for? Ah if perhaps when we take out a second car contract can be offered membership fees. And super nice teleconsilors")</f>
        <v>The prices are top. Quick. Simple and effective what more could you ask for? Ah if perhaps when we take out a second car contract can be offered membership fees. And super nice teleconsilors</v>
      </c>
    </row>
    <row r="858" ht="15.75" customHeight="1">
      <c r="A858" s="2">
        <v>1.0</v>
      </c>
      <c r="B858" s="2" t="s">
        <v>2365</v>
      </c>
      <c r="C858" s="2" t="s">
        <v>2366</v>
      </c>
      <c r="D858" s="2" t="s">
        <v>36</v>
      </c>
      <c r="E858" s="2" t="s">
        <v>14</v>
      </c>
      <c r="F858" s="2" t="s">
        <v>15</v>
      </c>
      <c r="G858" s="2" t="s">
        <v>2367</v>
      </c>
      <c r="H858" s="2" t="s">
        <v>38</v>
      </c>
      <c r="I858" s="2" t="str">
        <f>IFERROR(__xludf.DUMMYFUNCTION("GOOGLETRANSLATE(C858,""fr"",""en"")"),"We found our vehicle with the broken bumper in a parking lot. The person left without making himself known of course. The expert thinks we have struck a fixed body.
This insurance has therefore not agreed to compensate us to the extent that our declarati"&amp;"on is contrary to that of the expert.
I am shocked to pay all risks a vehicle when we did not make us park in a parking lot. No care and 1500 euros in our pocket.
It is shameful. Your solidarity insurance is only false advertising and the best is that t"&amp;"he interlocutors imply that we are liars.
Insurance to flee
Imminent termination")</f>
        <v>We found our vehicle with the broken bumper in a parking lot. The person left without making himself known of course. The expert thinks we have struck a fixed body.
This insurance has therefore not agreed to compensate us to the extent that our declaration is contrary to that of the expert.
I am shocked to pay all risks a vehicle when we did not make us park in a parking lot. No care and 1500 euros in our pocket.
It is shameful. Your solidarity insurance is only false advertising and the best is that the interlocutors imply that we are liars.
Insurance to flee
Imminent termination</v>
      </c>
    </row>
    <row r="859" ht="15.75" customHeight="1">
      <c r="A859" s="2">
        <v>1.0</v>
      </c>
      <c r="B859" s="2" t="s">
        <v>2368</v>
      </c>
      <c r="C859" s="2" t="s">
        <v>2369</v>
      </c>
      <c r="D859" s="2" t="s">
        <v>13</v>
      </c>
      <c r="E859" s="2" t="s">
        <v>14</v>
      </c>
      <c r="F859" s="2" t="s">
        <v>15</v>
      </c>
      <c r="G859" s="2" t="s">
        <v>510</v>
      </c>
      <c r="H859" s="2" t="s">
        <v>190</v>
      </c>
      <c r="I859" s="2" t="str">
        <f>IFERROR(__xludf.DUMMYFUNCTION("GOOGLETRANSLATE(C859,""fr"",""en"")"),"They are entitled to a star on the one hand because one cannot grant any and on the other hand because I assured my car at home because it was the only ones to have responded on a Saturday. But this is the only positive point I grant them. They are and fo"&amp;"r having had them several times on the phone all execrable. Insurance is not much cheaper than elsewhere, on the other hand, the services rendered are much less numerous. I fell twice and they did not raise their little finger and those even when I subscr"&amp;"ibed to various options to deal with all kinds of possible disappointments. And before that, during the subscription they threatened me several times to close my contract because the scan of my driving license did not suit them. Indeed the document has ar"&amp;"rived vertically and it is apparently not to bring them to rotate a document using their computers.")</f>
        <v>They are entitled to a star on the one hand because one cannot grant any and on the other hand because I assured my car at home because it was the only ones to have responded on a Saturday. But this is the only positive point I grant them. They are and for having had them several times on the phone all execrable. Insurance is not much cheaper than elsewhere, on the other hand, the services rendered are much less numerous. I fell twice and they did not raise their little finger and those even when I subscribed to various options to deal with all kinds of possible disappointments. And before that, during the subscription they threatened me several times to close my contract because the scan of my driving license did not suit them. Indeed the document has arrived vertically and it is apparently not to bring them to rotate a document using their computers.</v>
      </c>
    </row>
    <row r="860" ht="15.75" customHeight="1">
      <c r="A860" s="2">
        <v>4.0</v>
      </c>
      <c r="B860" s="2" t="s">
        <v>2370</v>
      </c>
      <c r="C860" s="2" t="s">
        <v>2371</v>
      </c>
      <c r="D860" s="2" t="s">
        <v>277</v>
      </c>
      <c r="E860" s="2" t="s">
        <v>14</v>
      </c>
      <c r="F860" s="2" t="s">
        <v>15</v>
      </c>
      <c r="G860" s="2" t="s">
        <v>2372</v>
      </c>
      <c r="H860" s="2" t="s">
        <v>851</v>
      </c>
      <c r="I860" s="2" t="str">
        <f>IFERROR(__xludf.DUMMYFUNCTION("GOOGLETRANSLATE(C860,""fr"",""en"")"),"I am a car, home and legal protection customer. Another vehicle is provided at Allsecur.")</f>
        <v>I am a car, home and legal protection customer. Another vehicle is provided at Allsecur.</v>
      </c>
    </row>
    <row r="861" ht="15.75" customHeight="1">
      <c r="A861" s="2">
        <v>4.0</v>
      </c>
      <c r="B861" s="2" t="s">
        <v>2373</v>
      </c>
      <c r="C861" s="2" t="s">
        <v>2374</v>
      </c>
      <c r="D861" s="2" t="s">
        <v>50</v>
      </c>
      <c r="E861" s="2" t="s">
        <v>21</v>
      </c>
      <c r="F861" s="2" t="s">
        <v>15</v>
      </c>
      <c r="G861" s="2" t="s">
        <v>189</v>
      </c>
      <c r="H861" s="2" t="s">
        <v>190</v>
      </c>
      <c r="I861" s="2" t="str">
        <f>IFERROR(__xludf.DUMMYFUNCTION("GOOGLETRANSLATE(C861,""fr"",""en"")"),"The price suits me, however, I would have liked to be able to take monthly samples.
Apart from this inconvenience, the site offers us various options.")</f>
        <v>The price suits me, however, I would have liked to be able to take monthly samples.
Apart from this inconvenience, the site offers us various options.</v>
      </c>
    </row>
    <row r="862" ht="15.75" customHeight="1">
      <c r="A862" s="2">
        <v>1.0</v>
      </c>
      <c r="B862" s="2" t="s">
        <v>2375</v>
      </c>
      <c r="C862" s="2" t="s">
        <v>2376</v>
      </c>
      <c r="D862" s="2" t="s">
        <v>2377</v>
      </c>
      <c r="E862" s="2" t="s">
        <v>55</v>
      </c>
      <c r="F862" s="2" t="s">
        <v>15</v>
      </c>
      <c r="G862" s="2" t="s">
        <v>802</v>
      </c>
      <c r="H862" s="2" t="s">
        <v>589</v>
      </c>
      <c r="I862" s="2" t="str">
        <f>IFERROR(__xludf.DUMMYFUNCTION("GOOGLETRANSLATE(C862,""fr"",""en"")"),"To flee immediately !!!! Do not even stop consulting them for a quote. Victim of a burglary with break -in (PV and observation of the gendarmerie), Groupama established dilapidated on everything and anything total of the races they terminate us for excess"&amp;"ive disaster")</f>
        <v>To flee immediately !!!! Do not even stop consulting them for a quote. Victim of a burglary with break -in (PV and observation of the gendarmerie), Groupama established dilapidated on everything and anything total of the races they terminate us for excessive disaster</v>
      </c>
    </row>
    <row r="863" ht="15.75" customHeight="1">
      <c r="A863" s="2">
        <v>5.0</v>
      </c>
      <c r="B863" s="2" t="s">
        <v>2378</v>
      </c>
      <c r="C863" s="2" t="s">
        <v>2379</v>
      </c>
      <c r="D863" s="2" t="s">
        <v>13</v>
      </c>
      <c r="E863" s="2" t="s">
        <v>14</v>
      </c>
      <c r="F863" s="2" t="s">
        <v>15</v>
      </c>
      <c r="G863" s="2" t="s">
        <v>2380</v>
      </c>
      <c r="H863" s="2" t="s">
        <v>209</v>
      </c>
      <c r="I863" s="2" t="str">
        <f>IFERROR(__xludf.DUMMYFUNCTION("GOOGLETRANSLATE(C863,""fr"",""en"")"),"I am satisfied with the service.
fast and effective
attractive price
professional advisor
I highly recommend.
I will probably contact them for my home")</f>
        <v>I am satisfied with the service.
fast and effective
attractive price
professional advisor
I highly recommend.
I will probably contact them for my home</v>
      </c>
    </row>
    <row r="864" ht="15.75" customHeight="1">
      <c r="A864" s="2">
        <v>3.0</v>
      </c>
      <c r="B864" s="2" t="s">
        <v>2381</v>
      </c>
      <c r="C864" s="2" t="s">
        <v>2382</v>
      </c>
      <c r="D864" s="2" t="s">
        <v>70</v>
      </c>
      <c r="E864" s="2" t="s">
        <v>31</v>
      </c>
      <c r="F864" s="2" t="s">
        <v>15</v>
      </c>
      <c r="G864" s="2" t="s">
        <v>2383</v>
      </c>
      <c r="H864" s="2" t="s">
        <v>122</v>
      </c>
      <c r="I864" s="2" t="str">
        <f>IFERROR(__xludf.DUMMYFUNCTION("GOOGLETRANSLATE(C864,""fr"",""en"")"),"Very disappointed have sold a product incompatible with my needs condemned for a long year I take on me. Advice is very careful with carte blanche modalities for optics a real optician disaster imposed +very low -end products imposed I believe that even i"&amp;"f I had applied for CMU I would have been better supported")</f>
        <v>Very disappointed have sold a product incompatible with my needs condemned for a long year I take on me. Advice is very careful with carte blanche modalities for optics a real optician disaster imposed +very low -end products imposed I believe that even if I had applied for CMU I would have been better supported</v>
      </c>
    </row>
    <row r="865" ht="15.75" customHeight="1">
      <c r="A865" s="2">
        <v>5.0</v>
      </c>
      <c r="B865" s="2" t="s">
        <v>2384</v>
      </c>
      <c r="C865" s="2" t="s">
        <v>2385</v>
      </c>
      <c r="D865" s="2" t="s">
        <v>832</v>
      </c>
      <c r="E865" s="2" t="s">
        <v>232</v>
      </c>
      <c r="F865" s="2" t="s">
        <v>15</v>
      </c>
      <c r="G865" s="2" t="s">
        <v>182</v>
      </c>
      <c r="H865" s="2" t="s">
        <v>42</v>
      </c>
      <c r="I865" s="2" t="str">
        <f>IFERROR(__xludf.DUMMYFUNCTION("GOOGLETRANSLATE(C865,""fr"",""en"")"),"I am fully satisfied with the service. The advisor was very responsive and very clear. No surprise of additional brokerage fees, everything is included.")</f>
        <v>I am fully satisfied with the service. The advisor was very responsive and very clear. No surprise of additional brokerage fees, everything is included.</v>
      </c>
    </row>
    <row r="866" ht="15.75" customHeight="1">
      <c r="A866" s="2">
        <v>1.0</v>
      </c>
      <c r="B866" s="2" t="s">
        <v>2386</v>
      </c>
      <c r="C866" s="2" t="s">
        <v>2387</v>
      </c>
      <c r="D866" s="2" t="s">
        <v>885</v>
      </c>
      <c r="E866" s="2" t="s">
        <v>246</v>
      </c>
      <c r="F866" s="2" t="s">
        <v>15</v>
      </c>
      <c r="G866" s="2" t="s">
        <v>2388</v>
      </c>
      <c r="H866" s="2" t="s">
        <v>1277</v>
      </c>
      <c r="I866" s="2" t="str">
        <f>IFERROR(__xludf.DUMMYFUNCTION("GOOGLETRANSLATE(C866,""fr"",""en"")"),"I stayed for 3 years with them. As long as everything is fine and we don't need them it's great. They take the premium every month. But as soon as you have to pay something it is the cross and the banner. And go there that I spread franchises on each act "&amp;"or almost and that I reimburse as late as possible !!")</f>
        <v>I stayed for 3 years with them. As long as everything is fine and we don't need them it's great. They take the premium every month. But as soon as you have to pay something it is the cross and the banner. And go there that I spread franchises on each act or almost and that I reimburse as late as possible !!</v>
      </c>
    </row>
    <row r="867" ht="15.75" customHeight="1">
      <c r="A867" s="2">
        <v>1.0</v>
      </c>
      <c r="B867" s="2" t="s">
        <v>2389</v>
      </c>
      <c r="C867" s="2" t="s">
        <v>2390</v>
      </c>
      <c r="D867" s="2" t="s">
        <v>79</v>
      </c>
      <c r="E867" s="2" t="s">
        <v>14</v>
      </c>
      <c r="F867" s="2" t="s">
        <v>15</v>
      </c>
      <c r="G867" s="2" t="s">
        <v>298</v>
      </c>
      <c r="H867" s="2" t="s">
        <v>138</v>
      </c>
      <c r="I867" s="2" t="str">
        <f>IFERROR(__xludf.DUMMYFUNCTION("GOOGLETRANSLATE(C867,""fr"",""en"")"),"Insurance with a service more than low of ranges I had to stay more than 7 hours on the phone with several agents hanging up on the nose several times poor and incompetent service and when you want to speak to a manager it is simply impossible worse exper"&amp;"ience of My life I advise you not to subscribe to them here is a day of job spoiled in 2020 it is unacceptable such a service I am more than unhappy but when it comes to collecting the money is very fast in all I Recommend to flee this insurance even if i"&amp;"t means paying a little more expensive its will save you unpleasant surprises")</f>
        <v>Insurance with a service more than low of ranges I had to stay more than 7 hours on the phone with several agents hanging up on the nose several times poor and incompetent service and when you want to speak to a manager it is simply impossible worse experience of My life I advise you not to subscribe to them here is a day of job spoiled in 2020 it is unacceptable such a service I am more than unhappy but when it comes to collecting the money is very fast in all I Recommend to flee this insurance even if it means paying a little more expensive its will save you unpleasant surprises</v>
      </c>
    </row>
    <row r="868" ht="15.75" customHeight="1">
      <c r="A868" s="2">
        <v>1.0</v>
      </c>
      <c r="B868" s="2" t="s">
        <v>2391</v>
      </c>
      <c r="C868" s="2" t="s">
        <v>2392</v>
      </c>
      <c r="D868" s="2" t="s">
        <v>976</v>
      </c>
      <c r="E868" s="2" t="s">
        <v>288</v>
      </c>
      <c r="F868" s="2" t="s">
        <v>15</v>
      </c>
      <c r="G868" s="2" t="s">
        <v>595</v>
      </c>
      <c r="H868" s="2" t="s">
        <v>433</v>
      </c>
      <c r="I868" s="2" t="str">
        <f>IFERROR(__xludf.DUMMYFUNCTION("GOOGLETRANSLATE(C868,""fr"",""en"")"),"My mother died at the end of April, leaving me AFER life insurance in my name. To date (June 29), I have no return from them, despite a phone call, 5 emails and a registered letter. I entrusted the problem to my notary, who will hope for more success than"&amp;" me. Such behavior is deplorable, especially in current circumstances. I am about to file a complaint and make a notice for the DGCCRF.")</f>
        <v>My mother died at the end of April, leaving me AFER life insurance in my name. To date (June 29), I have no return from them, despite a phone call, 5 emails and a registered letter. I entrusted the problem to my notary, who will hope for more success than me. Such behavior is deplorable, especially in current circumstances. I am about to file a complaint and make a notice for the DGCCRF.</v>
      </c>
    </row>
    <row r="869" ht="15.75" customHeight="1">
      <c r="A869" s="2">
        <v>1.0</v>
      </c>
      <c r="B869" s="2" t="s">
        <v>2393</v>
      </c>
      <c r="C869" s="2" t="s">
        <v>2394</v>
      </c>
      <c r="D869" s="2" t="s">
        <v>2395</v>
      </c>
      <c r="E869" s="2" t="s">
        <v>21</v>
      </c>
      <c r="F869" s="2" t="s">
        <v>15</v>
      </c>
      <c r="G869" s="2" t="s">
        <v>949</v>
      </c>
      <c r="H869" s="2" t="s">
        <v>23</v>
      </c>
      <c r="I869" s="2" t="str">
        <f>IFERROR(__xludf.DUMMYFUNCTION("GOOGLETRANSLATE(C869,""fr"",""en"")"),"Even with missing room he withdraw money without sent the
 contract and without warning")</f>
        <v>Even with missing room he withdraw money without sent the
 contract and without warning</v>
      </c>
    </row>
    <row r="870" ht="15.75" customHeight="1">
      <c r="A870" s="2">
        <v>1.0</v>
      </c>
      <c r="B870" s="2" t="s">
        <v>2396</v>
      </c>
      <c r="C870" s="2" t="s">
        <v>2397</v>
      </c>
      <c r="D870" s="2" t="s">
        <v>334</v>
      </c>
      <c r="E870" s="2" t="s">
        <v>31</v>
      </c>
      <c r="F870" s="2" t="s">
        <v>15</v>
      </c>
      <c r="G870" s="2" t="s">
        <v>2398</v>
      </c>
      <c r="H870" s="2" t="s">
        <v>138</v>
      </c>
      <c r="I870" s="2" t="str">
        <f>IFERROR(__xludf.DUMMYFUNCTION("GOOGLETRANSLATE(C870,""fr"",""en"")"),"Opinion 100% Objective:
- I subscribe after a phone call and everything is fine.
- I have not seen any refund on my bank account but everything seems to be well taken into account when I present my card to the various establishments.
- I ask for the "&amp;"procedure for adding my daughter, I am answered ""make an online request, there will be a quote before anything."" And here is the drama !...
- I asked ""please add my daughter by taking charge of the joint invoices that concerns her"". I received a sche"&amp;"dule, my contribution doubled without being aware of the price (without quotes)
- I ask for cancellation, I am answered ""it's impossible"". I then invoke my right of withdrawal before the 15 regulatory days, I am answered ""do not worry it is taken into"&amp;" account, you even have 30 days for withdrawal with us"".
- I call every week for 2/3 months to find out where it is and each time I am answered ""it's impossible, you have not asked for a quote"". I re-explain while invoking my right of withdrawal and w"&amp;"e leave for a tour ""It is taken into account"".
- In the fourth month I am told ""we understand your frustration but there is no trace of your request for withdrawal, you must redo it online"". I answer them ""From now on you will see that with my lawye"&amp;"r, you may speak the same language. There I am at the end!"". A ""real"" professional contact me with a ""real"" repayment solution for 4 months.
- I asked for the termination shortly after, I am told to make a registered letter. I asked for a letter m"&amp;"odel, they don't have it. I checked on the Internet forums, there were refusals due to poor information (the due date was not well informed). I conclude that they do not bother to contact the customer in case problem.
- After receiving the AR, I ask th"&amp;"em if everything is well taken into account. Answer ""We will have the information at the same time as you when you receive the confirmation email""
- I am about to send my third registered letter to be sure that it will be taken into account by adding"&amp;" a copy of the contract as well as the third -party payment card. I must also check for foresight, apparently they separate the contracts. I hope everything will go well because I would be obliged to involve a lawyer.
- I arrive at the deadline of the "&amp;"2 months of compulsory notice and I have just realized that there are two separate contracts ""health/xxxx"" and ""ijh (p)/xxxx"", the adherent numbers are also different. I received the letter of schedule and recall on 10/27/2020, it is dated 10/15/2020."&amp;" I should have the right to 20 days after receiving this letter. We are 31/10/2020. I confirm that I will send a 3rd registered letter. I will send as many letters as it will be.
I hope that my testimony will serve the Santiane broker as well as the fu"&amp;"ture customer.
I spared you the hubs.
I present my case as a customer.
I would have preferred to have all the information necessary for my termination request.
I had to go looking for them actively on the internet after several phone calls:
https:/"&amp;"/forum.lesarnaques.com/assrarances-particuliers-professionnels/resiliation-impossible-t213818.html
https://www.santiane.fr/aide-faq/resiliation
https://www.opinion-assurances.fr/temoiignage-assurance.html?cid=305")</f>
        <v>Opinion 100% Objective:
- I subscribe after a phone call and everything is fine.
- I have not seen any refund on my bank account but everything seems to be well taken into account when I present my card to the various establishments.
- I ask for the procedure for adding my daughter, I am answered "make an online request, there will be a quote before anything." And here is the drama !...
- I asked "please add my daughter by taking charge of the joint invoices that concerns her". I received a schedule, my contribution doubled without being aware of the price (without quotes)
- I ask for cancellation, I am answered "it's impossible". I then invoke my right of withdrawal before the 15 regulatory days, I am answered "do not worry it is taken into account, you even have 30 days for withdrawal with us".
- I call every week for 2/3 months to find out where it is and each time I am answered "it's impossible, you have not asked for a quote". I re-explain while invoking my right of withdrawal and we leave for a tour "It is taken into account".
- In the fourth month I am told "we understand your frustration but there is no trace of your request for withdrawal, you must redo it online". I answer them "From now on you will see that with my lawyer, you may speak the same language. There I am at the end!". A "real" professional contact me with a "real" repayment solution for 4 months.
- I asked for the termination shortly after, I am told to make a registered letter. I asked for a letter model, they don't have it. I checked on the Internet forums, there were refusals due to poor information (the due date was not well informed). I conclude that they do not bother to contact the customer in case problem.
- After receiving the AR, I ask them if everything is well taken into account. Answer "We will have the information at the same time as you when you receive the confirmation email"
- I am about to send my third registered letter to be sure that it will be taken into account by adding a copy of the contract as well as the third -party payment card. I must also check for foresight, apparently they separate the contracts. I hope everything will go well because I would be obliged to involve a lawyer.
- I arrive at the deadline of the 2 months of compulsory notice and I have just realized that there are two separate contracts "health/xxxx" and "ijh (p)/xxxx", the adherent numbers are also different. I received the letter of schedule and recall on 10/27/2020, it is dated 10/15/2020. I should have the right to 20 days after receiving this letter. We are 31/10/2020. I confirm that I will send a 3rd registered letter. I will send as many letters as it will be.
I hope that my testimony will serve the Santiane broker as well as the future customer.
I spared you the hubs.
I present my case as a customer.
I would have preferred to have all the information necessary for my termination request.
I had to go looking for them actively on the internet after several phone calls:
https://forum.lesarnaques.com/assrarances-particuliers-professionnels/resiliation-impossible-t213818.html
https://www.santiane.fr/aide-faq/resiliation
https://www.opinion-assurances.fr/temoiignage-assurance.html?cid=305</v>
      </c>
    </row>
    <row r="871" ht="15.75" customHeight="1">
      <c r="A871" s="2">
        <v>4.0</v>
      </c>
      <c r="B871" s="2" t="s">
        <v>2399</v>
      </c>
      <c r="C871" s="2" t="s">
        <v>2400</v>
      </c>
      <c r="D871" s="2" t="s">
        <v>13</v>
      </c>
      <c r="E871" s="2" t="s">
        <v>14</v>
      </c>
      <c r="F871" s="2" t="s">
        <v>15</v>
      </c>
      <c r="G871" s="2" t="s">
        <v>2401</v>
      </c>
      <c r="H871" s="2" t="s">
        <v>52</v>
      </c>
      <c r="I871" s="2" t="str">
        <f>IFERROR(__xludf.DUMMYFUNCTION("GOOGLETRANSLATE(C871,""fr"",""en"")"),"I am satisfied with direct fast insurance and very interesting price I will advise you with my friends wishing you a very good day CDLT")</f>
        <v>I am satisfied with direct fast insurance and very interesting price I will advise you with my friends wishing you a very good day CDLT</v>
      </c>
    </row>
    <row r="872" ht="15.75" customHeight="1">
      <c r="A872" s="2">
        <v>4.0</v>
      </c>
      <c r="B872" s="2" t="s">
        <v>2402</v>
      </c>
      <c r="C872" s="2" t="s">
        <v>2403</v>
      </c>
      <c r="D872" s="2" t="s">
        <v>13</v>
      </c>
      <c r="E872" s="2" t="s">
        <v>14</v>
      </c>
      <c r="F872" s="2" t="s">
        <v>15</v>
      </c>
      <c r="G872" s="2" t="s">
        <v>1630</v>
      </c>
      <c r="H872" s="2" t="s">
        <v>42</v>
      </c>
      <c r="I872" s="2" t="str">
        <f>IFERROR(__xludf.DUMMYFUNCTION("GOOGLETRANSLATE(C872,""fr"",""en"")"),"Simple and clear with attractive prices.
The quote was sent directly by email.
I will not hesitate to recommend this insurance.
Cordially.
")</f>
        <v>Simple and clear with attractive prices.
The quote was sent directly by email.
I will not hesitate to recommend this insurance.
Cordially.
</v>
      </c>
    </row>
    <row r="873" ht="15.75" customHeight="1">
      <c r="A873" s="2">
        <v>2.0</v>
      </c>
      <c r="B873" s="2" t="s">
        <v>2404</v>
      </c>
      <c r="C873" s="2" t="s">
        <v>2405</v>
      </c>
      <c r="D873" s="2" t="s">
        <v>13</v>
      </c>
      <c r="E873" s="2" t="s">
        <v>14</v>
      </c>
      <c r="F873" s="2" t="s">
        <v>15</v>
      </c>
      <c r="G873" s="2" t="s">
        <v>1667</v>
      </c>
      <c r="H873" s="2" t="s">
        <v>607</v>
      </c>
      <c r="I873" s="2" t="str">
        <f>IFERROR(__xludf.DUMMYFUNCTION("GOOGLETRANSLATE(C873,""fr"",""en"")"),"Find another insurance than Direct Insurance
It's just Lost Cost
Never have an accident with them
No loan vehicle when the car is not rolling even by being insured as a tourist")</f>
        <v>Find another insurance than Direct Insurance
It's just Lost Cost
Never have an accident with them
No loan vehicle when the car is not rolling even by being insured as a tourist</v>
      </c>
    </row>
    <row r="874" ht="15.75" customHeight="1">
      <c r="A874" s="2">
        <v>3.0</v>
      </c>
      <c r="B874" s="2" t="s">
        <v>2406</v>
      </c>
      <c r="C874" s="2" t="s">
        <v>2407</v>
      </c>
      <c r="D874" s="2" t="s">
        <v>74</v>
      </c>
      <c r="E874" s="2" t="s">
        <v>14</v>
      </c>
      <c r="F874" s="2" t="s">
        <v>15</v>
      </c>
      <c r="G874" s="2" t="s">
        <v>695</v>
      </c>
      <c r="H874" s="2" t="s">
        <v>190</v>
      </c>
      <c r="I874" s="2" t="str">
        <f>IFERROR(__xludf.DUMMYFUNCTION("GOOGLETRANSLATE(C874,""fr"",""en"")"),"I think that loyalty to GMF is not rewarded enough ... In fact, I set myself as a legitimate objective for 2002 to make the competition work .... Ferocious in this area, as in others Elsewhere it is true.")</f>
        <v>I think that loyalty to GMF is not rewarded enough ... In fact, I set myself as a legitimate objective for 2002 to make the competition work .... Ferocious in this area, as in others Elsewhere it is true.</v>
      </c>
    </row>
    <row r="875" ht="15.75" customHeight="1">
      <c r="A875" s="2">
        <v>5.0</v>
      </c>
      <c r="B875" s="2" t="s">
        <v>2408</v>
      </c>
      <c r="C875" s="2" t="s">
        <v>2409</v>
      </c>
      <c r="D875" s="2" t="s">
        <v>13</v>
      </c>
      <c r="E875" s="2" t="s">
        <v>14</v>
      </c>
      <c r="F875" s="2" t="s">
        <v>15</v>
      </c>
      <c r="G875" s="2" t="s">
        <v>216</v>
      </c>
      <c r="H875" s="2" t="s">
        <v>42</v>
      </c>
      <c r="I875" s="2" t="str">
        <f>IFERROR(__xludf.DUMMYFUNCTION("GOOGLETRANSLATE(C875,""fr"",""en"")"),"Very fast perfect for me and my companion also has very happy so he sponsored me thank you very much I will also talk to my friends and my children")</f>
        <v>Very fast perfect for me and my companion also has very happy so he sponsored me thank you very much I will also talk to my friends and my children</v>
      </c>
    </row>
    <row r="876" ht="15.75" customHeight="1">
      <c r="A876" s="2">
        <v>5.0</v>
      </c>
      <c r="B876" s="2" t="s">
        <v>2410</v>
      </c>
      <c r="C876" s="2" t="s">
        <v>2411</v>
      </c>
      <c r="D876" s="2" t="s">
        <v>50</v>
      </c>
      <c r="E876" s="2" t="s">
        <v>21</v>
      </c>
      <c r="F876" s="2" t="s">
        <v>15</v>
      </c>
      <c r="G876" s="2" t="s">
        <v>651</v>
      </c>
      <c r="H876" s="2" t="s">
        <v>209</v>
      </c>
      <c r="I876" s="2" t="str">
        <f>IFERROR(__xludf.DUMMYFUNCTION("GOOGLETRANSLATE(C876,""fr"",""en"")"),"Fast service, and very good advice of the pars of the advisers, quick contracts to do and I was assured as a young driver when other insurance did not want for a Z")</f>
        <v>Fast service, and very good advice of the pars of the advisers, quick contracts to do and I was assured as a young driver when other insurance did not want for a Z</v>
      </c>
    </row>
    <row r="877" ht="15.75" customHeight="1">
      <c r="A877" s="2">
        <v>4.0</v>
      </c>
      <c r="B877" s="2" t="s">
        <v>2412</v>
      </c>
      <c r="C877" s="2" t="s">
        <v>2413</v>
      </c>
      <c r="D877" s="2" t="s">
        <v>13</v>
      </c>
      <c r="E877" s="2" t="s">
        <v>14</v>
      </c>
      <c r="F877" s="2" t="s">
        <v>15</v>
      </c>
      <c r="G877" s="2" t="s">
        <v>1057</v>
      </c>
      <c r="H877" s="2" t="s">
        <v>61</v>
      </c>
      <c r="I877" s="2" t="str">
        <f>IFERROR(__xludf.DUMMYFUNCTION("GOOGLETRANSLATE(C877,""fr"",""en"")"),"Simple, practical and efficient
Rather fast in the event of a claim
A reduction following the COVVID could be made to the customer
Good day Sincerely
")</f>
        <v>Simple, practical and efficient
Rather fast in the event of a claim
A reduction following the COVVID could be made to the customer
Good day Sincerely
</v>
      </c>
    </row>
    <row r="878" ht="15.75" customHeight="1">
      <c r="A878" s="2">
        <v>1.0</v>
      </c>
      <c r="B878" s="2" t="s">
        <v>2414</v>
      </c>
      <c r="C878" s="2" t="s">
        <v>2415</v>
      </c>
      <c r="D878" s="2" t="s">
        <v>64</v>
      </c>
      <c r="E878" s="2" t="s">
        <v>65</v>
      </c>
      <c r="F878" s="2" t="s">
        <v>15</v>
      </c>
      <c r="G878" s="2" t="s">
        <v>2416</v>
      </c>
      <c r="H878" s="2" t="s">
        <v>23</v>
      </c>
      <c r="I878" s="2" t="str">
        <f>IFERROR(__xludf.DUMMYFUNCTION("GOOGLETRANSLATE(C878,""fr"",""en"")"),"Scandalous, I have been stopped since the beginning of April, I call them to know the progress of my file, apparently it is confidential. While it concerns me, it's my name my security number, but nothing helps. We are the 7 no news, no money paid, I'm af"&amp;"raid for the coming months.")</f>
        <v>Scandalous, I have been stopped since the beginning of April, I call them to know the progress of my file, apparently it is confidential. While it concerns me, it's my name my security number, but nothing helps. We are the 7 no news, no money paid, I'm afraid for the coming months.</v>
      </c>
    </row>
    <row r="879" ht="15.75" customHeight="1">
      <c r="A879" s="2">
        <v>5.0</v>
      </c>
      <c r="B879" s="2" t="s">
        <v>2417</v>
      </c>
      <c r="C879" s="2" t="s">
        <v>2418</v>
      </c>
      <c r="D879" s="2" t="s">
        <v>13</v>
      </c>
      <c r="E879" s="2" t="s">
        <v>14</v>
      </c>
      <c r="F879" s="2" t="s">
        <v>15</v>
      </c>
      <c r="G879" s="2" t="s">
        <v>639</v>
      </c>
      <c r="H879" s="2" t="s">
        <v>433</v>
      </c>
      <c r="I879" s="2" t="str">
        <f>IFERROR(__xludf.DUMMYFUNCTION("GOOGLETRANSLATE(C879,""fr"",""en"")"),"Satisfied with the online quote. I have not yet had an online advisor but wait to be re contacted to find out if the online price offers will be the same")</f>
        <v>Satisfied with the online quote. I have not yet had an online advisor but wait to be re contacted to find out if the online price offers will be the same</v>
      </c>
    </row>
    <row r="880" ht="15.75" customHeight="1">
      <c r="A880" s="2">
        <v>2.0</v>
      </c>
      <c r="B880" s="2" t="s">
        <v>2419</v>
      </c>
      <c r="C880" s="2" t="s">
        <v>2420</v>
      </c>
      <c r="D880" s="2" t="s">
        <v>45</v>
      </c>
      <c r="E880" s="2" t="s">
        <v>14</v>
      </c>
      <c r="F880" s="2" t="s">
        <v>15</v>
      </c>
      <c r="G880" s="2" t="s">
        <v>2421</v>
      </c>
      <c r="H880" s="2" t="s">
        <v>89</v>
      </c>
      <c r="I880" s="2" t="str">
        <f>IFERROR(__xludf.DUMMYFUNCTION("GOOGLETRANSLATE(C880,""fr"",""en"")"),"I have been at the Macif for so long that I have not remembered the number of years (+20 years?), And despite this, my wife and I are going to look for insurance in 2020 for our vehicles and house because the good of + + 35 % to have gone from 77 to 93 sh"&amp;"ocked us (distance of 3.7 km between our old apartment and our new house). Too bad because my confidence in the Macif was great.")</f>
        <v>I have been at the Macif for so long that I have not remembered the number of years (+20 years?), And despite this, my wife and I are going to look for insurance in 2020 for our vehicles and house because the good of + + 35 % to have gone from 77 to 93 shocked us (distance of 3.7 km between our old apartment and our new house). Too bad because my confidence in the Macif was great.</v>
      </c>
    </row>
    <row r="881" ht="15.75" customHeight="1">
      <c r="A881" s="2">
        <v>4.0</v>
      </c>
      <c r="B881" s="2" t="s">
        <v>2422</v>
      </c>
      <c r="C881" s="2" t="s">
        <v>2423</v>
      </c>
      <c r="D881" s="2" t="s">
        <v>87</v>
      </c>
      <c r="E881" s="2" t="s">
        <v>14</v>
      </c>
      <c r="F881" s="2" t="s">
        <v>15</v>
      </c>
      <c r="G881" s="2" t="s">
        <v>169</v>
      </c>
      <c r="H881" s="2" t="s">
        <v>169</v>
      </c>
      <c r="I881" s="2" t="str">
        <f>IFERROR(__xludf.DUMMYFUNCTION("GOOGLETRANSLATE(C881,""fr"",""en"")"),"The prices suit me, they are very attractive to the competition, and the use of the website is practical and simple, the documents are currently simple to fill out")</f>
        <v>The prices suit me, they are very attractive to the competition, and the use of the website is practical and simple, the documents are currently simple to fill out</v>
      </c>
    </row>
    <row r="882" ht="15.75" customHeight="1">
      <c r="A882" s="2">
        <v>4.0</v>
      </c>
      <c r="B882" s="2" t="s">
        <v>2424</v>
      </c>
      <c r="C882" s="2" t="s">
        <v>2425</v>
      </c>
      <c r="D882" s="2" t="s">
        <v>334</v>
      </c>
      <c r="E882" s="2" t="s">
        <v>31</v>
      </c>
      <c r="F882" s="2" t="s">
        <v>15</v>
      </c>
      <c r="G882" s="2" t="s">
        <v>168</v>
      </c>
      <c r="H882" s="2" t="s">
        <v>169</v>
      </c>
      <c r="I882" s="2" t="str">
        <f>IFERROR(__xludf.DUMMYFUNCTION("GOOGLETRANSLATE(C882,""fr"",""en"")"),"I was delighted with this exchange with Allassane who helped me be able to access my customer area also thank you to the gentleman who made me subscribe to the contract; two very friendly and very professional people thank you to you")</f>
        <v>I was delighted with this exchange with Allassane who helped me be able to access my customer area also thank you to the gentleman who made me subscribe to the contract; two very friendly and very professional people thank you to you</v>
      </c>
    </row>
    <row r="883" ht="15.75" customHeight="1">
      <c r="A883" s="2">
        <v>5.0</v>
      </c>
      <c r="B883" s="2" t="s">
        <v>2426</v>
      </c>
      <c r="C883" s="2" t="s">
        <v>2427</v>
      </c>
      <c r="D883" s="2" t="s">
        <v>13</v>
      </c>
      <c r="E883" s="2" t="s">
        <v>14</v>
      </c>
      <c r="F883" s="2" t="s">
        <v>15</v>
      </c>
      <c r="G883" s="2" t="s">
        <v>1309</v>
      </c>
      <c r="H883" s="2" t="s">
        <v>52</v>
      </c>
      <c r="I883" s="2" t="str">
        <f>IFERROR(__xludf.DUMMYFUNCTION("GOOGLETRANSLATE(C883,""fr"",""en"")"),"Hello, I am satisfied with your services and your responsiveness.
The price also suits me
I recommend direct insurance
Cordially
Clara Vin Kunssberg
")</f>
        <v>Hello, I am satisfied with your services and your responsiveness.
The price also suits me
I recommend direct insurance
Cordially
Clara Vin Kunssberg
</v>
      </c>
    </row>
    <row r="884" ht="15.75" customHeight="1">
      <c r="A884" s="2">
        <v>5.0</v>
      </c>
      <c r="B884" s="2" t="s">
        <v>2428</v>
      </c>
      <c r="C884" s="2" t="s">
        <v>2429</v>
      </c>
      <c r="D884" s="2" t="s">
        <v>87</v>
      </c>
      <c r="E884" s="2" t="s">
        <v>14</v>
      </c>
      <c r="F884" s="2" t="s">
        <v>15</v>
      </c>
      <c r="G884" s="2" t="s">
        <v>1068</v>
      </c>
      <c r="H884" s="2" t="s">
        <v>190</v>
      </c>
      <c r="I884" s="2" t="str">
        <f>IFERROR(__xludf.DUMMYFUNCTION("GOOGLETRANSLATE(C884,""fr"",""en"")"),"Fast, clear, without surprises and competitive! 3rd vehicle insured at the olive tree and always satisfied. In addition, they are available quickly by phone if necessary. Professional and attentive advisor, some ""historic"" insurances should be inspired "&amp;"...")</f>
        <v>Fast, clear, without surprises and competitive! 3rd vehicle insured at the olive tree and always satisfied. In addition, they are available quickly by phone if necessary. Professional and attentive advisor, some "historic" insurances should be inspired ...</v>
      </c>
    </row>
    <row r="885" ht="15.75" customHeight="1">
      <c r="A885" s="2">
        <v>1.0</v>
      </c>
      <c r="B885" s="2" t="s">
        <v>2430</v>
      </c>
      <c r="C885" s="2" t="s">
        <v>2431</v>
      </c>
      <c r="D885" s="2" t="s">
        <v>227</v>
      </c>
      <c r="E885" s="2" t="s">
        <v>14</v>
      </c>
      <c r="F885" s="2" t="s">
        <v>15</v>
      </c>
      <c r="G885" s="2" t="s">
        <v>2432</v>
      </c>
      <c r="H885" s="2" t="s">
        <v>61</v>
      </c>
      <c r="I885" s="2" t="str">
        <f>IFERROR(__xludf.DUMMYFUNCTION("GOOGLETRANSLATE(C885,""fr"",""en"")"),"I was the victim of a disaster in March 2021. Someone doubled me by the right and struck me. I continued it to note its plaque, but in vain. A person introduced himself to me and told me that he had seen everything that he had his plate number and that he"&amp;" could testify. So I filed a complaint at the police station and contact my insurer ... I gave the contact details of my witness and sent the complaint. While waiting for things to settle I had my side window replaced which had been broken during the shoc"&amp;"k after warning them. After a few months and a few messages to which I was answered completely next to it, I went to see my local agency to elucidate the problem. There, we learn with amazement that I had 4 claims to count and that the testimony of the pe"&amp;"rson as well as his contact details had disappeared ... Shortly after, I receive a registered letter which terminated my contract. So I go back to my agency, and for more than an hour, we have re -explained at all ... We finally come across a person who u"&amp;"nderstands, but not enough, probably ... I found myself with 2 sinister instead one. They had not made the relationship between the Ice Broke and the accident ... Even today, 6 months after the accident, I am still waiting for the reimbursement of the fra"&amp;"nchise I paid and the letter D 'Excuse and ""rehabilitation"" at 0% responsibility. I do not despair.")</f>
        <v>I was the victim of a disaster in March 2021. Someone doubled me by the right and struck me. I continued it to note its plaque, but in vain. A person introduced himself to me and told me that he had seen everything that he had his plate number and that he could testify. So I filed a complaint at the police station and contact my insurer ... I gave the contact details of my witness and sent the complaint. While waiting for things to settle I had my side window replaced which had been broken during the shock after warning them. After a few months and a few messages to which I was answered completely next to it, I went to see my local agency to elucidate the problem. There, we learn with amazement that I had 4 claims to count and that the testimony of the person as well as his contact details had disappeared ... Shortly after, I receive a registered letter which terminated my contract. So I go back to my agency, and for more than an hour, we have re -explained at all ... We finally come across a person who understands, but not enough, probably ... I found myself with 2 sinister instead one. They had not made the relationship between the Ice Broke and the accident ... Even today, 6 months after the accident, I am still waiting for the reimbursement of the franchise I paid and the letter D 'Excuse and "rehabilitation" at 0% responsibility. I do not despair.</v>
      </c>
    </row>
    <row r="886" ht="15.75" customHeight="1">
      <c r="A886" s="2">
        <v>2.0</v>
      </c>
      <c r="B886" s="2" t="s">
        <v>2433</v>
      </c>
      <c r="C886" s="2" t="s">
        <v>2434</v>
      </c>
      <c r="D886" s="2" t="s">
        <v>13</v>
      </c>
      <c r="E886" s="2" t="s">
        <v>14</v>
      </c>
      <c r="F886" s="2" t="s">
        <v>15</v>
      </c>
      <c r="G886" s="2" t="s">
        <v>340</v>
      </c>
      <c r="H886" s="2" t="s">
        <v>61</v>
      </c>
      <c r="I886" s="2" t="str">
        <f>IFERROR(__xludf.DUMMYFUNCTION("GOOGLETRANSLATE(C886,""fr"",""en"")"),"The monthly payments that increase each year even without a claim. Apart from sponsorship, no loyalty or discount. Application too someone")</f>
        <v>The monthly payments that increase each year even without a claim. Apart from sponsorship, no loyalty or discount. Application too someone</v>
      </c>
    </row>
    <row r="887" ht="15.75" customHeight="1">
      <c r="A887" s="2">
        <v>2.0</v>
      </c>
      <c r="B887" s="2" t="s">
        <v>2435</v>
      </c>
      <c r="C887" s="2" t="s">
        <v>2436</v>
      </c>
      <c r="D887" s="2" t="s">
        <v>319</v>
      </c>
      <c r="E887" s="2" t="s">
        <v>14</v>
      </c>
      <c r="F887" s="2" t="s">
        <v>15</v>
      </c>
      <c r="G887" s="2" t="s">
        <v>2437</v>
      </c>
      <c r="H887" s="2" t="s">
        <v>263</v>
      </c>
      <c r="I887" s="2" t="str">
        <f>IFERROR(__xludf.DUMMYFUNCTION("GOOGLETRANSLATE(C887,""fr"",""en"")"),"I have just been terminated after 26 years of automotive insurance subscription, because 1 ice breaker in 2019 and a parking loss in 2020, no commercial gesture after years of years, it is really disorienting Eurofil , Aviva to flee.
 I will delight anot"&amp;"her insurance")</f>
        <v>I have just been terminated after 26 years of automotive insurance subscription, because 1 ice breaker in 2019 and a parking loss in 2020, no commercial gesture after years of years, it is really disorienting Eurofil , Aviva to flee.
 I will delight another insurance</v>
      </c>
    </row>
    <row r="888" ht="15.75" customHeight="1">
      <c r="A888" s="2">
        <v>5.0</v>
      </c>
      <c r="B888" s="2" t="s">
        <v>2438</v>
      </c>
      <c r="C888" s="2" t="s">
        <v>2439</v>
      </c>
      <c r="D888" s="2" t="s">
        <v>87</v>
      </c>
      <c r="E888" s="2" t="s">
        <v>14</v>
      </c>
      <c r="F888" s="2" t="s">
        <v>15</v>
      </c>
      <c r="G888" s="2" t="s">
        <v>37</v>
      </c>
      <c r="H888" s="2" t="s">
        <v>38</v>
      </c>
      <c r="I888" s="2" t="str">
        <f>IFERROR(__xludf.DUMMYFUNCTION("GOOGLETRANSLATE(C888,""fr"",""en"")"),"This is my first auto insurance contract and I am delighted to have chosen the Olivier Insurance, they offered me a very competitive rate, and offer excellent customer service. They were able to accompany me in the steps and explain the procedures to me a"&amp;"s well as the terms of the contract. This last part was essential in my eyes not being experienced at all, and they patiently explained everything to me, with clarity and kindness. I fully recommend.")</f>
        <v>This is my first auto insurance contract and I am delighted to have chosen the Olivier Insurance, they offered me a very competitive rate, and offer excellent customer service. They were able to accompany me in the steps and explain the procedures to me as well as the terms of the contract. This last part was essential in my eyes not being experienced at all, and they patiently explained everything to me, with clarity and kindness. I fully recommend.</v>
      </c>
    </row>
    <row r="889" ht="15.75" customHeight="1">
      <c r="A889" s="2">
        <v>2.0</v>
      </c>
      <c r="B889" s="2" t="s">
        <v>2440</v>
      </c>
      <c r="C889" s="2" t="s">
        <v>2441</v>
      </c>
      <c r="D889" s="2" t="s">
        <v>45</v>
      </c>
      <c r="E889" s="2" t="s">
        <v>55</v>
      </c>
      <c r="F889" s="2" t="s">
        <v>15</v>
      </c>
      <c r="G889" s="2" t="s">
        <v>2442</v>
      </c>
      <c r="H889" s="2" t="s">
        <v>386</v>
      </c>
      <c r="I889" s="2" t="str">
        <f>IFERROR(__xludf.DUMMYFUNCTION("GOOGLETRANSLATE(C889,""fr"",""en"")"),"Hello, first of all I think that the quality of service is different depending on the agencies. I have been customer for 35 years in PR without any problem. Following the deceased of my stepfather in January 2016, I resumed the affairs of my 95-year-old m"&amp;"other, the agency concerned is located in the 66. Since then I had 2 times to do with them, the first time To change the driver who was a real obstacle course, I go! The second avatar which is underway, rather when stopping, a water damage occurred on Dec"&amp;"ember 18, 2017 in the house that I put on sale since the old lady of 95 can no longer live alone, so a priori nothing Very complicated, since this house is 28 m2, empty, cut water, EDF coupé and there we go from the dark side of the force for 4 months, le"&amp;"tters, emails, telephone, nothing ... I forgot, as the expertise seems Exterminate, I had the plumb to ask them for a schedule because when we have to do 1800 km each time the expert whistles us, we must organize. For the moment I am waiting for something"&amp;". I still laugh a little because the situation is Kafkaiian, but I think that in the long term it will not end well! For the candids the certification which attests that the Macif responds to the 24 AFNOR quality commitments, it is surely an accessory so "&amp;"that the +little ones can sit on it!")</f>
        <v>Hello, first of all I think that the quality of service is different depending on the agencies. I have been customer for 35 years in PR without any problem. Following the deceased of my stepfather in January 2016, I resumed the affairs of my 95-year-old mother, the agency concerned is located in the 66. Since then I had 2 times to do with them, the first time To change the driver who was a real obstacle course, I go! The second avatar which is underway, rather when stopping, a water damage occurred on December 18, 2017 in the house that I put on sale since the old lady of 95 can no longer live alone, so a priori nothing Very complicated, since this house is 28 m2, empty, cut water, EDF coupé and there we go from the dark side of the force for 4 months, letters, emails, telephone, nothing ... I forgot, as the expertise seems Exterminate, I had the plumb to ask them for a schedule because when we have to do 1800 km each time the expert whistles us, we must organize. For the moment I am waiting for something. I still laugh a little because the situation is Kafkaiian, but I think that in the long term it will not end well! For the candids the certification which attests that the Macif responds to the 24 AFNOR quality commitments, it is surely an accessory so that the +little ones can sit on it!</v>
      </c>
    </row>
    <row r="890" ht="15.75" customHeight="1">
      <c r="A890" s="2">
        <v>1.0</v>
      </c>
      <c r="B890" s="2" t="s">
        <v>2443</v>
      </c>
      <c r="C890" s="2" t="s">
        <v>2444</v>
      </c>
      <c r="D890" s="2" t="s">
        <v>375</v>
      </c>
      <c r="E890" s="2" t="s">
        <v>232</v>
      </c>
      <c r="F890" s="2" t="s">
        <v>15</v>
      </c>
      <c r="G890" s="2" t="s">
        <v>2445</v>
      </c>
      <c r="H890" s="2" t="s">
        <v>186</v>
      </c>
      <c r="I890" s="2" t="str">
        <f>IFERROR(__xludf.DUMMYFUNCTION("GOOGLETRANSLATE(C890,""fr"",""en"")"),"To flee ! If you unfortunately have health problems, they will not compensate you. Instead, they constantly ask you for documents already provided or impossible to provide to discourage you ... and that does not help your state of health.
I bitterly regr"&amp;"et having contracted this insurance. I will have done better to pay more but at least I will have been compensated in the event of a glitch. I hope it will not happen to me anything more serious but I think I will change insurance to be able to be covered"&amp;" in case because I no longer have confidence in them.
")</f>
        <v>To flee ! If you unfortunately have health problems, they will not compensate you. Instead, they constantly ask you for documents already provided or impossible to provide to discourage you ... and that does not help your state of health.
I bitterly regret having contracted this insurance. I will have done better to pay more but at least I will have been compensated in the event of a glitch. I hope it will not happen to me anything more serious but I think I will change insurance to be able to be covered in case because I no longer have confidence in them.
</v>
      </c>
    </row>
    <row r="891" ht="15.75" customHeight="1">
      <c r="A891" s="2">
        <v>3.0</v>
      </c>
      <c r="B891" s="2" t="s">
        <v>2446</v>
      </c>
      <c r="C891" s="2" t="s">
        <v>2447</v>
      </c>
      <c r="D891" s="2" t="s">
        <v>13</v>
      </c>
      <c r="E891" s="2" t="s">
        <v>14</v>
      </c>
      <c r="F891" s="2" t="s">
        <v>15</v>
      </c>
      <c r="G891" s="2" t="s">
        <v>1184</v>
      </c>
      <c r="H891" s="2" t="s">
        <v>52</v>
      </c>
      <c r="I891" s="2" t="str">
        <f>IFERROR(__xludf.DUMMYFUNCTION("GOOGLETRANSLATE(C891,""fr"",""en"")"),"Studing 2021, price much more attractive than competition which tends to increase them too much. To be monitored later. As long as the approach is not similar here in the future")</f>
        <v>Studing 2021, price much more attractive than competition which tends to increase them too much. To be monitored later. As long as the approach is not similar here in the future</v>
      </c>
    </row>
    <row r="892" ht="15.75" customHeight="1">
      <c r="A892" s="2">
        <v>5.0</v>
      </c>
      <c r="B892" s="2" t="s">
        <v>2448</v>
      </c>
      <c r="C892" s="2" t="s">
        <v>2449</v>
      </c>
      <c r="D892" s="2" t="s">
        <v>50</v>
      </c>
      <c r="E892" s="2" t="s">
        <v>21</v>
      </c>
      <c r="F892" s="2" t="s">
        <v>15</v>
      </c>
      <c r="G892" s="2" t="s">
        <v>389</v>
      </c>
      <c r="H892" s="2" t="s">
        <v>169</v>
      </c>
      <c r="I892" s="2" t="str">
        <f>IFERROR(__xludf.DUMMYFUNCTION("GOOGLETRANSLATE(C892,""fr"",""en"")"),"Very well I highly recommend this very complete insurance I recommend it for people who wish to take for the first time thank you.")</f>
        <v>Very well I highly recommend this very complete insurance I recommend it for people who wish to take for the first time thank you.</v>
      </c>
    </row>
    <row r="893" ht="15.75" customHeight="1">
      <c r="A893" s="2">
        <v>4.0</v>
      </c>
      <c r="B893" s="2" t="s">
        <v>2450</v>
      </c>
      <c r="C893" s="2" t="s">
        <v>2451</v>
      </c>
      <c r="D893" s="2" t="s">
        <v>334</v>
      </c>
      <c r="E893" s="2" t="s">
        <v>31</v>
      </c>
      <c r="F893" s="2" t="s">
        <v>15</v>
      </c>
      <c r="G893" s="2" t="s">
        <v>259</v>
      </c>
      <c r="H893" s="2" t="s">
        <v>169</v>
      </c>
      <c r="I893" s="2" t="str">
        <f>IFERROR(__xludf.DUMMYFUNCTION("GOOGLETRANSLATE(C893,""fr"",""en"")"),"I have been a member since January 2019, and I am fully satisfied with the availability of advisers, the processing speed of my file, and prices. I highly recommend this insurance to multiple options, and to the best value for money according to your requ"&amp;"ests.")</f>
        <v>I have been a member since January 2019, and I am fully satisfied with the availability of advisers, the processing speed of my file, and prices. I highly recommend this insurance to multiple options, and to the best value for money according to your requests.</v>
      </c>
    </row>
    <row r="894" ht="15.75" customHeight="1">
      <c r="A894" s="2">
        <v>4.0</v>
      </c>
      <c r="B894" s="2" t="s">
        <v>2452</v>
      </c>
      <c r="C894" s="2" t="s">
        <v>2453</v>
      </c>
      <c r="D894" s="2" t="s">
        <v>87</v>
      </c>
      <c r="E894" s="2" t="s">
        <v>14</v>
      </c>
      <c r="F894" s="2" t="s">
        <v>15</v>
      </c>
      <c r="G894" s="2" t="s">
        <v>2454</v>
      </c>
      <c r="H894" s="2" t="s">
        <v>89</v>
      </c>
      <c r="I894" s="2" t="str">
        <f>IFERROR(__xludf.DUMMYFUNCTION("GOOGLETRANSLATE(C894,""fr"",""en"")"),"Very good insurance who does not hesitate to assure the young people without any concerns advise on top I have been there for 2 years I have never had any problems always listening to your customers thank you the olive tree.")</f>
        <v>Very good insurance who does not hesitate to assure the young people without any concerns advise on top I have been there for 2 years I have never had any problems always listening to your customers thank you the olive tree.</v>
      </c>
    </row>
    <row r="895" ht="15.75" customHeight="1">
      <c r="A895" s="2">
        <v>5.0</v>
      </c>
      <c r="B895" s="2" t="s">
        <v>2455</v>
      </c>
      <c r="C895" s="2" t="s">
        <v>2456</v>
      </c>
      <c r="D895" s="2" t="s">
        <v>164</v>
      </c>
      <c r="E895" s="2" t="s">
        <v>14</v>
      </c>
      <c r="F895" s="2" t="s">
        <v>15</v>
      </c>
      <c r="G895" s="2" t="s">
        <v>2457</v>
      </c>
      <c r="H895" s="2" t="s">
        <v>47</v>
      </c>
      <c r="I895" s="2" t="str">
        <f>IFERROR(__xludf.DUMMYFUNCTION("GOOGLETRANSLATE(C895,""fr"",""en"")"),"The Matmut really ensures, competitive price (good driver for 20 years so super bonus) Empathic agency and telephone reception, processing files: adapted and fast response, respect for the contract which is very clear and better than many other companies."&amp;" Practical and clear internet communication and rapid return")</f>
        <v>The Matmut really ensures, competitive price (good driver for 20 years so super bonus) Empathic agency and telephone reception, processing files: adapted and fast response, respect for the contract which is very clear and better than many other companies. Practical and clear internet communication and rapid return</v>
      </c>
    </row>
    <row r="896" ht="15.75" customHeight="1">
      <c r="A896" s="2">
        <v>1.0</v>
      </c>
      <c r="B896" s="2" t="s">
        <v>2458</v>
      </c>
      <c r="C896" s="2" t="s">
        <v>2459</v>
      </c>
      <c r="D896" s="2" t="s">
        <v>13</v>
      </c>
      <c r="E896" s="2" t="s">
        <v>14</v>
      </c>
      <c r="F896" s="2" t="s">
        <v>15</v>
      </c>
      <c r="G896" s="2" t="s">
        <v>799</v>
      </c>
      <c r="H896" s="2" t="s">
        <v>61</v>
      </c>
      <c r="I896" s="2" t="str">
        <f>IFERROR(__xludf.DUMMYFUNCTION("GOOGLETRANSLATE(C896,""fr"",""en"")"),"Hello, the amount of the new subscription that I received for 2021 is very excessive. He has continued to increase each year without justification.
I wish to terminate")</f>
        <v>Hello, the amount of the new subscription that I received for 2021 is very excessive. He has continued to increase each year without justification.
I wish to terminate</v>
      </c>
    </row>
    <row r="897" ht="15.75" customHeight="1">
      <c r="A897" s="2">
        <v>2.0</v>
      </c>
      <c r="B897" s="2" t="s">
        <v>2460</v>
      </c>
      <c r="C897" s="2" t="s">
        <v>2461</v>
      </c>
      <c r="D897" s="2" t="s">
        <v>70</v>
      </c>
      <c r="E897" s="2" t="s">
        <v>31</v>
      </c>
      <c r="F897" s="2" t="s">
        <v>15</v>
      </c>
      <c r="G897" s="2" t="s">
        <v>573</v>
      </c>
      <c r="H897" s="2" t="s">
        <v>209</v>
      </c>
      <c r="I897" s="2" t="str">
        <f>IFERROR(__xludf.DUMMYFUNCTION("GOOGLETRANSLATE(C897,""fr"",""en"")"),"Following a bad approach from a broker I wanted to terminate and this was done quickly thanks to Widad. I think that the mutual can be good but the brokers send the contract to the date of termination which is a shame")</f>
        <v>Following a bad approach from a broker I wanted to terminate and this was done quickly thanks to Widad. I think that the mutual can be good but the brokers send the contract to the date of termination which is a shame</v>
      </c>
    </row>
    <row r="898" ht="15.75" customHeight="1">
      <c r="A898" s="2">
        <v>4.0</v>
      </c>
      <c r="B898" s="2" t="s">
        <v>2462</v>
      </c>
      <c r="C898" s="2" t="s">
        <v>2463</v>
      </c>
      <c r="D898" s="2" t="s">
        <v>201</v>
      </c>
      <c r="E898" s="2" t="s">
        <v>21</v>
      </c>
      <c r="F898" s="2" t="s">
        <v>15</v>
      </c>
      <c r="G898" s="2" t="s">
        <v>256</v>
      </c>
      <c r="H898" s="2" t="s">
        <v>52</v>
      </c>
      <c r="I898" s="2" t="str">
        <f>IFERROR(__xludf.DUMMYFUNCTION("GOOGLETRANSLATE(C898,""fr"",""en"")"),"I have been with you for years no good value for money and answer the phone quickly and are professional access to fast internet less than 10 minutes")</f>
        <v>I have been with you for years no good value for money and answer the phone quickly and are professional access to fast internet less than 10 minutes</v>
      </c>
    </row>
    <row r="899" ht="15.75" customHeight="1">
      <c r="A899" s="2">
        <v>3.0</v>
      </c>
      <c r="B899" s="2" t="s">
        <v>2464</v>
      </c>
      <c r="C899" s="2" t="s">
        <v>2465</v>
      </c>
      <c r="D899" s="2" t="s">
        <v>13</v>
      </c>
      <c r="E899" s="2" t="s">
        <v>14</v>
      </c>
      <c r="F899" s="2" t="s">
        <v>15</v>
      </c>
      <c r="G899" s="2" t="s">
        <v>2466</v>
      </c>
      <c r="H899" s="2" t="s">
        <v>433</v>
      </c>
      <c r="I899" s="2" t="str">
        <f>IFERROR(__xludf.DUMMYFUNCTION("GOOGLETRANSLATE(C899,""fr"",""en"")"),"I am satisfied with the information communicated by Direct Insurance. This allowed me to be able to ask for a quote according to my requests since it is the first insurance that I take out.")</f>
        <v>I am satisfied with the information communicated by Direct Insurance. This allowed me to be able to ask for a quote according to my requests since it is the first insurance that I take out.</v>
      </c>
    </row>
    <row r="900" ht="15.75" customHeight="1">
      <c r="A900" s="2">
        <v>1.0</v>
      </c>
      <c r="B900" s="2" t="s">
        <v>2467</v>
      </c>
      <c r="C900" s="2" t="s">
        <v>2468</v>
      </c>
      <c r="D900" s="2" t="s">
        <v>164</v>
      </c>
      <c r="E900" s="2" t="s">
        <v>55</v>
      </c>
      <c r="F900" s="2" t="s">
        <v>15</v>
      </c>
      <c r="G900" s="2" t="s">
        <v>1803</v>
      </c>
      <c r="H900" s="2" t="s">
        <v>1315</v>
      </c>
      <c r="I900" s="2" t="str">
        <f>IFERROR(__xludf.DUMMYFUNCTION("GOOGLETRANSLATE(C900,""fr"",""en"")"),"Hello frankly do not make sure at Matmut no service, it's been 10 anbonjs that I am at home no problem with my home cars, he never made a commercial gesture level reception zero on asnières a coldness I have never seen his world turns Upwards we are a cus"&amp;"tomer he is talking to you badly I am on Asnières sur Seine, I had a problem with my account for the discount I just explain to them to redo the discount he refuses me I ask my all of the twelve months insurance, I did not understand 10 years of seniority"&amp;" he treats my shit I advise you not to make sure you at home if Matmut want to contact me no worries")</f>
        <v>Hello frankly do not make sure at Matmut no service, it's been 10 anbonjs that I am at home no problem with my home cars, he never made a commercial gesture level reception zero on asnières a coldness I have never seen his world turns Upwards we are a customer he is talking to you badly I am on Asnières sur Seine, I had a problem with my account for the discount I just explain to them to redo the discount he refuses me I ask my all of the twelve months insurance, I did not understand 10 years of seniority he treats my shit I advise you not to make sure you at home if Matmut want to contact me no worries</v>
      </c>
    </row>
    <row r="901" ht="15.75" customHeight="1">
      <c r="A901" s="2">
        <v>5.0</v>
      </c>
      <c r="B901" s="2" t="s">
        <v>2469</v>
      </c>
      <c r="C901" s="2" t="s">
        <v>2470</v>
      </c>
      <c r="D901" s="2" t="s">
        <v>87</v>
      </c>
      <c r="E901" s="2" t="s">
        <v>14</v>
      </c>
      <c r="F901" s="2" t="s">
        <v>15</v>
      </c>
      <c r="G901" s="2" t="s">
        <v>1221</v>
      </c>
      <c r="H901" s="2" t="s">
        <v>42</v>
      </c>
      <c r="I901" s="2" t="str">
        <f>IFERROR(__xludf.DUMMYFUNCTION("GOOGLETRANSLATE(C901,""fr"",""en"")"),"Very happy with the services of the olive tree.
I provided 2 cars and sponsor a friend which allowed me to have a reduction
Correct value for money")</f>
        <v>Very happy with the services of the olive tree.
I provided 2 cars and sponsor a friend which allowed me to have a reduction
Correct value for money</v>
      </c>
    </row>
    <row r="902" ht="15.75" customHeight="1">
      <c r="A902" s="2">
        <v>1.0</v>
      </c>
      <c r="B902" s="2" t="s">
        <v>2471</v>
      </c>
      <c r="C902" s="2" t="s">
        <v>2472</v>
      </c>
      <c r="D902" s="2" t="s">
        <v>271</v>
      </c>
      <c r="E902" s="2" t="s">
        <v>55</v>
      </c>
      <c r="F902" s="2" t="s">
        <v>15</v>
      </c>
      <c r="G902" s="2" t="s">
        <v>109</v>
      </c>
      <c r="H902" s="2" t="s">
        <v>110</v>
      </c>
      <c r="I902" s="2" t="str">
        <f>IFERROR(__xludf.DUMMYFUNCTION("GOOGLETRANSLATE(C902,""fr"",""en"")"),"Following the damage of the drought, the ACMs, to reduce the amount of compensation called on a company which seems to be empowered to intervene on the foundations (no declared employee). Thus, for lack of money, I do not find any company which agrees to "&amp;"carry out the work of the resumption under work of the foundations of my house. With that, the ACMs on the one hand refuse to communicate to me with standard business addresses which agree to carry out the work for the proposed amount and on the other han"&amp;"d affirm ""lack of new elements, ...., the position ACMs remain unchanged on these points. ”
? How to get out of this inextricable situation?
")</f>
        <v>Following the damage of the drought, the ACMs, to reduce the amount of compensation called on a company which seems to be empowered to intervene on the foundations (no declared employee). Thus, for lack of money, I do not find any company which agrees to carry out the work of the resumption under work of the foundations of my house. With that, the ACMs on the one hand refuse to communicate to me with standard business addresses which agree to carry out the work for the proposed amount and on the other hand affirm "lack of new elements, ...., the position ACMs remain unchanged on these points. ”
? How to get out of this inextricable situation?
</v>
      </c>
    </row>
    <row r="903" ht="15.75" customHeight="1">
      <c r="A903" s="2">
        <v>4.0</v>
      </c>
      <c r="B903" s="2" t="s">
        <v>2473</v>
      </c>
      <c r="C903" s="2" t="s">
        <v>2474</v>
      </c>
      <c r="D903" s="2" t="s">
        <v>87</v>
      </c>
      <c r="E903" s="2" t="s">
        <v>14</v>
      </c>
      <c r="F903" s="2" t="s">
        <v>15</v>
      </c>
      <c r="G903" s="2" t="s">
        <v>1944</v>
      </c>
      <c r="H903" s="2" t="s">
        <v>190</v>
      </c>
      <c r="I903" s="2" t="str">
        <f>IFERROR(__xludf.DUMMYFUNCTION("GOOGLETRANSLATE(C903,""fr"",""en"")"),"I am satisfied with the service and the prices suit me.
Each request is the subject of rapid processing and the availability of advisers and their efficiency is very appreciable.")</f>
        <v>I am satisfied with the service and the prices suit me.
Each request is the subject of rapid processing and the availability of advisers and their efficiency is very appreciable.</v>
      </c>
    </row>
    <row r="904" ht="15.75" customHeight="1">
      <c r="A904" s="2">
        <v>1.0</v>
      </c>
      <c r="B904" s="2" t="s">
        <v>2475</v>
      </c>
      <c r="C904" s="2" t="s">
        <v>2476</v>
      </c>
      <c r="D904" s="2" t="s">
        <v>13</v>
      </c>
      <c r="E904" s="2" t="s">
        <v>14</v>
      </c>
      <c r="F904" s="2" t="s">
        <v>15</v>
      </c>
      <c r="G904" s="2" t="s">
        <v>2477</v>
      </c>
      <c r="H904" s="2" t="s">
        <v>400</v>
      </c>
      <c r="I904" s="2" t="str">
        <f>IFERROR(__xludf.DUMMYFUNCTION("GOOGLETRANSLATE(C904,""fr"",""en"")")," Unimaginable !!! It is necessary to say it: your insurance contract has no value because this insurer advances you clauses which are not registered in your contract. Your telephone communications (when they are reachable) are oriented so that the situati"&amp;"on is to their advantage, to avoid any change or reimbursement. In short, are we insured when we subscribe to Direct Insurance ??? Read the various opinions and do not do like me: afterwards, it is too late! I have 3 auto contracts and a home contract wit"&amp;"h them, finally as much to say that I am not insured. Do you want some concrete details? 1) Housing: loss of water infiltration not supported. In writing, the information is different from what you are told on the phone. 2) Auto: Impossible to change the "&amp;"secondary driver if he is not spouse, ascendant (e) or child. These are their ""internal clauses"" as they answer you, not inscribed in your contract. It seems to me that this is contrary to the law. I asked that they put their ""homemade clauses"" (as th"&amp;"ey say) in writing, but I'm still waiting.
Finally I terminate all my contracts to end this marketing insurer.")</f>
        <v> Unimaginable !!! It is necessary to say it: your insurance contract has no value because this insurer advances you clauses which are not registered in your contract. Your telephone communications (when they are reachable) are oriented so that the situation is to their advantage, to avoid any change or reimbursement. In short, are we insured when we subscribe to Direct Insurance ??? Read the various opinions and do not do like me: afterwards, it is too late! I have 3 auto contracts and a home contract with them, finally as much to say that I am not insured. Do you want some concrete details? 1) Housing: loss of water infiltration not supported. In writing, the information is different from what you are told on the phone. 2) Auto: Impossible to change the secondary driver if he is not spouse, ascendant (e) or child. These are their "internal clauses" as they answer you, not inscribed in your contract. It seems to me that this is contrary to the law. I asked that they put their "homemade clauses" (as they say) in writing, but I'm still waiting.
Finally I terminate all my contracts to end this marketing insurer.</v>
      </c>
    </row>
    <row r="905" ht="15.75" customHeight="1">
      <c r="A905" s="2">
        <v>4.0</v>
      </c>
      <c r="B905" s="2" t="s">
        <v>2478</v>
      </c>
      <c r="C905" s="2" t="s">
        <v>2479</v>
      </c>
      <c r="D905" s="2" t="s">
        <v>2480</v>
      </c>
      <c r="E905" s="2" t="s">
        <v>65</v>
      </c>
      <c r="F905" s="2" t="s">
        <v>15</v>
      </c>
      <c r="G905" s="2" t="s">
        <v>1935</v>
      </c>
      <c r="H905" s="2" t="s">
        <v>209</v>
      </c>
      <c r="I905" s="2" t="str">
        <f>IFERROR(__xludf.DUMMYFUNCTION("GOOGLETRANSLATE(C905,""fr"",""en"")"),"Very good advice a priori. It is regrettable that investments in euros are guaranteed reduced by higher commissions than in competition")</f>
        <v>Very good advice a priori. It is regrettable that investments in euros are guaranteed reduced by higher commissions than in competition</v>
      </c>
    </row>
    <row r="906" ht="15.75" customHeight="1">
      <c r="A906" s="2">
        <v>3.0</v>
      </c>
      <c r="B906" s="2" t="s">
        <v>2481</v>
      </c>
      <c r="C906" s="2" t="s">
        <v>2482</v>
      </c>
      <c r="D906" s="2" t="s">
        <v>13</v>
      </c>
      <c r="E906" s="2" t="s">
        <v>14</v>
      </c>
      <c r="F906" s="2" t="s">
        <v>15</v>
      </c>
      <c r="G906" s="2" t="s">
        <v>2483</v>
      </c>
      <c r="H906" s="2" t="s">
        <v>751</v>
      </c>
      <c r="I906" s="2" t="str">
        <f>IFERROR(__xludf.DUMMYFUNCTION("GOOGLETRANSLATE(C906,""fr"",""en"")"),"The policy of this insurer is quite unpleasant. I made an online quote and when I wanted to make sure, the price has increased by 5th and once all the documents sent, the price has increased by 5 euros, it is annoying but if it does not represent by great")</f>
        <v>The policy of this insurer is quite unpleasant. I made an online quote and when I wanted to make sure, the price has increased by 5th and once all the documents sent, the price has increased by 5 euros, it is annoying but if it does not represent by great</v>
      </c>
    </row>
    <row r="907" ht="15.75" customHeight="1">
      <c r="A907" s="2">
        <v>1.0</v>
      </c>
      <c r="B907" s="2" t="s">
        <v>2484</v>
      </c>
      <c r="C907" s="2" t="s">
        <v>2485</v>
      </c>
      <c r="D907" s="2" t="s">
        <v>87</v>
      </c>
      <c r="E907" s="2" t="s">
        <v>14</v>
      </c>
      <c r="F907" s="2" t="s">
        <v>15</v>
      </c>
      <c r="G907" s="2" t="s">
        <v>60</v>
      </c>
      <c r="H907" s="2" t="s">
        <v>61</v>
      </c>
      <c r="I907" s="2" t="str">
        <f>IFERROR(__xludf.DUMMYFUNCTION("GOOGLETRANSLATE(C907,""fr"",""en"")"),"I do not recommend this insurance,
They are good that when it announces the price but do not have to worry about what you will never be taken care of and no refund will be made")</f>
        <v>I do not recommend this insurance,
They are good that when it announces the price but do not have to worry about what you will never be taken care of and no refund will be made</v>
      </c>
    </row>
    <row r="908" ht="15.75" customHeight="1">
      <c r="A908" s="2">
        <v>1.0</v>
      </c>
      <c r="B908" s="2" t="s">
        <v>2486</v>
      </c>
      <c r="C908" s="2" t="s">
        <v>2487</v>
      </c>
      <c r="D908" s="2" t="s">
        <v>330</v>
      </c>
      <c r="E908" s="2" t="s">
        <v>31</v>
      </c>
      <c r="F908" s="2" t="s">
        <v>15</v>
      </c>
      <c r="G908" s="2" t="s">
        <v>1967</v>
      </c>
      <c r="H908" s="2" t="s">
        <v>110</v>
      </c>
      <c r="I908" s="2" t="str">
        <f>IFERROR(__xludf.DUMMYFUNCTION("GOOGLETRANSLATE(C908,""fr"",""en"")"),"A mutual that has not done her job since she diversified, the virus has a good back, delay in the payment of my AJ, promises not held, depending on the person you have on the phone.")</f>
        <v>A mutual that has not done her job since she diversified, the virus has a good back, delay in the payment of my AJ, promises not held, depending on the person you have on the phone.</v>
      </c>
    </row>
    <row r="909" ht="15.75" customHeight="1">
      <c r="A909" s="2">
        <v>1.0</v>
      </c>
      <c r="B909" s="2" t="s">
        <v>2488</v>
      </c>
      <c r="C909" s="2" t="s">
        <v>2489</v>
      </c>
      <c r="D909" s="2" t="s">
        <v>406</v>
      </c>
      <c r="E909" s="2" t="s">
        <v>65</v>
      </c>
      <c r="F909" s="2" t="s">
        <v>15</v>
      </c>
      <c r="G909" s="2" t="s">
        <v>2490</v>
      </c>
      <c r="H909" s="2" t="s">
        <v>480</v>
      </c>
      <c r="I909" s="2" t="str">
        <f>IFERROR(__xludf.DUMMYFUNCTION("GOOGLETRANSLATE(C909,""fr"",""en"")"),"Of a nameless mediocrity! Extending deadlines, no listening, no dialogue, an unreasonable wait to have someone on the phone, a processing of files that lack seriousness. In short, apart from being less rich at the end of the month this insurance is useles"&amp;"s.")</f>
        <v>Of a nameless mediocrity! Extending deadlines, no listening, no dialogue, an unreasonable wait to have someone on the phone, a processing of files that lack seriousness. In short, apart from being less rich at the end of the month this insurance is useless.</v>
      </c>
    </row>
    <row r="910" ht="15.75" customHeight="1">
      <c r="A910" s="2">
        <v>2.0</v>
      </c>
      <c r="B910" s="2" t="s">
        <v>2491</v>
      </c>
      <c r="C910" s="2" t="s">
        <v>2492</v>
      </c>
      <c r="D910" s="2" t="s">
        <v>64</v>
      </c>
      <c r="E910" s="2" t="s">
        <v>65</v>
      </c>
      <c r="F910" s="2" t="s">
        <v>15</v>
      </c>
      <c r="G910" s="2" t="s">
        <v>2493</v>
      </c>
      <c r="H910" s="2" t="s">
        <v>89</v>
      </c>
      <c r="I910" s="2" t="str">
        <f>IFERROR(__xludf.DUMMYFUNCTION("GOOGLETRANSLATE(C910,""fr"",""en"")"),"I was on sick leave (pro) for surgical intervention from July 2017 to November 2018, resumption of therapeutic half-time following my judgment until February 1, 2019. And I received no compensation from AG2R. And when I call I am referred to my employer, "&amp;"and the secretary of my employer answers me we sent the file.
I’ve been back on September 27, 2019 and currently in therapeutic half-time since November 11, 2019 awaiting surgery. I am a loss of salary of 250 euros per month. And always the same we refer"&amp;" the ball between the company and the complementary to date no explanation of this loss of salary.")</f>
        <v>I was on sick leave (pro) for surgical intervention from July 2017 to November 2018, resumption of therapeutic half-time following my judgment until February 1, 2019. And I received no compensation from AG2R. And when I call I am referred to my employer, and the secretary of my employer answers me we sent the file.
I’ve been back on September 27, 2019 and currently in therapeutic half-time since November 11, 2019 awaiting surgery. I am a loss of salary of 250 euros per month. And always the same we refer the ball between the company and the complementary to date no explanation of this loss of salary.</v>
      </c>
    </row>
    <row r="911" ht="15.75" customHeight="1">
      <c r="A911" s="2">
        <v>1.0</v>
      </c>
      <c r="B911" s="2" t="s">
        <v>2494</v>
      </c>
      <c r="C911" s="2" t="s">
        <v>2495</v>
      </c>
      <c r="D911" s="2" t="s">
        <v>70</v>
      </c>
      <c r="E911" s="2" t="s">
        <v>31</v>
      </c>
      <c r="F911" s="2" t="s">
        <v>15</v>
      </c>
      <c r="G911" s="2" t="s">
        <v>1269</v>
      </c>
      <c r="H911" s="2" t="s">
        <v>446</v>
      </c>
      <c r="I911" s="2" t="str">
        <f>IFERROR(__xludf.DUMMYFUNCTION("GOOGLETRANSLATE(C911,""fr"",""en"")"),"I had online on April 25 a person from Neoliane. Who told me on the phone that according to the new Macron law of April 1, 2019 my current mutual insurance I spent several people on the phone. A subscription with electronic signature is made. I have to da"&amp;"te no contract in hand and I have not signed any manuscript contracts. However, having doubts I call my today mutual that tells me that no one from home has mandated this insurance and that my contract has not changed. Pratic more than doubtful it is sham"&amp;"eful this kind of procedure. I realize that I have been had.jj Fortunately, 14 days to retract that I will do quickly")</f>
        <v>I had online on April 25 a person from Neoliane. Who told me on the phone that according to the new Macron law of April 1, 2019 my current mutual insurance I spent several people on the phone. A subscription with electronic signature is made. I have to date no contract in hand and I have not signed any manuscript contracts. However, having doubts I call my today mutual that tells me that no one from home has mandated this insurance and that my contract has not changed. Pratic more than doubtful it is shameful this kind of procedure. I realize that I have been had.jj Fortunately, 14 days to retract that I will do quickly</v>
      </c>
    </row>
    <row r="912" ht="15.75" customHeight="1">
      <c r="A912" s="2">
        <v>5.0</v>
      </c>
      <c r="B912" s="2" t="s">
        <v>2496</v>
      </c>
      <c r="C912" s="2" t="s">
        <v>2497</v>
      </c>
      <c r="D912" s="2" t="s">
        <v>87</v>
      </c>
      <c r="E912" s="2" t="s">
        <v>14</v>
      </c>
      <c r="F912" s="2" t="s">
        <v>15</v>
      </c>
      <c r="G912" s="2" t="s">
        <v>168</v>
      </c>
      <c r="H912" s="2" t="s">
        <v>169</v>
      </c>
      <c r="I912" s="2" t="str">
        <f>IFERROR(__xludf.DUMMYFUNCTION("GOOGLETRANSLATE(C912,""fr"",""en"")"),"I am satisfied with the olive assurance
The very emphatic advisor
Monitoring of my very fast file
I recommend this insurance company
Thank you also for sponsorship")</f>
        <v>I am satisfied with the olive assurance
The very emphatic advisor
Monitoring of my very fast file
I recommend this insurance company
Thank you also for sponsorship</v>
      </c>
    </row>
    <row r="913" ht="15.75" customHeight="1">
      <c r="A913" s="2">
        <v>4.0</v>
      </c>
      <c r="B913" s="2" t="s">
        <v>2498</v>
      </c>
      <c r="C913" s="2" t="s">
        <v>2499</v>
      </c>
      <c r="D913" s="2" t="s">
        <v>832</v>
      </c>
      <c r="E913" s="2" t="s">
        <v>232</v>
      </c>
      <c r="F913" s="2" t="s">
        <v>15</v>
      </c>
      <c r="G913" s="2" t="s">
        <v>2500</v>
      </c>
      <c r="H913" s="2" t="s">
        <v>52</v>
      </c>
      <c r="I913" s="2" t="str">
        <f>IFERROR(__xludf.DUMMYFUNCTION("GOOGLETRANSLATE(C913,""fr"",""en"")"),"I am satisfied, interesting price nice welcome, I hope that the rest will go as well. In the end, I save about twenty five percent")</f>
        <v>I am satisfied, interesting price nice welcome, I hope that the rest will go as well. In the end, I save about twenty five percent</v>
      </c>
    </row>
    <row r="914" ht="15.75" customHeight="1">
      <c r="A914" s="2">
        <v>5.0</v>
      </c>
      <c r="B914" s="2" t="s">
        <v>2501</v>
      </c>
      <c r="C914" s="2" t="s">
        <v>2502</v>
      </c>
      <c r="D914" s="2" t="s">
        <v>70</v>
      </c>
      <c r="E914" s="2" t="s">
        <v>31</v>
      </c>
      <c r="F914" s="2" t="s">
        <v>15</v>
      </c>
      <c r="G914" s="2" t="s">
        <v>1258</v>
      </c>
      <c r="H914" s="2" t="s">
        <v>52</v>
      </c>
      <c r="I914" s="2" t="str">
        <f>IFERROR(__xludf.DUMMYFUNCTION("GOOGLETRANSLATE(C914,""fr"",""en"")"),"Very good contact with my interlocutor
Problem solved very quickly.
Thank you for your professionalism and your diligence.
Cordially
Christian Pantel-Ruli")</f>
        <v>Very good contact with my interlocutor
Problem solved very quickly.
Thank you for your professionalism and your diligence.
Cordially
Christian Pantel-Ruli</v>
      </c>
    </row>
    <row r="915" ht="15.75" customHeight="1">
      <c r="A915" s="2">
        <v>3.0</v>
      </c>
      <c r="B915" s="2" t="s">
        <v>2503</v>
      </c>
      <c r="C915" s="2" t="s">
        <v>2504</v>
      </c>
      <c r="D915" s="2" t="s">
        <v>13</v>
      </c>
      <c r="E915" s="2" t="s">
        <v>14</v>
      </c>
      <c r="F915" s="2" t="s">
        <v>15</v>
      </c>
      <c r="G915" s="2" t="s">
        <v>1287</v>
      </c>
      <c r="H915" s="2" t="s">
        <v>52</v>
      </c>
      <c r="I915" s="2" t="str">
        <f>IFERROR(__xludf.DUMMYFUNCTION("GOOGLETRANSLATE(C915,""fr"",""en"")"),"I find that the departure prices are rather expensive for a young driver. However, I subscribed to insurance because I think I reduce the bill by driving properly.")</f>
        <v>I find that the departure prices are rather expensive for a young driver. However, I subscribed to insurance because I think I reduce the bill by driving properly.</v>
      </c>
    </row>
    <row r="916" ht="15.75" customHeight="1">
      <c r="A916" s="2">
        <v>2.0</v>
      </c>
      <c r="B916" s="2" t="s">
        <v>2505</v>
      </c>
      <c r="C916" s="2" t="s">
        <v>2506</v>
      </c>
      <c r="D916" s="2" t="s">
        <v>87</v>
      </c>
      <c r="E916" s="2" t="s">
        <v>14</v>
      </c>
      <c r="F916" s="2" t="s">
        <v>15</v>
      </c>
      <c r="G916" s="2" t="s">
        <v>2507</v>
      </c>
      <c r="H916" s="2" t="s">
        <v>302</v>
      </c>
      <c r="I916" s="2" t="str">
        <f>IFERROR(__xludf.DUMMYFUNCTION("GOOGLETRANSLATE(C916,""fr"",""en"")"),"To flee absolutely !!!!
I provided less than 1 year ago a first vehicle at the Olivier!
Indeed it was the insurer who offered me the most attractive price!
So I decided to ensure my second vehicle there, and there a disaster!
Green ice breaks not supp"&amp;"orted on the first vehicle because I do not have the old technical control that they ask me to provide them (something that he absolutely did not ask me to subscribe to insurance).
So I decided, under the deadline for 14 legal days, to retract so as not "&amp;"to ensure my second vehicle with them: I send me a letter by registered mail that they themselves lost!
So they started to ask me for proof of deposit even though I had provided them with the acknowledgment of receipt which proves the reception on their "&amp;"part of this famous letter!
I had to contact a consumer association who told me that this kind of case was frequent at the Olivier!
In short great prices but above all be careful not to need them!
Which is still the height for an insurer!
I would have"&amp;" tried but I now prefer to add a little money in order to go to a more competent insurer!")</f>
        <v>To flee absolutely !!!!
I provided less than 1 year ago a first vehicle at the Olivier!
Indeed it was the insurer who offered me the most attractive price!
So I decided to ensure my second vehicle there, and there a disaster!
Green ice breaks not supported on the first vehicle because I do not have the old technical control that they ask me to provide them (something that he absolutely did not ask me to subscribe to insurance).
So I decided, under the deadline for 14 legal days, to retract so as not to ensure my second vehicle with them: I send me a letter by registered mail that they themselves lost!
So they started to ask me for proof of deposit even though I had provided them with the acknowledgment of receipt which proves the reception on their part of this famous letter!
I had to contact a consumer association who told me that this kind of case was frequent at the Olivier!
In short great prices but above all be careful not to need them!
Which is still the height for an insurer!
I would have tried but I now prefer to add a little money in order to go to a more competent insurer!</v>
      </c>
    </row>
    <row r="917" ht="15.75" customHeight="1">
      <c r="A917" s="2">
        <v>3.0</v>
      </c>
      <c r="B917" s="2" t="s">
        <v>2508</v>
      </c>
      <c r="C917" s="2" t="s">
        <v>2509</v>
      </c>
      <c r="D917" s="2" t="s">
        <v>201</v>
      </c>
      <c r="E917" s="2" t="s">
        <v>21</v>
      </c>
      <c r="F917" s="2" t="s">
        <v>15</v>
      </c>
      <c r="G917" s="2" t="s">
        <v>2510</v>
      </c>
      <c r="H917" s="2" t="s">
        <v>67</v>
      </c>
      <c r="I917" s="2" t="str">
        <f>IFERROR(__xludf.DUMMYFUNCTION("GOOGLETRANSLATE(C917,""fr"",""en"")"),"Pilou, I provided a scooter for 6 months from 05/10/2019 to 09/11/2019 (no claims declared) and here is that Amv claims 77th amount of 6 months while winter I do not drive in a scooter At 71 years old. Why do it make insurance for 6 months? And there we s"&amp;"ee the cheek of insurance ...")</f>
        <v>Pilou, I provided a scooter for 6 months from 05/10/2019 to 09/11/2019 (no claims declared) and here is that Amv claims 77th amount of 6 months while winter I do not drive in a scooter At 71 years old. Why do it make insurance for 6 months? And there we see the cheek of insurance ...</v>
      </c>
    </row>
    <row r="918" ht="15.75" customHeight="1">
      <c r="A918" s="2">
        <v>5.0</v>
      </c>
      <c r="B918" s="2" t="s">
        <v>2511</v>
      </c>
      <c r="C918" s="2" t="s">
        <v>2512</v>
      </c>
      <c r="D918" s="2" t="s">
        <v>50</v>
      </c>
      <c r="E918" s="2" t="s">
        <v>21</v>
      </c>
      <c r="F918" s="2" t="s">
        <v>15</v>
      </c>
      <c r="G918" s="2" t="s">
        <v>335</v>
      </c>
      <c r="H918" s="2" t="s">
        <v>61</v>
      </c>
      <c r="I918" s="2" t="str">
        <f>IFERROR(__xludf.DUMMYFUNCTION("GOOGLETRANSLATE(C918,""fr"",""en"")"),"Very satisfied with the speed of my insurance and thank you. And your very corect amount. I will remain faithful to your insurance. And still thank you")</f>
        <v>Very satisfied with the speed of my insurance and thank you. And your very corect amount. I will remain faithful to your insurance. And still thank you</v>
      </c>
    </row>
    <row r="919" ht="15.75" customHeight="1">
      <c r="A919" s="2">
        <v>5.0</v>
      </c>
      <c r="B919" s="2" t="s">
        <v>2513</v>
      </c>
      <c r="C919" s="2" t="s">
        <v>2514</v>
      </c>
      <c r="D919" s="2" t="s">
        <v>334</v>
      </c>
      <c r="E919" s="2" t="s">
        <v>31</v>
      </c>
      <c r="F919" s="2" t="s">
        <v>15</v>
      </c>
      <c r="G919" s="2" t="s">
        <v>2515</v>
      </c>
      <c r="H919" s="2" t="s">
        <v>408</v>
      </c>
      <c r="I919" s="2" t="str">
        <f>IFERROR(__xludf.DUMMYFUNCTION("GOOGLETRANSLATE(C919,""fr"",""en"")"),"Very good welcome ................
Very good clear and precise explanations evaluation of needs ....................")</f>
        <v>Very good welcome ................
Very good clear and precise explanations evaluation of needs ....................</v>
      </c>
    </row>
    <row r="920" ht="15.75" customHeight="1">
      <c r="A920" s="2">
        <v>4.0</v>
      </c>
      <c r="B920" s="2" t="s">
        <v>2516</v>
      </c>
      <c r="C920" s="2" t="s">
        <v>2517</v>
      </c>
      <c r="D920" s="2" t="s">
        <v>13</v>
      </c>
      <c r="E920" s="2" t="s">
        <v>14</v>
      </c>
      <c r="F920" s="2" t="s">
        <v>15</v>
      </c>
      <c r="G920" s="2" t="s">
        <v>61</v>
      </c>
      <c r="H920" s="2" t="s">
        <v>61</v>
      </c>
      <c r="I920" s="2" t="str">
        <f>IFERROR(__xludf.DUMMYFUNCTION("GOOGLETRANSLATE(C920,""fr"",""en"")"),"I just subscribed, I still have no opinion on the operation of your company.
For the time being, you have proceeded to, the request for termination with my old company ...
")</f>
        <v>I just subscribed, I still have no opinion on the operation of your company.
For the time being, you have proceeded to, the request for termination with my old company ...
</v>
      </c>
    </row>
    <row r="921" ht="15.75" customHeight="1">
      <c r="A921" s="2">
        <v>5.0</v>
      </c>
      <c r="B921" s="2" t="s">
        <v>2518</v>
      </c>
      <c r="C921" s="2" t="s">
        <v>2519</v>
      </c>
      <c r="D921" s="2" t="s">
        <v>87</v>
      </c>
      <c r="E921" s="2" t="s">
        <v>14</v>
      </c>
      <c r="F921" s="2" t="s">
        <v>15</v>
      </c>
      <c r="G921" s="2" t="s">
        <v>2520</v>
      </c>
      <c r="H921" s="2" t="s">
        <v>239</v>
      </c>
      <c r="I921" s="2" t="str">
        <f>IFERROR(__xludf.DUMMYFUNCTION("GOOGLETRANSLATE(C921,""fr"",""en"")"),"I am very satisfied with the services offered by the Olivier Insurance. I had to declare 2 claims successively and everything happened without problem.
In addition, the prices are well located.")</f>
        <v>I am very satisfied with the services offered by the Olivier Insurance. I had to declare 2 claims successively and everything happened without problem.
In addition, the prices are well located.</v>
      </c>
    </row>
    <row r="922" ht="15.75" customHeight="1">
      <c r="A922" s="2">
        <v>1.0</v>
      </c>
      <c r="B922" s="2" t="s">
        <v>2521</v>
      </c>
      <c r="C922" s="2" t="s">
        <v>2522</v>
      </c>
      <c r="D922" s="2" t="s">
        <v>36</v>
      </c>
      <c r="E922" s="2" t="s">
        <v>55</v>
      </c>
      <c r="F922" s="2" t="s">
        <v>15</v>
      </c>
      <c r="G922" s="2" t="s">
        <v>144</v>
      </c>
      <c r="H922" s="2" t="s">
        <v>27</v>
      </c>
      <c r="I922" s="2" t="str">
        <f>IFERROR(__xludf.DUMMYFUNCTION("GOOGLETRANSLATE(C922,""fr"",""en"")"),"Insured at MAIF has always been.
Almost never any repayment request because no accident or nothing (except one time when I was twisted by my door more than 10 years ago ...
Not long ago I get my garage on, I am stolen from tools and especially all my mo"&amp;"torcycle equipment.
The MAIF refuses to repay my motorcycle equipment because the motorcycle is the only thing not guaranteed at home (I had made a quote but they are very expensive for motorcycles even elderly and not very powerful!)
In short, almost 1"&amp;"000 euros in loss and zero reimbursement.
I am told to contact my motorcycle insurance for the equipment. Except that the motorcycle insurer tells me that it is they who must reimburse because the equipment was stored in the garage at the time of the fac"&amp;"ts.
And impossible to be heard.
Always the same catchphrase ... Since the motorcycle is not ensured at home, the equipment stored in the garage will not be taken into account ??
Yet I did not ride with it at the time of the fact! These are many objects"&amp;" stored in the garage assured at home.
In short, the only time I really need it, maif is useless.
What is the point of paying insurance ...
I am very unhappy and want to share my experience so that it does not happen to others. I will also try to chang"&amp;"e insurance as quickly as possible and invite you to do the same if you are at home ...
They are not ""activists"" as they shout so high in their advertising. Flee they are not serious except to take your payments.")</f>
        <v>Insured at MAIF has always been.
Almost never any repayment request because no accident or nothing (except one time when I was twisted by my door more than 10 years ago ...
Not long ago I get my garage on, I am stolen from tools and especially all my motorcycle equipment.
The MAIF refuses to repay my motorcycle equipment because the motorcycle is the only thing not guaranteed at home (I had made a quote but they are very expensive for motorcycles even elderly and not very powerful!)
In short, almost 1000 euros in loss and zero reimbursement.
I am told to contact my motorcycle insurance for the equipment. Except that the motorcycle insurer tells me that it is they who must reimburse because the equipment was stored in the garage at the time of the facts.
And impossible to be heard.
Always the same catchphrase ... Since the motorcycle is not ensured at home, the equipment stored in the garage will not be taken into account ??
Yet I did not ride with it at the time of the fact! These are many objects stored in the garage assured at home.
In short, the only time I really need it, maif is useless.
What is the point of paying insurance ...
I am very unhappy and want to share my experience so that it does not happen to others. I will also try to change insurance as quickly as possible and invite you to do the same if you are at home ...
They are not "activists" as they shout so high in their advertising. Flee they are not serious except to take your payments.</v>
      </c>
    </row>
    <row r="923" ht="15.75" customHeight="1">
      <c r="A923" s="2">
        <v>4.0</v>
      </c>
      <c r="B923" s="2" t="s">
        <v>2523</v>
      </c>
      <c r="C923" s="2" t="s">
        <v>2524</v>
      </c>
      <c r="D923" s="2" t="s">
        <v>164</v>
      </c>
      <c r="E923" s="2" t="s">
        <v>55</v>
      </c>
      <c r="F923" s="2" t="s">
        <v>15</v>
      </c>
      <c r="G923" s="2" t="s">
        <v>2525</v>
      </c>
      <c r="H923" s="2" t="s">
        <v>386</v>
      </c>
      <c r="I923" s="2" t="str">
        <f>IFERROR(__xludf.DUMMYFUNCTION("GOOGLETRANSLATE(C923,""fr"",""en"")"),"Water damage in my apartment: fast and responsive. In less than a month I was compensated! Detal of the Detailed in the morning on the Internet, the same day the Matmut calls me and explains the last -way. 1 week after passing the expert who assesses the "&amp;"damage, 2 weeks after I receive the check!")</f>
        <v>Water damage in my apartment: fast and responsive. In less than a month I was compensated! Detal of the Detailed in the morning on the Internet, the same day the Matmut calls me and explains the last -way. 1 week after passing the expert who assesses the damage, 2 weeks after I receive the check!</v>
      </c>
    </row>
    <row r="924" ht="15.75" customHeight="1">
      <c r="A924" s="2">
        <v>1.0</v>
      </c>
      <c r="B924" s="2" t="s">
        <v>2526</v>
      </c>
      <c r="C924" s="2" t="s">
        <v>2527</v>
      </c>
      <c r="D924" s="2" t="s">
        <v>70</v>
      </c>
      <c r="E924" s="2" t="s">
        <v>31</v>
      </c>
      <c r="F924" s="2" t="s">
        <v>15</v>
      </c>
      <c r="G924" s="2" t="s">
        <v>839</v>
      </c>
      <c r="H924" s="2" t="s">
        <v>110</v>
      </c>
      <c r="I924" s="2" t="str">
        <f>IFERROR(__xludf.DUMMYFUNCTION("GOOGLETRANSLATE(C924,""fr"",""en"")"),"To avoid absolutely! Today an advisor called my husband by offering to subscribe to provident insurance. And there my husband kindly replied not to be interested. But the advisor said ""cleared"" and hung up on the nose.
It is unacceptable to call people"&amp;" disturbing them and insult them !!!! ASHAMED")</f>
        <v>To avoid absolutely! Today an advisor called my husband by offering to subscribe to provident insurance. And there my husband kindly replied not to be interested. But the advisor said "cleared" and hung up on the nose.
It is unacceptable to call people disturbing them and insult them !!!! ASHAMED</v>
      </c>
    </row>
    <row r="925" ht="15.75" customHeight="1">
      <c r="A925" s="2">
        <v>5.0</v>
      </c>
      <c r="B925" s="2" t="s">
        <v>2528</v>
      </c>
      <c r="C925" s="2" t="s">
        <v>2529</v>
      </c>
      <c r="D925" s="2" t="s">
        <v>87</v>
      </c>
      <c r="E925" s="2" t="s">
        <v>14</v>
      </c>
      <c r="F925" s="2" t="s">
        <v>15</v>
      </c>
      <c r="G925" s="2" t="s">
        <v>2530</v>
      </c>
      <c r="H925" s="2" t="s">
        <v>190</v>
      </c>
      <c r="I925" s="2" t="str">
        <f>IFERROR(__xludf.DUMMYFUNCTION("GOOGLETRANSLATE(C925,""fr"",""en"")"),"Very satisfied, and of exemplary speed, levels of prices they are very attractive. inexpensive for a driver who is still 6 months old of probationary and ideal permits.")</f>
        <v>Very satisfied, and of exemplary speed, levels of prices they are very attractive. inexpensive for a driver who is still 6 months old of probationary and ideal permits.</v>
      </c>
    </row>
    <row r="926" ht="15.75" customHeight="1">
      <c r="A926" s="2">
        <v>4.0</v>
      </c>
      <c r="B926" s="2" t="s">
        <v>2531</v>
      </c>
      <c r="C926" s="2" t="s">
        <v>2532</v>
      </c>
      <c r="D926" s="2" t="s">
        <v>87</v>
      </c>
      <c r="E926" s="2" t="s">
        <v>14</v>
      </c>
      <c r="F926" s="2" t="s">
        <v>15</v>
      </c>
      <c r="G926" s="2" t="s">
        <v>1541</v>
      </c>
      <c r="H926" s="2" t="s">
        <v>190</v>
      </c>
      <c r="I926" s="2" t="str">
        <f>IFERROR(__xludf.DUMMYFUNCTION("GOOGLETRANSLATE(C926,""fr"",""en"")"),"Recommended by my family, rapid and efficient quote. Just several choices of the vehicle despite research with registration. We will see if it will be as well.")</f>
        <v>Recommended by my family, rapid and efficient quote. Just several choices of the vehicle despite research with registration. We will see if it will be as well.</v>
      </c>
    </row>
    <row r="927" ht="15.75" customHeight="1">
      <c r="A927" s="2">
        <v>5.0</v>
      </c>
      <c r="B927" s="2" t="s">
        <v>2533</v>
      </c>
      <c r="C927" s="2" t="s">
        <v>2534</v>
      </c>
      <c r="D927" s="2" t="s">
        <v>13</v>
      </c>
      <c r="E927" s="2" t="s">
        <v>14</v>
      </c>
      <c r="F927" s="2" t="s">
        <v>15</v>
      </c>
      <c r="G927" s="2" t="s">
        <v>1658</v>
      </c>
      <c r="H927" s="2" t="s">
        <v>61</v>
      </c>
      <c r="I927" s="2" t="str">
        <f>IFERROR(__xludf.DUMMYFUNCTION("GOOGLETRANSLATE(C927,""fr"",""en"")"),"I am very satisfied, good responsiveness
Quick response to all requests
Attractive price
Nothing to report
Always listening to you
I recommend this insurance
")</f>
        <v>I am very satisfied, good responsiveness
Quick response to all requests
Attractive price
Nothing to report
Always listening to you
I recommend this insurance
</v>
      </c>
    </row>
    <row r="928" ht="15.75" customHeight="1">
      <c r="A928" s="2">
        <v>1.0</v>
      </c>
      <c r="B928" s="2" t="s">
        <v>2535</v>
      </c>
      <c r="C928" s="2" t="s">
        <v>2536</v>
      </c>
      <c r="D928" s="2" t="s">
        <v>30</v>
      </c>
      <c r="E928" s="2" t="s">
        <v>31</v>
      </c>
      <c r="F928" s="2" t="s">
        <v>15</v>
      </c>
      <c r="G928" s="2" t="s">
        <v>2025</v>
      </c>
      <c r="H928" s="2" t="s">
        <v>42</v>
      </c>
      <c r="I928" s="2" t="str">
        <f>IFERROR(__xludf.DUMMYFUNCTION("GOOGLETRANSLATE(C928,""fr"",""en"")"),"MGP, humanist!? Let's talk about it, I trusted, a member of my career and for the whole family. Retired my contributions had been mounted so high that I had to take another mutual insurance for my wife who lost her dependence/death contract for which I co"&amp;"ntributed all my life.
The worst today I had to go from the tradition to Discovery !!!
Of course we are no longer profitable and__ at the moment when we need to be helped anymore___
This day it is my wife who manages my file, the fact that my contract "&amp;"works with her phone number and her email we are asked for a proxy which seems normal to me, what is less so is that this piece We have to send it to us and it never happens,
My wife; Who also has health problems, since January has been asking for an acc"&amp;"ess to my space that is empty - for months I can no longer check my Amelie account.
 ___ The MGP it was long before and hell for retirement !!!
")</f>
        <v>MGP, humanist!? Let's talk about it, I trusted, a member of my career and for the whole family. Retired my contributions had been mounted so high that I had to take another mutual insurance for my wife who lost her dependence/death contract for which I contributed all my life.
The worst today I had to go from the tradition to Discovery !!!
Of course we are no longer profitable and__ at the moment when we need to be helped anymore___
This day it is my wife who manages my file, the fact that my contract works with her phone number and her email we are asked for a proxy which seems normal to me, what is less so is that this piece We have to send it to us and it never happens,
My wife; Who also has health problems, since January has been asking for an access to my space that is empty - for months I can no longer check my Amelie account.
 ___ The MGP it was long before and hell for retirement !!!
</v>
      </c>
    </row>
    <row r="929" ht="15.75" customHeight="1">
      <c r="A929" s="2">
        <v>4.0</v>
      </c>
      <c r="B929" s="2" t="s">
        <v>2537</v>
      </c>
      <c r="C929" s="2" t="s">
        <v>2538</v>
      </c>
      <c r="D929" s="2" t="s">
        <v>13</v>
      </c>
      <c r="E929" s="2" t="s">
        <v>14</v>
      </c>
      <c r="F929" s="2" t="s">
        <v>15</v>
      </c>
      <c r="G929" s="2" t="s">
        <v>496</v>
      </c>
      <c r="H929" s="2" t="s">
        <v>27</v>
      </c>
      <c r="I929" s="2" t="str">
        <f>IFERROR(__xludf.DUMMYFUNCTION("GOOGLETRANSLATE(C929,""fr"",""en"")"),"It is very quick to take out a contract.
The prices are correct.
Simple and efficient.
I wish you a very nice day!
See you soon!
Cordially")</f>
        <v>It is very quick to take out a contract.
The prices are correct.
Simple and efficient.
I wish you a very nice day!
See you soon!
Cordially</v>
      </c>
    </row>
    <row r="930" ht="15.75" customHeight="1">
      <c r="A930" s="2">
        <v>3.0</v>
      </c>
      <c r="B930" s="2" t="s">
        <v>2539</v>
      </c>
      <c r="C930" s="2" t="s">
        <v>2540</v>
      </c>
      <c r="D930" s="2" t="s">
        <v>30</v>
      </c>
      <c r="E930" s="2" t="s">
        <v>31</v>
      </c>
      <c r="F930" s="2" t="s">
        <v>15</v>
      </c>
      <c r="G930" s="2" t="s">
        <v>2500</v>
      </c>
      <c r="H930" s="2" t="s">
        <v>52</v>
      </c>
      <c r="I930" s="2" t="str">
        <f>IFERROR(__xludf.DUMMYFUNCTION("GOOGLETRANSLATE(C930,""fr"",""en"")"),"The telephone expectation is not very important to take into account our calls by an advisor. The customer advisers are very welcoming, polite and precise in their responses")</f>
        <v>The telephone expectation is not very important to take into account our calls by an advisor. The customer advisers are very welcoming, polite and precise in their responses</v>
      </c>
    </row>
    <row r="931" ht="15.75" customHeight="1">
      <c r="A931" s="2">
        <v>1.0</v>
      </c>
      <c r="B931" s="2" t="s">
        <v>2541</v>
      </c>
      <c r="C931" s="2" t="s">
        <v>2542</v>
      </c>
      <c r="D931" s="2" t="s">
        <v>13</v>
      </c>
      <c r="E931" s="2" t="s">
        <v>55</v>
      </c>
      <c r="F931" s="2" t="s">
        <v>15</v>
      </c>
      <c r="G931" s="2" t="s">
        <v>2543</v>
      </c>
      <c r="H931" s="2" t="s">
        <v>103</v>
      </c>
      <c r="I931" s="2" t="str">
        <f>IFERROR(__xludf.DUMMYFUNCTION("GOOGLETRANSLATE(C931,""fr"",""en"")"),"Insured at AD for years, my home insurance subscription increased by 41% in 2 years, without any claim. I have been at DA for more than 15 years and I am canceling one by one all my contracts at home. Not correct at all!")</f>
        <v>Insured at AD for years, my home insurance subscription increased by 41% in 2 years, without any claim. I have been at DA for more than 15 years and I am canceling one by one all my contracts at home. Not correct at all!</v>
      </c>
    </row>
    <row r="932" ht="15.75" customHeight="1">
      <c r="A932" s="2">
        <v>1.0</v>
      </c>
      <c r="B932" s="2" t="s">
        <v>2544</v>
      </c>
      <c r="C932" s="2" t="s">
        <v>2545</v>
      </c>
      <c r="D932" s="2" t="s">
        <v>13</v>
      </c>
      <c r="E932" s="2" t="s">
        <v>14</v>
      </c>
      <c r="F932" s="2" t="s">
        <v>15</v>
      </c>
      <c r="G932" s="2" t="s">
        <v>2546</v>
      </c>
      <c r="H932" s="2" t="s">
        <v>493</v>
      </c>
      <c r="I932" s="2" t="str">
        <f>IFERROR(__xludf.DUMMYFUNCTION("GOOGLETRANSLATE(C932,""fr"",""en"")"),"Very expensive franchise during claims (ensure all risks+option)
Very fast termination during two non -responsible claims")</f>
        <v>Very expensive franchise during claims (ensure all risks+option)
Very fast termination during two non -responsible claims</v>
      </c>
    </row>
    <row r="933" ht="15.75" customHeight="1">
      <c r="A933" s="2">
        <v>2.0</v>
      </c>
      <c r="B933" s="2" t="s">
        <v>2547</v>
      </c>
      <c r="C933" s="2" t="s">
        <v>2548</v>
      </c>
      <c r="D933" s="2" t="s">
        <v>976</v>
      </c>
      <c r="E933" s="2" t="s">
        <v>288</v>
      </c>
      <c r="F933" s="2" t="s">
        <v>15</v>
      </c>
      <c r="G933" s="2" t="s">
        <v>588</v>
      </c>
      <c r="H933" s="2" t="s">
        <v>589</v>
      </c>
      <c r="I933" s="2" t="str">
        <f>IFERROR(__xludf.DUMMYFUNCTION("GOOGLETRANSLATE(C933,""fr"",""en"")"),"Everything is used as a subterfuge by AFER so as not to make your money.
Rib no up to date, longer deadlines in summer without warning customers, reimbursement of advances making a takeover before 56 days. Why don't we know? To flee")</f>
        <v>Everything is used as a subterfuge by AFER so as not to make your money.
Rib no up to date, longer deadlines in summer without warning customers, reimbursement of advances making a takeover before 56 days. Why don't we know? To flee</v>
      </c>
    </row>
    <row r="934" ht="15.75" customHeight="1">
      <c r="A934" s="2">
        <v>3.0</v>
      </c>
      <c r="B934" s="2" t="s">
        <v>2549</v>
      </c>
      <c r="C934" s="2" t="s">
        <v>2550</v>
      </c>
      <c r="D934" s="2" t="s">
        <v>13</v>
      </c>
      <c r="E934" s="2" t="s">
        <v>14</v>
      </c>
      <c r="F934" s="2" t="s">
        <v>15</v>
      </c>
      <c r="G934" s="2" t="s">
        <v>900</v>
      </c>
      <c r="H934" s="2" t="s">
        <v>27</v>
      </c>
      <c r="I934" s="2" t="str">
        <f>IFERROR(__xludf.DUMMYFUNCTION("GOOGLETRANSLATE(C934,""fr"",""en"")"),"I am satisfied and the prices suit me the procedures are simple and the repairs well insured and fast I also like the 0 km assistance which reassures")</f>
        <v>I am satisfied and the prices suit me the procedures are simple and the repairs well insured and fast I also like the 0 km assistance which reassures</v>
      </c>
    </row>
    <row r="935" ht="15.75" customHeight="1">
      <c r="A935" s="2">
        <v>5.0</v>
      </c>
      <c r="B935" s="2" t="s">
        <v>2551</v>
      </c>
      <c r="C935" s="2" t="s">
        <v>2552</v>
      </c>
      <c r="D935" s="2" t="s">
        <v>832</v>
      </c>
      <c r="E935" s="2" t="s">
        <v>232</v>
      </c>
      <c r="F935" s="2" t="s">
        <v>15</v>
      </c>
      <c r="G935" s="2" t="s">
        <v>1071</v>
      </c>
      <c r="H935" s="2" t="s">
        <v>27</v>
      </c>
      <c r="I935" s="2" t="str">
        <f>IFERROR(__xludf.DUMMYFUNCTION("GOOGLETRANSLATE(C935,""fr"",""en"")"),"More than professional interlocutor. Always listening and obviously ready to do their maximum in order to satisfy the customer. I am very satisfied with the performance.")</f>
        <v>More than professional interlocutor. Always listening and obviously ready to do their maximum in order to satisfy the customer. I am very satisfied with the performance.</v>
      </c>
    </row>
    <row r="936" ht="15.75" customHeight="1">
      <c r="A936" s="2">
        <v>2.0</v>
      </c>
      <c r="B936" s="2" t="s">
        <v>2553</v>
      </c>
      <c r="C936" s="2" t="s">
        <v>2554</v>
      </c>
      <c r="D936" s="2" t="s">
        <v>120</v>
      </c>
      <c r="E936" s="2" t="s">
        <v>14</v>
      </c>
      <c r="F936" s="2" t="s">
        <v>15</v>
      </c>
      <c r="G936" s="2" t="s">
        <v>2555</v>
      </c>
      <c r="H936" s="2" t="s">
        <v>38</v>
      </c>
      <c r="I936" s="2" t="str">
        <f>IFERROR(__xludf.DUMMYFUNCTION("GOOGLETRANSLATE(C936,""fr"",""en"")"),"Being a Maaf client for many years (more than 20 years), with 8 contracts in progress and never any declared claim, it is with stupor that I have seen the poor quality of advice that I was provided When I wanted to sponsor a future customer
I am very dis"&amp;"appointed with the lack of communication of the various services which directly impact our agendas
It's amazing to see how Maaf treats its customers, to believe that they want to see them go
")</f>
        <v>Being a Maaf client for many years (more than 20 years), with 8 contracts in progress and never any declared claim, it is with stupor that I have seen the poor quality of advice that I was provided When I wanted to sponsor a future customer
I am very disappointed with the lack of communication of the various services which directly impact our agendas
It's amazing to see how Maaf treats its customers, to believe that they want to see them go
</v>
      </c>
    </row>
    <row r="937" ht="15.75" customHeight="1">
      <c r="A937" s="2">
        <v>5.0</v>
      </c>
      <c r="B937" s="2" t="s">
        <v>2556</v>
      </c>
      <c r="C937" s="2" t="s">
        <v>2557</v>
      </c>
      <c r="D937" s="2" t="s">
        <v>334</v>
      </c>
      <c r="E937" s="2" t="s">
        <v>31</v>
      </c>
      <c r="F937" s="2" t="s">
        <v>15</v>
      </c>
      <c r="G937" s="2" t="s">
        <v>1795</v>
      </c>
      <c r="H937" s="2" t="s">
        <v>52</v>
      </c>
      <c r="I937" s="2" t="str">
        <f>IFERROR(__xludf.DUMMYFUNCTION("GOOGLETRANSLATE(C937,""fr"",""en"")"),"Easily reachable Georges responded with courtesy and precision to meet my needs Georges knew how to listen to my questions ??")</f>
        <v>Easily reachable Georges responded with courtesy and precision to meet my needs Georges knew how to listen to my questions ??</v>
      </c>
    </row>
    <row r="938" ht="15.75" customHeight="1">
      <c r="A938" s="2">
        <v>1.0</v>
      </c>
      <c r="B938" s="2" t="s">
        <v>2558</v>
      </c>
      <c r="C938" s="2" t="s">
        <v>2559</v>
      </c>
      <c r="D938" s="2" t="s">
        <v>237</v>
      </c>
      <c r="E938" s="2" t="s">
        <v>14</v>
      </c>
      <c r="F938" s="2" t="s">
        <v>15</v>
      </c>
      <c r="G938" s="2" t="s">
        <v>1304</v>
      </c>
      <c r="H938" s="2" t="s">
        <v>607</v>
      </c>
      <c r="I938" s="2" t="str">
        <f>IFERROR(__xludf.DUMMYFUNCTION("GOOGLETRANSLATE(C938,""fr"",""en"")"),"As of 02/2016, I had a traffic accident, no fees came out of my pocket, bodily reimbursement and I am in possession of an information statement notifying this claim in RC0%. To today my agent tells me that my CRM will be unknown! For which motive ? That y"&amp;"ou have been challenged on the IDA case, this is not my concern.
I demand confirmation from you notifying this disaster in non -responsible and a bonus coefficient which will be downward as expected at 0.76.")</f>
        <v>As of 02/2016, I had a traffic accident, no fees came out of my pocket, bodily reimbursement and I am in possession of an information statement notifying this claim in RC0%. To today my agent tells me that my CRM will be unknown! For which motive ? That you have been challenged on the IDA case, this is not my concern.
I demand confirmation from you notifying this disaster in non -responsible and a bonus coefficient which will be downward as expected at 0.76.</v>
      </c>
    </row>
    <row r="939" ht="15.75" customHeight="1">
      <c r="A939" s="2">
        <v>5.0</v>
      </c>
      <c r="B939" s="2" t="s">
        <v>2560</v>
      </c>
      <c r="C939" s="2" t="s">
        <v>2561</v>
      </c>
      <c r="D939" s="2" t="s">
        <v>50</v>
      </c>
      <c r="E939" s="2" t="s">
        <v>21</v>
      </c>
      <c r="F939" s="2" t="s">
        <v>15</v>
      </c>
      <c r="G939" s="2" t="s">
        <v>507</v>
      </c>
      <c r="H939" s="2" t="s">
        <v>52</v>
      </c>
      <c r="I939" s="2" t="str">
        <f>IFERROR(__xludf.DUMMYFUNCTION("GOOGLETRANSLATE(C939,""fr"",""en"")"),"Simple and effective, prices are really correct, and being able to ensure a sports motorcycle with this insurer is a real plus that certain insurances do not offer")</f>
        <v>Simple and effective, prices are really correct, and being able to ensure a sports motorcycle with this insurer is a real plus that certain insurances do not offer</v>
      </c>
    </row>
    <row r="940" ht="15.75" customHeight="1">
      <c r="A940" s="2">
        <v>1.0</v>
      </c>
      <c r="B940" s="2" t="s">
        <v>2562</v>
      </c>
      <c r="C940" s="2" t="s">
        <v>2563</v>
      </c>
      <c r="D940" s="2" t="s">
        <v>581</v>
      </c>
      <c r="E940" s="2" t="s">
        <v>31</v>
      </c>
      <c r="F940" s="2" t="s">
        <v>15</v>
      </c>
      <c r="G940" s="2" t="s">
        <v>1693</v>
      </c>
      <c r="H940" s="2" t="s">
        <v>110</v>
      </c>
      <c r="I940" s="2" t="str">
        <f>IFERROR(__xludf.DUMMYFUNCTION("GOOGLETRANSLATE(C940,""fr"",""en"")"),"I took this insurance this year I already have embezzlement with them they already wanted me before the month planned then I just realized that my wife is not assured on the other hand I pay every month Three months that I am waiting for the refunds I jus"&amp;"t sent a recommend to know why my wife is not insured and then for the refunds if I do not have any answers in the week I stop my wife's contributions and would take another mutual then I will do the same for me if no refunds are done I will not even try "&amp;"to understand I would not wait a year")</f>
        <v>I took this insurance this year I already have embezzlement with them they already wanted me before the month planned then I just realized that my wife is not assured on the other hand I pay every month Three months that I am waiting for the refunds I just sent a recommend to know why my wife is not insured and then for the refunds if I do not have any answers in the week I stop my wife's contributions and would take another mutual then I will do the same for me if no refunds are done I will not even try to understand I would not wait a year</v>
      </c>
    </row>
    <row r="941" ht="15.75" customHeight="1">
      <c r="A941" s="2">
        <v>4.0</v>
      </c>
      <c r="B941" s="2" t="s">
        <v>2564</v>
      </c>
      <c r="C941" s="2" t="s">
        <v>2565</v>
      </c>
      <c r="D941" s="2" t="s">
        <v>87</v>
      </c>
      <c r="E941" s="2" t="s">
        <v>14</v>
      </c>
      <c r="F941" s="2" t="s">
        <v>15</v>
      </c>
      <c r="G941" s="2" t="s">
        <v>209</v>
      </c>
      <c r="H941" s="2" t="s">
        <v>209</v>
      </c>
      <c r="I941" s="2" t="str">
        <f>IFERROR(__xludf.DUMMYFUNCTION("GOOGLETRANSLATE(C941,""fr"",""en"")"),"I am satisfied with the service more the period to receive the green card is acceptable.
The visibility of my personal space is very intuitive. Thank you")</f>
        <v>I am satisfied with the service more the period to receive the green card is acceptable.
The visibility of my personal space is very intuitive. Thank you</v>
      </c>
    </row>
    <row r="942" ht="15.75" customHeight="1">
      <c r="A942" s="2">
        <v>3.0</v>
      </c>
      <c r="B942" s="2" t="s">
        <v>2566</v>
      </c>
      <c r="C942" s="2" t="s">
        <v>2567</v>
      </c>
      <c r="D942" s="2" t="s">
        <v>87</v>
      </c>
      <c r="E942" s="2" t="s">
        <v>14</v>
      </c>
      <c r="F942" s="2" t="s">
        <v>15</v>
      </c>
      <c r="G942" s="2" t="s">
        <v>744</v>
      </c>
      <c r="H942" s="2" t="s">
        <v>110</v>
      </c>
      <c r="I942" s="2" t="str">
        <f>IFERROR(__xludf.DUMMYFUNCTION("GOOGLETRANSLATE(C942,""fr"",""en"")"),"complicated to contract I spent the day there .... kind customer support but complex procedure and many bugs, prices that vary at each quote")</f>
        <v>complicated to contract I spent the day there .... kind customer support but complex procedure and many bugs, prices that vary at each quote</v>
      </c>
    </row>
    <row r="943" ht="15.75" customHeight="1">
      <c r="A943" s="2">
        <v>4.0</v>
      </c>
      <c r="B943" s="2" t="s">
        <v>2568</v>
      </c>
      <c r="C943" s="2" t="s">
        <v>2569</v>
      </c>
      <c r="D943" s="2" t="s">
        <v>50</v>
      </c>
      <c r="E943" s="2" t="s">
        <v>21</v>
      </c>
      <c r="F943" s="2" t="s">
        <v>15</v>
      </c>
      <c r="G943" s="2" t="s">
        <v>733</v>
      </c>
      <c r="H943" s="2" t="s">
        <v>42</v>
      </c>
      <c r="I943" s="2" t="str">
        <f>IFERROR(__xludf.DUMMYFUNCTION("GOOGLETRANSLATE(C943,""fr"",""en"")"),"I am satisfied with the service, the prices are correct and above all it is simple and quick to be insured. Everything is done online so no need to move.")</f>
        <v>I am satisfied with the service, the prices are correct and above all it is simple and quick to be insured. Everything is done online so no need to move.</v>
      </c>
    </row>
    <row r="944" ht="15.75" customHeight="1">
      <c r="A944" s="2">
        <v>5.0</v>
      </c>
      <c r="B944" s="2" t="s">
        <v>2570</v>
      </c>
      <c r="C944" s="2" t="s">
        <v>2571</v>
      </c>
      <c r="D944" s="2" t="s">
        <v>50</v>
      </c>
      <c r="E944" s="2" t="s">
        <v>21</v>
      </c>
      <c r="F944" s="2" t="s">
        <v>15</v>
      </c>
      <c r="G944" s="2" t="s">
        <v>2572</v>
      </c>
      <c r="H944" s="2" t="s">
        <v>169</v>
      </c>
      <c r="I944" s="2" t="str">
        <f>IFERROR(__xludf.DUMMYFUNCTION("GOOGLETRANSLATE(C944,""fr"",""en"")"),"I am satisfied, your services are the correct prices and also the speed of my son's procedures and assures with you and also happy with your services")</f>
        <v>I am satisfied, your services are the correct prices and also the speed of my son's procedures and assures with you and also happy with your services</v>
      </c>
    </row>
    <row r="945" ht="15.75" customHeight="1">
      <c r="A945" s="2">
        <v>4.0</v>
      </c>
      <c r="B945" s="2" t="s">
        <v>2573</v>
      </c>
      <c r="C945" s="2" t="s">
        <v>2574</v>
      </c>
      <c r="D945" s="2" t="s">
        <v>245</v>
      </c>
      <c r="E945" s="2" t="s">
        <v>246</v>
      </c>
      <c r="F945" s="2" t="s">
        <v>15</v>
      </c>
      <c r="G945" s="2" t="s">
        <v>610</v>
      </c>
      <c r="H945" s="2" t="s">
        <v>190</v>
      </c>
      <c r="I945" s="2" t="str">
        <f>IFERROR(__xludf.DUMMYFUNCTION("GOOGLETRANSLATE(C945,""fr"",""en"")"),"Hello, I never had to complain about this mutual for my dog ​​for 2 years.
I leave them, not for dissatisfaction, but for a new one because for 2nd more, there is a 100% reimbursement on sick and accident costs instead of 60%.")</f>
        <v>Hello, I never had to complain about this mutual for my dog ​​for 2 years.
I leave them, not for dissatisfaction, but for a new one because for 2nd more, there is a 100% reimbursement on sick and accident costs instead of 60%.</v>
      </c>
    </row>
    <row r="946" ht="15.75" customHeight="1">
      <c r="A946" s="2">
        <v>1.0</v>
      </c>
      <c r="B946" s="2" t="s">
        <v>2575</v>
      </c>
      <c r="C946" s="2" t="s">
        <v>2576</v>
      </c>
      <c r="D946" s="2" t="s">
        <v>45</v>
      </c>
      <c r="E946" s="2" t="s">
        <v>14</v>
      </c>
      <c r="F946" s="2" t="s">
        <v>15</v>
      </c>
      <c r="G946" s="2" t="s">
        <v>1661</v>
      </c>
      <c r="H946" s="2" t="s">
        <v>61</v>
      </c>
      <c r="I946" s="2" t="str">
        <f>IFERROR(__xludf.DUMMYFUNCTION("GOOGLETRANSLATE(C946,""fr"",""en"")"),"I strongly recommend this insurance, after 30 years of loyalty, I am looking for another insurance, because the Macif which was to reimburse € 50 to its members or not to increase the prices due to confinement, did not find anything Better than not reimbu"&amp;"rsing anything but moreover, the Macif to increase its prices, a shame! They speak of members, they better say shareholders, because their only goal is to fill their pockets!")</f>
        <v>I strongly recommend this insurance, after 30 years of loyalty, I am looking for another insurance, because the Macif which was to reimburse € 50 to its members or not to increase the prices due to confinement, did not find anything Better than not reimbursing anything but moreover, the Macif to increase its prices, a shame! They speak of members, they better say shareholders, because their only goal is to fill their pockets!</v>
      </c>
    </row>
    <row r="947" ht="15.75" customHeight="1">
      <c r="A947" s="2">
        <v>1.0</v>
      </c>
      <c r="B947" s="2" t="s">
        <v>2577</v>
      </c>
      <c r="C947" s="2" t="s">
        <v>2578</v>
      </c>
      <c r="D947" s="2" t="s">
        <v>164</v>
      </c>
      <c r="E947" s="2" t="s">
        <v>14</v>
      </c>
      <c r="F947" s="2" t="s">
        <v>15</v>
      </c>
      <c r="G947" s="2" t="s">
        <v>2579</v>
      </c>
      <c r="H947" s="2" t="s">
        <v>195</v>
      </c>
      <c r="I947" s="2" t="str">
        <f>IFERROR(__xludf.DUMMYFUNCTION("GOOGLETRANSLATE(C947,""fr"",""en"")"),"Sinister declaration (vandalism; vehicle parké on the village square, a stone's throw from my home) made on the Internet on December 7, 2020. We are December 26, 2020, and none but really and really no response or sign of life of the Matmut. Sinister alwa"&amp;"ys not taken into account despite process perfectly finalized and number attributed during the entry; I made two reminders by messages sent from their site always without answers. I wish good luck to the elderly who would need the matmut services.
On the"&amp;" other hand, as usual, the failure invoice for the period from January to June 2021 collection a long time ago.")</f>
        <v>Sinister declaration (vandalism; vehicle parké on the village square, a stone's throw from my home) made on the Internet on December 7, 2020. We are December 26, 2020, and none but really and really no response or sign of life of the Matmut. Sinister always not taken into account despite process perfectly finalized and number attributed during the entry; I made two reminders by messages sent from their site always without answers. I wish good luck to the elderly who would need the matmut services.
On the other hand, as usual, the failure invoice for the period from January to June 2021 collection a long time ago.</v>
      </c>
    </row>
    <row r="948" ht="15.75" customHeight="1">
      <c r="A948" s="2">
        <v>5.0</v>
      </c>
      <c r="B948" s="2" t="s">
        <v>2580</v>
      </c>
      <c r="C948" s="2" t="s">
        <v>2581</v>
      </c>
      <c r="D948" s="2" t="s">
        <v>87</v>
      </c>
      <c r="E948" s="2" t="s">
        <v>14</v>
      </c>
      <c r="F948" s="2" t="s">
        <v>15</v>
      </c>
      <c r="G948" s="2" t="s">
        <v>833</v>
      </c>
      <c r="H948" s="2" t="s">
        <v>110</v>
      </c>
      <c r="I948" s="2" t="str">
        <f>IFERROR(__xludf.DUMMYFUNCTION("GOOGLETRANSLATE(C948,""fr"",""en"")"),"Hello I am satisfied with the olive tree thank you at you quality price nothing to say for young permits I recommend this insurance thank you to everyone.")</f>
        <v>Hello I am satisfied with the olive tree thank you at you quality price nothing to say for young permits I recommend this insurance thank you to everyone.</v>
      </c>
    </row>
    <row r="949" ht="15.75" customHeight="1">
      <c r="A949" s="2">
        <v>2.0</v>
      </c>
      <c r="B949" s="2" t="s">
        <v>2582</v>
      </c>
      <c r="C949" s="2" t="s">
        <v>2583</v>
      </c>
      <c r="D949" s="2" t="s">
        <v>13</v>
      </c>
      <c r="E949" s="2" t="s">
        <v>14</v>
      </c>
      <c r="F949" s="2" t="s">
        <v>15</v>
      </c>
      <c r="G949" s="2" t="s">
        <v>1071</v>
      </c>
      <c r="H949" s="2" t="s">
        <v>27</v>
      </c>
      <c r="I949" s="2" t="str">
        <f>IFERROR(__xludf.DUMMYFUNCTION("GOOGLETRANSLATE(C949,""fr"",""en"")"),"Still a little too expensive, for Auto which are very old already !!
Because I was before with other competitor, it was so expensive, I would like to be able to have more discounts, because I have more than 50% bonus + without accident.")</f>
        <v>Still a little too expensive, for Auto which are very old already !!
Because I was before with other competitor, it was so expensive, I would like to be able to have more discounts, because I have more than 50% bonus + without accident.</v>
      </c>
    </row>
    <row r="950" ht="15.75" customHeight="1">
      <c r="A950" s="2">
        <v>3.0</v>
      </c>
      <c r="B950" s="2" t="s">
        <v>2584</v>
      </c>
      <c r="C950" s="2" t="s">
        <v>2585</v>
      </c>
      <c r="D950" s="2" t="s">
        <v>87</v>
      </c>
      <c r="E950" s="2" t="s">
        <v>14</v>
      </c>
      <c r="F950" s="2" t="s">
        <v>15</v>
      </c>
      <c r="G950" s="2" t="s">
        <v>2586</v>
      </c>
      <c r="H950" s="2" t="s">
        <v>480</v>
      </c>
      <c r="I950" s="2" t="str">
        <f>IFERROR(__xludf.DUMMYFUNCTION("GOOGLETRANSLATE(C950,""fr"",""en"")"),"Battled on January 17, 2018 I was counted 3 times the same accident, I learned its when I called customer service after receiving a letter which tells me that my contract would be terminated on the date of Anniversary (August), so I called customer servic"&amp;"e when I receive this letter the person I had told me that it was a mistake on their part and that therefore I would not be terminated. But in August I was doing my accounts and I paid myself that I had not been taken for my insurance I therefore consulte"&amp;"d my customer area and to my surprise my contract was terminated. So I recalled the insurance I had to re -explain my story I was told that my contract should not have been terminated that it was going to settle its as soon as possible and that it would m"&amp;"ake me today 2 weeks that I recalled nothing to evolve we are in September and no commercial approach of their pars when it is they who are making the mistake")</f>
        <v>Battled on January 17, 2018 I was counted 3 times the same accident, I learned its when I called customer service after receiving a letter which tells me that my contract would be terminated on the date of Anniversary (August), so I called customer service when I receive this letter the person I had told me that it was a mistake on their part and that therefore I would not be terminated. But in August I was doing my accounts and I paid myself that I had not been taken for my insurance I therefore consulted my customer area and to my surprise my contract was terminated. So I recalled the insurance I had to re -explain my story I was told that my contract should not have been terminated that it was going to settle its as soon as possible and that it would make me today 2 weeks that I recalled nothing to evolve we are in September and no commercial approach of their pars when it is they who are making the mistake</v>
      </c>
    </row>
    <row r="951" ht="15.75" customHeight="1">
      <c r="A951" s="2">
        <v>2.0</v>
      </c>
      <c r="B951" s="2" t="s">
        <v>2587</v>
      </c>
      <c r="C951" s="2" t="s">
        <v>2588</v>
      </c>
      <c r="D951" s="2" t="s">
        <v>13</v>
      </c>
      <c r="E951" s="2" t="s">
        <v>14</v>
      </c>
      <c r="F951" s="2" t="s">
        <v>15</v>
      </c>
      <c r="G951" s="2" t="s">
        <v>1661</v>
      </c>
      <c r="H951" s="2" t="s">
        <v>61</v>
      </c>
      <c r="I951" s="2" t="str">
        <f>IFERROR(__xludf.DUMMYFUNCTION("GOOGLETRANSLATE(C951,""fr"",""en"")"),"Very unsatisfactory assistance in the event of a claim
After my accident on the way back to work
My car was removed and I was delivered to myself
")</f>
        <v>Very unsatisfactory assistance in the event of a claim
After my accident on the way back to work
My car was removed and I was delivered to myself
</v>
      </c>
    </row>
    <row r="952" ht="15.75" customHeight="1">
      <c r="A952" s="2">
        <v>5.0</v>
      </c>
      <c r="B952" s="2" t="s">
        <v>2589</v>
      </c>
      <c r="C952" s="2" t="s">
        <v>2590</v>
      </c>
      <c r="D952" s="2" t="s">
        <v>201</v>
      </c>
      <c r="E952" s="2" t="s">
        <v>21</v>
      </c>
      <c r="F952" s="2" t="s">
        <v>15</v>
      </c>
      <c r="G952" s="2" t="s">
        <v>379</v>
      </c>
      <c r="H952" s="2" t="s">
        <v>42</v>
      </c>
      <c r="I952" s="2" t="str">
        <f>IFERROR(__xludf.DUMMYFUNCTION("GOOGLETRANSLATE(C952,""fr"",""en"")"),"I have nothing to complain about, simple and efficient and top price! .")</f>
        <v>I have nothing to complain about, simple and efficient and top price! .</v>
      </c>
    </row>
    <row r="953" ht="15.75" customHeight="1">
      <c r="A953" s="2">
        <v>5.0</v>
      </c>
      <c r="B953" s="2" t="s">
        <v>2591</v>
      </c>
      <c r="C953" s="2" t="s">
        <v>2592</v>
      </c>
      <c r="D953" s="2" t="s">
        <v>87</v>
      </c>
      <c r="E953" s="2" t="s">
        <v>14</v>
      </c>
      <c r="F953" s="2" t="s">
        <v>15</v>
      </c>
      <c r="G953" s="2" t="s">
        <v>1795</v>
      </c>
      <c r="H953" s="2" t="s">
        <v>52</v>
      </c>
      <c r="I953" s="2" t="str">
        <f>IFERROR(__xludf.DUMMYFUNCTION("GOOGLETRANSLATE(C953,""fr"",""en"")"),"Customer for 5 years,
I had a dispute and a breakdown, each time managed hands down.
On the price plan, the placement is correct, I am a client looking at this side and I must admit that the olive tree is very well placed on the market in view of the "&amp;"guarantees offered.
In short when everything works and it's transparent, I don't change houses :)!")</f>
        <v>Customer for 5 years,
I had a dispute and a breakdown, each time managed hands down.
On the price plan, the placement is correct, I am a client looking at this side and I must admit that the olive tree is very well placed on the market in view of the guarantees offered.
In short when everything works and it's transparent, I don't change houses :)!</v>
      </c>
    </row>
    <row r="954" ht="15.75" customHeight="1">
      <c r="A954" s="2">
        <v>3.0</v>
      </c>
      <c r="B954" s="2" t="s">
        <v>2593</v>
      </c>
      <c r="C954" s="2" t="s">
        <v>2594</v>
      </c>
      <c r="D954" s="2" t="s">
        <v>87</v>
      </c>
      <c r="E954" s="2" t="s">
        <v>14</v>
      </c>
      <c r="F954" s="2" t="s">
        <v>15</v>
      </c>
      <c r="G954" s="2" t="s">
        <v>1729</v>
      </c>
      <c r="H954" s="2" t="s">
        <v>61</v>
      </c>
      <c r="I954" s="2" t="str">
        <f>IFERROR(__xludf.DUMMYFUNCTION("GOOGLETRANSLATE(C954,""fr"",""en"")"),"The prices are still high. I hope to have discounts in the overall insurance price in the years, so as not to want to change your insurer.")</f>
        <v>The prices are still high. I hope to have discounts in the overall insurance price in the years, so as not to want to change your insurer.</v>
      </c>
    </row>
    <row r="955" ht="15.75" customHeight="1">
      <c r="A955" s="2">
        <v>1.0</v>
      </c>
      <c r="B955" s="2" t="s">
        <v>2595</v>
      </c>
      <c r="C955" s="2" t="s">
        <v>2596</v>
      </c>
      <c r="D955" s="2" t="s">
        <v>227</v>
      </c>
      <c r="E955" s="2" t="s">
        <v>14</v>
      </c>
      <c r="F955" s="2" t="s">
        <v>15</v>
      </c>
      <c r="G955" s="2" t="s">
        <v>2597</v>
      </c>
      <c r="H955" s="2" t="s">
        <v>248</v>
      </c>
      <c r="I955" s="2" t="str">
        <f>IFERROR(__xludf.DUMMYFUNCTION("GOOGLETRANSLATE(C955,""fr"",""en"")"),"6 contracts at Allianz and very old customer.
A single automotive claim over these many years. Service compensation opted for final closing without compensation without wanting to hear that he may have missed the claim and despite mandated expert advice."&amp;"
")</f>
        <v>6 contracts at Allianz and very old customer.
A single automotive claim over these many years. Service compensation opted for final closing without compensation without wanting to hear that he may have missed the claim and despite mandated expert advice.
</v>
      </c>
    </row>
    <row r="956" ht="15.75" customHeight="1">
      <c r="A956" s="2">
        <v>5.0</v>
      </c>
      <c r="B956" s="2" t="s">
        <v>2598</v>
      </c>
      <c r="C956" s="2" t="s">
        <v>2599</v>
      </c>
      <c r="D956" s="2" t="s">
        <v>87</v>
      </c>
      <c r="E956" s="2" t="s">
        <v>14</v>
      </c>
      <c r="F956" s="2" t="s">
        <v>15</v>
      </c>
      <c r="G956" s="2" t="s">
        <v>2600</v>
      </c>
      <c r="H956" s="2" t="s">
        <v>61</v>
      </c>
      <c r="I956" s="2" t="str">
        <f>IFERROR(__xludf.DUMMYFUNCTION("GOOGLETRANSLATE(C956,""fr"",""en"")"),"I am very satisfied with your services and I recommend your services to all members of my family and my friends so to work colleagues and those around me")</f>
        <v>I am very satisfied with your services and I recommend your services to all members of my family and my friends so to work colleagues and those around me</v>
      </c>
    </row>
    <row r="957" ht="15.75" customHeight="1">
      <c r="A957" s="2">
        <v>1.0</v>
      </c>
      <c r="B957" s="2" t="s">
        <v>2601</v>
      </c>
      <c r="C957" s="2" t="s">
        <v>2602</v>
      </c>
      <c r="D957" s="2" t="s">
        <v>237</v>
      </c>
      <c r="E957" s="2" t="s">
        <v>14</v>
      </c>
      <c r="F957" s="2" t="s">
        <v>15</v>
      </c>
      <c r="G957" s="2" t="s">
        <v>2603</v>
      </c>
      <c r="H957" s="2" t="s">
        <v>408</v>
      </c>
      <c r="I957" s="2" t="str">
        <f>IFERROR(__xludf.DUMMYFUNCTION("GOOGLETRANSLATE(C957,""fr"",""en"")"),"Client for many years, I am no longer satisfied with the Issoire agency, many changes !!!! Very difficult to join Tel: 5 calls before someone won, I have to remind me, I'm still waiting ... 2h30 later and still nothing")</f>
        <v>Client for many years, I am no longer satisfied with the Issoire agency, many changes !!!! Very difficult to join Tel: 5 calls before someone won, I have to remind me, I'm still waiting ... 2h30 later and still nothing</v>
      </c>
    </row>
    <row r="958" ht="15.75" customHeight="1">
      <c r="A958" s="2">
        <v>3.0</v>
      </c>
      <c r="B958" s="2" t="s">
        <v>2604</v>
      </c>
      <c r="C958" s="2" t="s">
        <v>2605</v>
      </c>
      <c r="D958" s="2" t="s">
        <v>201</v>
      </c>
      <c r="E958" s="2" t="s">
        <v>21</v>
      </c>
      <c r="F958" s="2" t="s">
        <v>15</v>
      </c>
      <c r="G958" s="2" t="s">
        <v>1258</v>
      </c>
      <c r="H958" s="2" t="s">
        <v>52</v>
      </c>
      <c r="I958" s="2" t="str">
        <f>IFERROR(__xludf.DUMMYFUNCTION("GOOGLETRANSLATE(C958,""fr"",""en"")"),"The 10% is not done on the 2nd vehicle, it's a shame ....
The offers are not clear after the second subscription!
Do you have to have vehicles to have such an offer ??")</f>
        <v>The 10% is not done on the 2nd vehicle, it's a shame ....
The offers are not clear after the second subscription!
Do you have to have vehicles to have such an offer ??</v>
      </c>
    </row>
    <row r="959" ht="15.75" customHeight="1">
      <c r="A959" s="2">
        <v>4.0</v>
      </c>
      <c r="B959" s="2" t="s">
        <v>2606</v>
      </c>
      <c r="C959" s="2" t="s">
        <v>2607</v>
      </c>
      <c r="D959" s="2" t="s">
        <v>87</v>
      </c>
      <c r="E959" s="2" t="s">
        <v>14</v>
      </c>
      <c r="F959" s="2" t="s">
        <v>15</v>
      </c>
      <c r="G959" s="2" t="s">
        <v>2380</v>
      </c>
      <c r="H959" s="2" t="s">
        <v>209</v>
      </c>
      <c r="I959" s="2" t="str">
        <f>IFERROR(__xludf.DUMMYFUNCTION("GOOGLETRANSLATE(C959,""fr"",""en"")"),"Affordable price, the fact of being able to subscribe online remains practical, the site remains quite difficult to set up. But it remains practical")</f>
        <v>Affordable price, the fact of being able to subscribe online remains practical, the site remains quite difficult to set up. But it remains practical</v>
      </c>
    </row>
    <row r="960" ht="15.75" customHeight="1">
      <c r="A960" s="2">
        <v>1.0</v>
      </c>
      <c r="B960" s="2" t="s">
        <v>2608</v>
      </c>
      <c r="C960" s="2" t="s">
        <v>2609</v>
      </c>
      <c r="D960" s="2" t="s">
        <v>558</v>
      </c>
      <c r="E960" s="2" t="s">
        <v>31</v>
      </c>
      <c r="F960" s="2" t="s">
        <v>15</v>
      </c>
      <c r="G960" s="2" t="s">
        <v>2610</v>
      </c>
      <c r="H960" s="2" t="s">
        <v>312</v>
      </c>
      <c r="I960" s="2" t="str">
        <f>IFERROR(__xludf.DUMMYFUNCTION("GOOGLETRANSLATE(C960,""fr"",""en"")"),"Registered since January 1, 2017 for this mutual, I have to date (April 20, 2017) still not received the slightest member card. I still pay the sum of 98 euros/month. Having no other coverage I have yet been forced to pay my health costs from my pocket as"&amp;" well as those of my wife and children.")</f>
        <v>Registered since January 1, 2017 for this mutual, I have to date (April 20, 2017) still not received the slightest member card. I still pay the sum of 98 euros/month. Having no other coverage I have yet been forced to pay my health costs from my pocket as well as those of my wife and children.</v>
      </c>
    </row>
    <row r="961" ht="15.75" customHeight="1">
      <c r="A961" s="2">
        <v>5.0</v>
      </c>
      <c r="B961" s="2" t="s">
        <v>2611</v>
      </c>
      <c r="C961" s="2" t="s">
        <v>2612</v>
      </c>
      <c r="D961" s="2" t="s">
        <v>87</v>
      </c>
      <c r="E961" s="2" t="s">
        <v>14</v>
      </c>
      <c r="F961" s="2" t="s">
        <v>15</v>
      </c>
      <c r="G961" s="2" t="s">
        <v>744</v>
      </c>
      <c r="H961" s="2" t="s">
        <v>110</v>
      </c>
      <c r="I961" s="2" t="str">
        <f>IFERROR(__xludf.DUMMYFUNCTION("GOOGLETRANSLATE(C961,""fr"",""en"")"),"I am satisfied with the price and the conditions mentioned in the contract when signed electronically and thank you to the very nice advisor")</f>
        <v>I am satisfied with the price and the conditions mentioned in the contract when signed electronically and thank you to the very nice advisor</v>
      </c>
    </row>
    <row r="962" ht="15.75" customHeight="1">
      <c r="A962" s="2">
        <v>2.0</v>
      </c>
      <c r="B962" s="2" t="s">
        <v>2613</v>
      </c>
      <c r="C962" s="2" t="s">
        <v>2614</v>
      </c>
      <c r="D962" s="2" t="s">
        <v>120</v>
      </c>
      <c r="E962" s="2" t="s">
        <v>14</v>
      </c>
      <c r="F962" s="2" t="s">
        <v>15</v>
      </c>
      <c r="G962" s="2" t="s">
        <v>2615</v>
      </c>
      <c r="H962" s="2" t="s">
        <v>473</v>
      </c>
      <c r="I962" s="2" t="str">
        <f>IFERROR(__xludf.DUMMYFUNCTION("GOOGLETRANSLATE(C962,""fr"",""en"")"),"I chose MMAF for their price offered online and from the 1st year, I had the very unpleasant surprise to see my annual rate increase when I had no accident!")</f>
        <v>I chose MMAF for their price offered online and from the 1st year, I had the very unpleasant surprise to see my annual rate increase when I had no accident!</v>
      </c>
    </row>
    <row r="963" ht="15.75" customHeight="1">
      <c r="A963" s="2">
        <v>3.0</v>
      </c>
      <c r="B963" s="2" t="s">
        <v>2616</v>
      </c>
      <c r="C963" s="2" t="s">
        <v>2617</v>
      </c>
      <c r="D963" s="2" t="s">
        <v>45</v>
      </c>
      <c r="E963" s="2" t="s">
        <v>55</v>
      </c>
      <c r="F963" s="2" t="s">
        <v>15</v>
      </c>
      <c r="G963" s="2" t="s">
        <v>721</v>
      </c>
      <c r="H963" s="2" t="s">
        <v>324</v>
      </c>
      <c r="I963" s="2" t="str">
        <f>IFERROR(__xludf.DUMMYFUNCTION("GOOGLETRANSLATE(C963,""fr"",""en"")"),"Increase of 70 euros in the space of 1 year of my subscription for my housing insurance. J calls the Macif which is totally unable to give me the reason for how and why.
My subscription therefore goes from 150 euros to 220 euros and this for no reason!")</f>
        <v>Increase of 70 euros in the space of 1 year of my subscription for my housing insurance. J calls the Macif which is totally unable to give me the reason for how and why.
My subscription therefore goes from 150 euros to 220 euros and this for no reason!</v>
      </c>
    </row>
    <row r="964" ht="15.75" customHeight="1">
      <c r="A964" s="2">
        <v>4.0</v>
      </c>
      <c r="B964" s="2" t="s">
        <v>2618</v>
      </c>
      <c r="C964" s="2" t="s">
        <v>2619</v>
      </c>
      <c r="D964" s="2" t="s">
        <v>87</v>
      </c>
      <c r="E964" s="2" t="s">
        <v>14</v>
      </c>
      <c r="F964" s="2" t="s">
        <v>15</v>
      </c>
      <c r="G964" s="2" t="s">
        <v>1630</v>
      </c>
      <c r="H964" s="2" t="s">
        <v>42</v>
      </c>
      <c r="I964" s="2" t="str">
        <f>IFERROR(__xludf.DUMMYFUNCTION("GOOGLETRANSLATE(C964,""fr"",""en"")"),"Good reception from the interlocutor, the price remains correct and competitive in comparison on several quotes received ...
fast and friendly service")</f>
        <v>Good reception from the interlocutor, the price remains correct and competitive in comparison on several quotes received ...
fast and friendly service</v>
      </c>
    </row>
    <row r="965" ht="15.75" customHeight="1">
      <c r="A965" s="2">
        <v>3.0</v>
      </c>
      <c r="B965" s="2" t="s">
        <v>2620</v>
      </c>
      <c r="C965" s="2" t="s">
        <v>2621</v>
      </c>
      <c r="D965" s="2" t="s">
        <v>13</v>
      </c>
      <c r="E965" s="2" t="s">
        <v>14</v>
      </c>
      <c r="F965" s="2" t="s">
        <v>15</v>
      </c>
      <c r="G965" s="2" t="s">
        <v>182</v>
      </c>
      <c r="H965" s="2" t="s">
        <v>42</v>
      </c>
      <c r="I965" s="2" t="str">
        <f>IFERROR(__xludf.DUMMYFUNCTION("GOOGLETRANSLATE(C965,""fr"",""en"")"),"Pending the discovery of insurer/insured relationships. Hopefully the price covers an efficient service, even if it would be a shame to have a disaster after more than forty years of insurance without liability.")</f>
        <v>Pending the discovery of insurer/insured relationships. Hopefully the price covers an efficient service, even if it would be a shame to have a disaster after more than forty years of insurance without liability.</v>
      </c>
    </row>
    <row r="966" ht="15.75" customHeight="1">
      <c r="A966" s="2">
        <v>5.0</v>
      </c>
      <c r="B966" s="2" t="s">
        <v>2622</v>
      </c>
      <c r="C966" s="2" t="s">
        <v>2623</v>
      </c>
      <c r="D966" s="2" t="s">
        <v>832</v>
      </c>
      <c r="E966" s="2" t="s">
        <v>232</v>
      </c>
      <c r="F966" s="2" t="s">
        <v>15</v>
      </c>
      <c r="G966" s="2" t="s">
        <v>190</v>
      </c>
      <c r="H966" s="2" t="s">
        <v>190</v>
      </c>
      <c r="I966" s="2" t="str">
        <f>IFERROR(__xludf.DUMMYFUNCTION("GOOGLETRANSLATE(C966,""fr"",""en"")"),"Competitive prices
Very satisfied in particular of the advisor who contacted me: very professional!
Listening - in the advice - real support and customer monitoring, great responsiveness.
")</f>
        <v>Competitive prices
Very satisfied in particular of the advisor who contacted me: very professional!
Listening - in the advice - real support and customer monitoring, great responsiveness.
</v>
      </c>
    </row>
    <row r="967" ht="15.75" customHeight="1">
      <c r="A967" s="2">
        <v>4.0</v>
      </c>
      <c r="B967" s="2" t="s">
        <v>2624</v>
      </c>
      <c r="C967" s="2" t="s">
        <v>2625</v>
      </c>
      <c r="D967" s="2" t="s">
        <v>87</v>
      </c>
      <c r="E967" s="2" t="s">
        <v>14</v>
      </c>
      <c r="F967" s="2" t="s">
        <v>15</v>
      </c>
      <c r="G967" s="2" t="s">
        <v>1031</v>
      </c>
      <c r="H967" s="2" t="s">
        <v>209</v>
      </c>
      <c r="I967" s="2" t="str">
        <f>IFERROR(__xludf.DUMMYFUNCTION("GOOGLETRANSLATE(C967,""fr"",""en"")"),"I am satisfied at first of the price, however I remain septic in relation to the contract obligation of a year with tacit renewal.")</f>
        <v>I am satisfied at first of the price, however I remain septic in relation to the contract obligation of a year with tacit renewal.</v>
      </c>
    </row>
    <row r="968" ht="15.75" customHeight="1">
      <c r="A968" s="2">
        <v>5.0</v>
      </c>
      <c r="B968" s="2" t="s">
        <v>2626</v>
      </c>
      <c r="C968" s="2" t="s">
        <v>2627</v>
      </c>
      <c r="D968" s="2" t="s">
        <v>87</v>
      </c>
      <c r="E968" s="2" t="s">
        <v>14</v>
      </c>
      <c r="F968" s="2" t="s">
        <v>15</v>
      </c>
      <c r="G968" s="2" t="s">
        <v>2315</v>
      </c>
      <c r="H968" s="2" t="s">
        <v>190</v>
      </c>
      <c r="I968" s="2" t="str">
        <f>IFERROR(__xludf.DUMMYFUNCTION("GOOGLETRANSLATE(C968,""fr"",""en"")"),"I am delighted with the Olivier Insurance service. An easy and accessible contract creation system to everyone. Really thank you and well done.")</f>
        <v>I am delighted with the Olivier Insurance service. An easy and accessible contract creation system to everyone. Really thank you and well done.</v>
      </c>
    </row>
    <row r="969" ht="15.75" customHeight="1">
      <c r="A969" s="2">
        <v>1.0</v>
      </c>
      <c r="B969" s="2" t="s">
        <v>2628</v>
      </c>
      <c r="C969" s="2" t="s">
        <v>2629</v>
      </c>
      <c r="D969" s="2" t="s">
        <v>36</v>
      </c>
      <c r="E969" s="2" t="s">
        <v>14</v>
      </c>
      <c r="F969" s="2" t="s">
        <v>15</v>
      </c>
      <c r="G969" s="2" t="s">
        <v>1729</v>
      </c>
      <c r="H969" s="2" t="s">
        <v>61</v>
      </c>
      <c r="I969" s="2" t="str">
        <f>IFERROR(__xludf.DUMMYFUNCTION("GOOGLETRANSLATE(C969,""fr"",""en"")"),"Insured all risks for more than 40 years today Maif is no longer what it was in the past. All responsibilities given to the delegations have been withdrawn to be transmitted to the head office in Niort. The files drag more than a year before being truly a"&amp;"warded with a completely incompetent sinister service based on the curls of swollen bogons to send the carriage vehicles. I hold all the evidence
From their incompetence with contradictory quotes. As for the MAIF activists, they absolutely do not defend "&amp;"you but rather pushed you with a file that they do not have.")</f>
        <v>Insured all risks for more than 40 years today Maif is no longer what it was in the past. All responsibilities given to the delegations have been withdrawn to be transmitted to the head office in Niort. The files drag more than a year before being truly awarded with a completely incompetent sinister service based on the curls of swollen bogons to send the carriage vehicles. I hold all the evidence
From their incompetence with contradictory quotes. As for the MAIF activists, they absolutely do not defend you but rather pushed you with a file that they do not have.</v>
      </c>
    </row>
    <row r="970" ht="15.75" customHeight="1">
      <c r="A970" s="2">
        <v>1.0</v>
      </c>
      <c r="B970" s="2" t="s">
        <v>2630</v>
      </c>
      <c r="C970" s="2" t="s">
        <v>2631</v>
      </c>
      <c r="D970" s="2" t="s">
        <v>164</v>
      </c>
      <c r="E970" s="2" t="s">
        <v>14</v>
      </c>
      <c r="F970" s="2" t="s">
        <v>15</v>
      </c>
      <c r="G970" s="2" t="s">
        <v>2632</v>
      </c>
      <c r="H970" s="2" t="s">
        <v>38</v>
      </c>
      <c r="I970" s="2" t="str">
        <f>IFERROR(__xludf.DUMMYFUNCTION("GOOGLETRANSLATE(C970,""fr"",""en"")"),"In the event of an accident even in any risk, the expert arrangs .... and I had no refund. The expert even told me that I had cheated!
I was 60 years old, no accidents responsible since 18 years old ... A shame!
I was amazed to be treated like that but "&amp;"as I was very sick at the time I did not have the courage to make them a lawsuit.
I made a serious error when I go to them and I stop only to warn people so that they do not make the same mistake as me!
Matmut is insurance can recommendable")</f>
        <v>In the event of an accident even in any risk, the expert arrangs .... and I had no refund. The expert even told me that I had cheated!
I was 60 years old, no accidents responsible since 18 years old ... A shame!
I was amazed to be treated like that but as I was very sick at the time I did not have the courage to make them a lawsuit.
I made a serious error when I go to them and I stop only to warn people so that they do not make the same mistake as me!
Matmut is insurance can recommendable</v>
      </c>
    </row>
    <row r="971" ht="15.75" customHeight="1">
      <c r="A971" s="2">
        <v>1.0</v>
      </c>
      <c r="B971" s="2" t="s">
        <v>2633</v>
      </c>
      <c r="C971" s="2" t="s">
        <v>2634</v>
      </c>
      <c r="D971" s="2" t="s">
        <v>36</v>
      </c>
      <c r="E971" s="2" t="s">
        <v>55</v>
      </c>
      <c r="F971" s="2" t="s">
        <v>15</v>
      </c>
      <c r="G971" s="2" t="s">
        <v>2635</v>
      </c>
      <c r="H971" s="2" t="s">
        <v>861</v>
      </c>
      <c r="I971" s="2" t="str">
        <f>IFERROR(__xludf.DUMMYFUNCTION("GOOGLETRANSLATE(C971,""fr"",""en"")"),"Insurer to avoid at all costs !!!! Customer for 30 years, they refused to reimburse several valuable value stolen during a burglary, while I had given all the supporting parts invoices etc ...
They asked me for additional documents impossible to obtain w"&amp;"hich were not provided for in my contract. Avoid at all costs.")</f>
        <v>Insurer to avoid at all costs !!!! Customer for 30 years, they refused to reimburse several valuable value stolen during a burglary, while I had given all the supporting parts invoices etc ...
They asked me for additional documents impossible to obtain which were not provided for in my contract. Avoid at all costs.</v>
      </c>
    </row>
    <row r="972" ht="15.75" customHeight="1">
      <c r="A972" s="2">
        <v>5.0</v>
      </c>
      <c r="B972" s="2" t="s">
        <v>2636</v>
      </c>
      <c r="C972" s="2" t="s">
        <v>2637</v>
      </c>
      <c r="D972" s="2" t="s">
        <v>87</v>
      </c>
      <c r="E972" s="2" t="s">
        <v>14</v>
      </c>
      <c r="F972" s="2" t="s">
        <v>15</v>
      </c>
      <c r="G972" s="2" t="s">
        <v>2638</v>
      </c>
      <c r="H972" s="2" t="s">
        <v>493</v>
      </c>
      <c r="I972" s="2" t="str">
        <f>IFERROR(__xludf.DUMMYFUNCTION("GOOGLETRANSLATE(C972,""fr"",""en"")"),"I have been with them for over a year and a half and everything is going well! The price is attractive, the advisers are available and competent! For a first experience with an agency insurer, it's very good!")</f>
        <v>I have been with them for over a year and a half and everything is going well! The price is attractive, the advisers are available and competent! For a first experience with an agency insurer, it's very good!</v>
      </c>
    </row>
    <row r="973" ht="15.75" customHeight="1">
      <c r="A973" s="2">
        <v>4.0</v>
      </c>
      <c r="B973" s="2" t="s">
        <v>2639</v>
      </c>
      <c r="C973" s="2" t="s">
        <v>2640</v>
      </c>
      <c r="D973" s="2" t="s">
        <v>30</v>
      </c>
      <c r="E973" s="2" t="s">
        <v>31</v>
      </c>
      <c r="F973" s="2" t="s">
        <v>15</v>
      </c>
      <c r="G973" s="2" t="s">
        <v>305</v>
      </c>
      <c r="H973" s="2" t="s">
        <v>195</v>
      </c>
      <c r="I973" s="2" t="str">
        <f>IFERROR(__xludf.DUMMYFUNCTION("GOOGLETRANSLATE(C973,""fr"",""en"")"),"I am satisfied with my mutual, with good health coverage. The staff are very responsive by phone to respond to my requests, I recommend it")</f>
        <v>I am satisfied with my mutual, with good health coverage. The staff are very responsive by phone to respond to my requests, I recommend it</v>
      </c>
    </row>
    <row r="974" ht="15.75" customHeight="1">
      <c r="A974" s="2">
        <v>5.0</v>
      </c>
      <c r="B974" s="2" t="s">
        <v>2641</v>
      </c>
      <c r="C974" s="2" t="s">
        <v>2642</v>
      </c>
      <c r="D974" s="2" t="s">
        <v>74</v>
      </c>
      <c r="E974" s="2" t="s">
        <v>14</v>
      </c>
      <c r="F974" s="2" t="s">
        <v>15</v>
      </c>
      <c r="G974" s="2" t="s">
        <v>308</v>
      </c>
      <c r="H974" s="2" t="s">
        <v>52</v>
      </c>
      <c r="I974" s="2" t="str">
        <f>IFERROR(__xludf.DUMMYFUNCTION("GOOGLETRANSLATE(C974,""fr"",""en"")"),"I am very satisfied with your still very kind and attentive services. No waiting when called very fast management. And very good follow -up of files.")</f>
        <v>I am very satisfied with your still very kind and attentive services. No waiting when called very fast management. And very good follow -up of files.</v>
      </c>
    </row>
    <row r="975" ht="15.75" customHeight="1">
      <c r="A975" s="2">
        <v>4.0</v>
      </c>
      <c r="B975" s="2" t="s">
        <v>2643</v>
      </c>
      <c r="C975" s="2" t="s">
        <v>2644</v>
      </c>
      <c r="D975" s="2" t="s">
        <v>87</v>
      </c>
      <c r="E975" s="2" t="s">
        <v>14</v>
      </c>
      <c r="F975" s="2" t="s">
        <v>15</v>
      </c>
      <c r="G975" s="2" t="s">
        <v>573</v>
      </c>
      <c r="H975" s="2" t="s">
        <v>209</v>
      </c>
      <c r="I975" s="2" t="str">
        <f>IFERROR(__xludf.DUMMYFUNCTION("GOOGLETRANSLATE(C975,""fr"",""en"")"),"I am satisfied with service and advisor who vehicles a good image of the brand.
Simple and efficient customer area.
Thank you and excellent day
")</f>
        <v>I am satisfied with service and advisor who vehicles a good image of the brand.
Simple and efficient customer area.
Thank you and excellent day
</v>
      </c>
    </row>
    <row r="976" ht="15.75" customHeight="1">
      <c r="A976" s="2">
        <v>1.0</v>
      </c>
      <c r="B976" s="2" t="s">
        <v>2645</v>
      </c>
      <c r="C976" s="2" t="s">
        <v>2646</v>
      </c>
      <c r="D976" s="2" t="s">
        <v>237</v>
      </c>
      <c r="E976" s="2" t="s">
        <v>14</v>
      </c>
      <c r="F976" s="2" t="s">
        <v>15</v>
      </c>
      <c r="G976" s="2" t="s">
        <v>2647</v>
      </c>
      <c r="H976" s="2" t="s">
        <v>234</v>
      </c>
      <c r="I976" s="2" t="str">
        <f>IFERROR(__xludf.DUMMYFUNCTION("GOOGLETRANSLATE(C976,""fr"",""en"")"),"Following the disaster that occurred a year ago, I did not have an answer from Axa. My car was repaired by a CDA Morangis mechanic from the AXA network and as the file is always open I had to pay the repair myself. The mechanic did his work badly, I prese"&amp;"nted proves in Axa and four months older, I always wait to have the contact of a person from customer service AXA to follow up on the complaint.
The complete process has been a horrible experience for me and still remains today.")</f>
        <v>Following the disaster that occurred a year ago, I did not have an answer from Axa. My car was repaired by a CDA Morangis mechanic from the AXA network and as the file is always open I had to pay the repair myself. The mechanic did his work badly, I presented proves in Axa and four months older, I always wait to have the contact of a person from customer service AXA to follow up on the complaint.
The complete process has been a horrible experience for me and still remains today.</v>
      </c>
    </row>
    <row r="977" ht="15.75" customHeight="1">
      <c r="A977" s="2">
        <v>1.0</v>
      </c>
      <c r="B977" s="2" t="s">
        <v>2648</v>
      </c>
      <c r="C977" s="2" t="s">
        <v>2649</v>
      </c>
      <c r="D977" s="2" t="s">
        <v>231</v>
      </c>
      <c r="E977" s="2" t="s">
        <v>232</v>
      </c>
      <c r="F977" s="2" t="s">
        <v>15</v>
      </c>
      <c r="G977" s="2" t="s">
        <v>934</v>
      </c>
      <c r="H977" s="2" t="s">
        <v>190</v>
      </c>
      <c r="I977" s="2" t="str">
        <f>IFERROR(__xludf.DUMMYFUNCTION("GOOGLETRANSLATE(C977,""fr"",""en"")"),"Response from Favabiavin Thursday July 15, 2021 at 12:34
Hello, I confirm the remarks made by Sebolex34. My husband died on April 1, and we had a BNP mortgage provided by Cardif. I sent a request for care to my BNP advisor. After completing all the reque"&amp;"sted documents, certificate of death, attestation of the doctor on the date of the first demonstrations of the pathology which caused his death, I had to wait 3 months to receive a notice of refusal of care on the grounds that The disease would have been "&amp;"before the insurance subscription .... Our doctor wrote that the first demonstration dates from 2019, but Cardif took 2 months to read ""2015"" instead of ""2019"". So by phone I am told that you have to make a letter of contestation to redo the medical q"&amp;"uestionnaire, and produce a certificate from my doctor confirming the date on the 1st questionnaire. I do it all in a week and I send everything by email; I am announced an answer within 5 days. However, on the scheduled date, no response, and now I am to"&amp;"ld about 5 weeks for the complaint service to take note of my dispute. While waiting for the succession is blocked and I continue to have the monthly payments of the credit. When I ask why 5 weeks to correct a simple reading error? Cardif answers ""this i"&amp;"s the procedure"". No empathy, no consideration for humans, an indifferent, rigid and non -reactive insurance company, should change the field of intervention!
image
")</f>
        <v>Response from Favabiavin Thursday July 15, 2021 at 12:34
Hello, I confirm the remarks made by Sebolex34. My husband died on April 1, and we had a BNP mortgage provided by Cardif. I sent a request for care to my BNP advisor. After completing all the requested documents, certificate of death, attestation of the doctor on the date of the first demonstrations of the pathology which caused his death, I had to wait 3 months to receive a notice of refusal of care on the grounds that The disease would have been before the insurance subscription .... Our doctor wrote that the first demonstration dates from 2019, but Cardif took 2 months to read "2015" instead of "2019". So by phone I am told that you have to make a letter of contestation to redo the medical questionnaire, and produce a certificate from my doctor confirming the date on the 1st questionnaire. I do it all in a week and I send everything by email; I am announced an answer within 5 days. However, on the scheduled date, no response, and now I am told about 5 weeks for the complaint service to take note of my dispute. While waiting for the succession is blocked and I continue to have the monthly payments of the credit. When I ask why 5 weeks to correct a simple reading error? Cardif answers "this is the procedure". No empathy, no consideration for humans, an indifferent, rigid and non -reactive insurance company, should change the field of intervention!
image
</v>
      </c>
    </row>
    <row r="978" ht="15.75" customHeight="1">
      <c r="A978" s="2">
        <v>3.0</v>
      </c>
      <c r="B978" s="2" t="s">
        <v>2650</v>
      </c>
      <c r="C978" s="2" t="s">
        <v>2651</v>
      </c>
      <c r="D978" s="2" t="s">
        <v>30</v>
      </c>
      <c r="E978" s="2" t="s">
        <v>31</v>
      </c>
      <c r="F978" s="2" t="s">
        <v>15</v>
      </c>
      <c r="G978" s="2" t="s">
        <v>827</v>
      </c>
      <c r="H978" s="2" t="s">
        <v>190</v>
      </c>
      <c r="I978" s="2" t="str">
        <f>IFERROR(__xludf.DUMMYFUNCTION("GOOGLETRANSLATE(C978,""fr"",""en"")"),"For the moment very good mutual insurance company very reactive than for reimbursements or other problems encountered. I highly recommend the MGP. Nothing special to blame them.")</f>
        <v>For the moment very good mutual insurance company very reactive than for reimbursements or other problems encountered. I highly recommend the MGP. Nothing special to blame them.</v>
      </c>
    </row>
    <row r="979" ht="15.75" customHeight="1">
      <c r="A979" s="2">
        <v>5.0</v>
      </c>
      <c r="B979" s="2" t="s">
        <v>2652</v>
      </c>
      <c r="C979" s="2" t="s">
        <v>2653</v>
      </c>
      <c r="D979" s="2" t="s">
        <v>50</v>
      </c>
      <c r="E979" s="2" t="s">
        <v>21</v>
      </c>
      <c r="F979" s="2" t="s">
        <v>15</v>
      </c>
      <c r="G979" s="2" t="s">
        <v>1495</v>
      </c>
      <c r="H979" s="2" t="s">
        <v>209</v>
      </c>
      <c r="I979" s="2" t="str">
        <f>IFERROR(__xludf.DUMMYFUNCTION("GOOGLETRANSLATE(C979,""fr"",""en"")"),"I am satisfied with listening and understanding staff, very direct and listening to this clientele, I have a lot of appreciation, I recommend")</f>
        <v>I am satisfied with listening and understanding staff, very direct and listening to this clientele, I have a lot of appreciation, I recommend</v>
      </c>
    </row>
    <row r="980" ht="15.75" customHeight="1">
      <c r="A980" s="2">
        <v>5.0</v>
      </c>
      <c r="B980" s="2" t="s">
        <v>2654</v>
      </c>
      <c r="C980" s="2" t="s">
        <v>2655</v>
      </c>
      <c r="D980" s="2" t="s">
        <v>13</v>
      </c>
      <c r="E980" s="2" t="s">
        <v>14</v>
      </c>
      <c r="F980" s="2" t="s">
        <v>15</v>
      </c>
      <c r="G980" s="2" t="s">
        <v>2656</v>
      </c>
      <c r="H980" s="2" t="s">
        <v>27</v>
      </c>
      <c r="I980" s="2" t="str">
        <f>IFERROR(__xludf.DUMMYFUNCTION("GOOGLETRANSLATE(C980,""fr"",""en"")"),"I am satisfied with the prices good value for money and good customer service listening to enter the customer
I recommend direct insurance for future contract")</f>
        <v>I am satisfied with the prices good value for money and good customer service listening to enter the customer
I recommend direct insurance for future contract</v>
      </c>
    </row>
    <row r="981" ht="15.75" customHeight="1">
      <c r="A981" s="2">
        <v>2.0</v>
      </c>
      <c r="B981" s="2" t="s">
        <v>2657</v>
      </c>
      <c r="C981" s="2" t="s">
        <v>2658</v>
      </c>
      <c r="D981" s="2" t="s">
        <v>13</v>
      </c>
      <c r="E981" s="2" t="s">
        <v>14</v>
      </c>
      <c r="F981" s="2" t="s">
        <v>15</v>
      </c>
      <c r="G981" s="2" t="s">
        <v>1071</v>
      </c>
      <c r="H981" s="2" t="s">
        <v>27</v>
      </c>
      <c r="I981" s="2" t="str">
        <f>IFERROR(__xludf.DUMMYFUNCTION("GOOGLETRANSLATE(C981,""fr"",""en"")"),"hello
I am surprised that I am given an additional invoice of 8.08 euros while your quote (photocopy attached to my payment n ° 74 per check) stipulated 157.68 euros
As a retired police officer, I respected to the letter for the sake of education?
Best"&amp;" regards")</f>
        <v>hello
I am surprised that I am given an additional invoice of 8.08 euros while your quote (photocopy attached to my payment n ° 74 per check) stipulated 157.68 euros
As a retired police officer, I respected to the letter for the sake of education?
Best regards</v>
      </c>
    </row>
    <row r="982" ht="15.75" customHeight="1">
      <c r="A982" s="2">
        <v>4.0</v>
      </c>
      <c r="B982" s="2" t="s">
        <v>2659</v>
      </c>
      <c r="C982" s="2" t="s">
        <v>2660</v>
      </c>
      <c r="D982" s="2" t="s">
        <v>50</v>
      </c>
      <c r="E982" s="2" t="s">
        <v>21</v>
      </c>
      <c r="F982" s="2" t="s">
        <v>15</v>
      </c>
      <c r="G982" s="2" t="s">
        <v>2661</v>
      </c>
      <c r="H982" s="2" t="s">
        <v>190</v>
      </c>
      <c r="I982" s="2" t="str">
        <f>IFERROR(__xludf.DUMMYFUNCTION("GOOGLETRANSLATE(C982,""fr"",""en"")"),"The set suits me, 5 stars next year if the price is lower.
I appreciated the simplicity to subscribe to the contract.
Cordially. C. inform")</f>
        <v>The set suits me, 5 stars next year if the price is lower.
I appreciated the simplicity to subscribe to the contract.
Cordially. C. inform</v>
      </c>
    </row>
    <row r="983" ht="15.75" customHeight="1">
      <c r="A983" s="2">
        <v>5.0</v>
      </c>
      <c r="B983" s="2" t="s">
        <v>2662</v>
      </c>
      <c r="C983" s="2" t="s">
        <v>2663</v>
      </c>
      <c r="D983" s="2" t="s">
        <v>13</v>
      </c>
      <c r="E983" s="2" t="s">
        <v>14</v>
      </c>
      <c r="F983" s="2" t="s">
        <v>15</v>
      </c>
      <c r="G983" s="2" t="s">
        <v>2664</v>
      </c>
      <c r="H983" s="2" t="s">
        <v>27</v>
      </c>
      <c r="I983" s="2" t="str">
        <f>IFERROR(__xludf.DUMMYFUNCTION("GOOGLETRANSLATE(C983,""fr"",""en"")"),"You are an insurance, fast and serious!
You take charge of your customers' problems!
You have clear and clear explanations!
You are the cheapest insurance I have known so far!")</f>
        <v>You are an insurance, fast and serious!
You take charge of your customers' problems!
You have clear and clear explanations!
You are the cheapest insurance I have known so far!</v>
      </c>
    </row>
    <row r="984" ht="15.75" customHeight="1">
      <c r="A984" s="2">
        <v>5.0</v>
      </c>
      <c r="B984" s="2" t="s">
        <v>2077</v>
      </c>
      <c r="C984" s="2" t="s">
        <v>2665</v>
      </c>
      <c r="D984" s="2" t="s">
        <v>832</v>
      </c>
      <c r="E984" s="2" t="s">
        <v>232</v>
      </c>
      <c r="F984" s="2" t="s">
        <v>15</v>
      </c>
      <c r="G984" s="2" t="s">
        <v>1309</v>
      </c>
      <c r="H984" s="2" t="s">
        <v>52</v>
      </c>
      <c r="I984" s="2" t="str">
        <f>IFERROR(__xludf.DUMMYFUNCTION("GOOGLETRANSLATE(C984,""fr"",""en"")"),"I am very satisfied with the services and professionalism of the broker just perfect very attentive, with a lot of courtesy with a lot of explanations.")</f>
        <v>I am very satisfied with the services and professionalism of the broker just perfect very attentive, with a lot of courtesy with a lot of explanations.</v>
      </c>
    </row>
    <row r="985" ht="15.75" customHeight="1">
      <c r="A985" s="2">
        <v>2.0</v>
      </c>
      <c r="B985" s="2" t="s">
        <v>2666</v>
      </c>
      <c r="C985" s="2" t="s">
        <v>2667</v>
      </c>
      <c r="D985" s="2" t="s">
        <v>45</v>
      </c>
      <c r="E985" s="2" t="s">
        <v>21</v>
      </c>
      <c r="F985" s="2" t="s">
        <v>15</v>
      </c>
      <c r="G985" s="2" t="s">
        <v>562</v>
      </c>
      <c r="H985" s="2" t="s">
        <v>89</v>
      </c>
      <c r="I985" s="2" t="str">
        <f>IFERROR(__xludf.DUMMYFUNCTION("GOOGLETRANSLATE(C985,""fr"",""en"")"),"If you are looking for a correct insurance to go through the Macif asks you to pay a sum then do not help you in the event of a more claim explains me that I cannot ensure my motorcycle because it is too big (I have an A2 C license is an A2 motorcycle) I "&amp;"do not recommend it strongly and you should redirect as soon as possible if you have not yet had a claim")</f>
        <v>If you are looking for a correct insurance to go through the Macif asks you to pay a sum then do not help you in the event of a more claim explains me that I cannot ensure my motorcycle because it is too big (I have an A2 C license is an A2 motorcycle) I do not recommend it strongly and you should redirect as soon as possible if you have not yet had a claim</v>
      </c>
    </row>
    <row r="986" ht="15.75" customHeight="1">
      <c r="A986" s="2">
        <v>1.0</v>
      </c>
      <c r="B986" s="2" t="s">
        <v>2668</v>
      </c>
      <c r="C986" s="2" t="s">
        <v>2669</v>
      </c>
      <c r="D986" s="2" t="s">
        <v>64</v>
      </c>
      <c r="E986" s="2" t="s">
        <v>31</v>
      </c>
      <c r="F986" s="2" t="s">
        <v>15</v>
      </c>
      <c r="G986" s="2" t="s">
        <v>2670</v>
      </c>
      <c r="H986" s="2" t="s">
        <v>625</v>
      </c>
      <c r="I986" s="2" t="str">
        <f>IFERROR(__xludf.DUMMYFUNCTION("GOOGLETRANSLATE(C986,""fr"",""en"")"),"Really very disappointed and forced to wait for the end of the year to terminate. Look for another mutual insurance you will be disappointed for sure.")</f>
        <v>Really very disappointed and forced to wait for the end of the year to terminate. Look for another mutual insurance you will be disappointed for sure.</v>
      </c>
    </row>
    <row r="987" ht="15.75" customHeight="1">
      <c r="A987" s="2">
        <v>1.0</v>
      </c>
      <c r="B987" s="2" t="s">
        <v>2671</v>
      </c>
      <c r="C987" s="2" t="s">
        <v>2672</v>
      </c>
      <c r="D987" s="2" t="s">
        <v>375</v>
      </c>
      <c r="E987" s="2" t="s">
        <v>288</v>
      </c>
      <c r="F987" s="2" t="s">
        <v>15</v>
      </c>
      <c r="G987" s="2" t="s">
        <v>2673</v>
      </c>
      <c r="H987" s="2" t="s">
        <v>27</v>
      </c>
      <c r="I987" s="2" t="str">
        <f>IFERROR(__xludf.DUMMYFUNCTION("GOOGLETRANSLATE(C987,""fr"",""en"")"),"2 months after the death and although the insurer had the information with all the elements, no new life insurance. There is however a legal obligation to follow up in the month but Generali does not care ... 1 star because 0 was not possible")</f>
        <v>2 months after the death and although the insurer had the information with all the elements, no new life insurance. There is however a legal obligation to follow up in the month but Generali does not care ... 1 star because 0 was not possible</v>
      </c>
    </row>
    <row r="988" ht="15.75" customHeight="1">
      <c r="A988" s="2">
        <v>4.0</v>
      </c>
      <c r="B988" s="2" t="s">
        <v>2674</v>
      </c>
      <c r="C988" s="2" t="s">
        <v>2675</v>
      </c>
      <c r="D988" s="2" t="s">
        <v>201</v>
      </c>
      <c r="E988" s="2" t="s">
        <v>21</v>
      </c>
      <c r="F988" s="2" t="s">
        <v>15</v>
      </c>
      <c r="G988" s="2" t="s">
        <v>169</v>
      </c>
      <c r="H988" s="2" t="s">
        <v>169</v>
      </c>
      <c r="I988" s="2" t="str">
        <f>IFERROR(__xludf.DUMMYFUNCTION("GOOGLETRANSLATE(C988,""fr"",""en"")"),"SATISFIED! Simple and fast
 For the time I subscribe times I buy a two motorized wheels! And without asking myself questions I naturally headed for you.")</f>
        <v>SATISFIED! Simple and fast
 For the time I subscribe times I buy a two motorized wheels! And without asking myself questions I naturally headed for you.</v>
      </c>
    </row>
    <row r="989" ht="15.75" customHeight="1">
      <c r="A989" s="2">
        <v>5.0</v>
      </c>
      <c r="B989" s="2" t="s">
        <v>2676</v>
      </c>
      <c r="C989" s="2" t="s">
        <v>2677</v>
      </c>
      <c r="D989" s="2" t="s">
        <v>74</v>
      </c>
      <c r="E989" s="2" t="s">
        <v>14</v>
      </c>
      <c r="F989" s="2" t="s">
        <v>15</v>
      </c>
      <c r="G989" s="2" t="s">
        <v>570</v>
      </c>
      <c r="H989" s="2" t="s">
        <v>42</v>
      </c>
      <c r="I989" s="2" t="str">
        <f>IFERROR(__xludf.DUMMYFUNCTION("GOOGLETRANSLATE(C989,""fr"",""en"")"),"I am satisfied with the service the prices suit me simple and practical I wish to have more offer, I thank you not much cordially.")</f>
        <v>I am satisfied with the service the prices suit me simple and practical I wish to have more offer, I thank you not much cordially.</v>
      </c>
    </row>
    <row r="990" ht="15.75" customHeight="1">
      <c r="A990" s="2">
        <v>1.0</v>
      </c>
      <c r="B990" s="2" t="s">
        <v>2678</v>
      </c>
      <c r="C990" s="2" t="s">
        <v>2679</v>
      </c>
      <c r="D990" s="2" t="s">
        <v>315</v>
      </c>
      <c r="E990" s="2" t="s">
        <v>55</v>
      </c>
      <c r="F990" s="2" t="s">
        <v>15</v>
      </c>
      <c r="G990" s="2" t="s">
        <v>610</v>
      </c>
      <c r="H990" s="2" t="s">
        <v>190</v>
      </c>
      <c r="I990" s="2" t="str">
        <f>IFERROR(__xludf.DUMMYFUNCTION("GOOGLETRANSLATE(C990,""fr"",""en"")"),"This home insurance and in general all the Sogessur insurance are to be flee. The practice of this insurer is always unfavorable to the insured. While the general and specific conditions are of strict interpretation, the Sogessur makes a very personal int"&amp;"erpretation of the clauses of the contract by adding unknown conditions of the insured and any non -contractual evidence, which allows her to exempt from any management. In short, you pay insurance but the insurer will never take care of your disaster bec"&amp;"ause it will always find a good reason not to do it. I advise you to go see other more competitive and more professional insurers.")</f>
        <v>This home insurance and in general all the Sogessur insurance are to be flee. The practice of this insurer is always unfavorable to the insured. While the general and specific conditions are of strict interpretation, the Sogessur makes a very personal interpretation of the clauses of the contract by adding unknown conditions of the insured and any non -contractual evidence, which allows her to exempt from any management. In short, you pay insurance but the insurer will never take care of your disaster because it will always find a good reason not to do it. I advise you to go see other more competitive and more professional insurers.</v>
      </c>
    </row>
    <row r="991" ht="15.75" customHeight="1">
      <c r="A991" s="2">
        <v>1.0</v>
      </c>
      <c r="B991" s="2" t="s">
        <v>2680</v>
      </c>
      <c r="C991" s="2" t="s">
        <v>2681</v>
      </c>
      <c r="D991" s="2" t="s">
        <v>87</v>
      </c>
      <c r="E991" s="2" t="s">
        <v>14</v>
      </c>
      <c r="F991" s="2" t="s">
        <v>15</v>
      </c>
      <c r="G991" s="2" t="s">
        <v>2682</v>
      </c>
      <c r="H991" s="2" t="s">
        <v>186</v>
      </c>
      <c r="I991" s="2" t="str">
        <f>IFERROR(__xludf.DUMMYFUNCTION("GOOGLETRANSLATE(C991,""fr"",""en"")"),"As long as we pay it's okay
By cons treatment in the event of a lamentable claim
They drag the files (person broke of ice)
Avoid this insurance")</f>
        <v>As long as we pay it's okay
By cons treatment in the event of a lamentable claim
They drag the files (person broke of ice)
Avoid this insurance</v>
      </c>
    </row>
    <row r="992" ht="15.75" customHeight="1">
      <c r="A992" s="2">
        <v>1.0</v>
      </c>
      <c r="B992" s="2" t="s">
        <v>2683</v>
      </c>
      <c r="C992" s="2" t="s">
        <v>2684</v>
      </c>
      <c r="D992" s="2" t="s">
        <v>13</v>
      </c>
      <c r="E992" s="2" t="s">
        <v>14</v>
      </c>
      <c r="F992" s="2" t="s">
        <v>15</v>
      </c>
      <c r="G992" s="2" t="s">
        <v>2685</v>
      </c>
      <c r="H992" s="2" t="s">
        <v>302</v>
      </c>
      <c r="I992" s="2" t="str">
        <f>IFERROR(__xludf.DUMMYFUNCTION("GOOGLETRANSLATE(C992,""fr"",""en"")"),"Insurance that has increased each year, for 10 years without claims, does not respond to emails and you have to fight each year for a reduction, I removed a vehicle from their home at the start of the year and I will remove the second incessantly under Li"&amp;"ttle, not expensive the first year but then they explain that you pay for others.")</f>
        <v>Insurance that has increased each year, for 10 years without claims, does not respond to emails and you have to fight each year for a reduction, I removed a vehicle from their home at the start of the year and I will remove the second incessantly under Little, not expensive the first year but then they explain that you pay for others.</v>
      </c>
    </row>
    <row r="993" ht="15.75" customHeight="1">
      <c r="A993" s="2">
        <v>5.0</v>
      </c>
      <c r="B993" s="2" t="s">
        <v>2686</v>
      </c>
      <c r="C993" s="2" t="s">
        <v>2687</v>
      </c>
      <c r="D993" s="2" t="s">
        <v>87</v>
      </c>
      <c r="E993" s="2" t="s">
        <v>14</v>
      </c>
      <c r="F993" s="2" t="s">
        <v>15</v>
      </c>
      <c r="G993" s="2" t="s">
        <v>2688</v>
      </c>
      <c r="H993" s="2" t="s">
        <v>27</v>
      </c>
      <c r="I993" s="2" t="str">
        <f>IFERROR(__xludf.DUMMYFUNCTION("GOOGLETRANSLATE(C993,""fr"",""en"")"),"Very pleasant welcome very professional advisor is very attentive, very accessible price I will recommend it to all those around me thank you for your confidence")</f>
        <v>Very pleasant welcome very professional advisor is very attentive, very accessible price I will recommend it to all those around me thank you for your confidence</v>
      </c>
    </row>
    <row r="994" ht="15.75" customHeight="1">
      <c r="A994" s="2">
        <v>4.0</v>
      </c>
      <c r="B994" s="2" t="s">
        <v>2689</v>
      </c>
      <c r="C994" s="2" t="s">
        <v>2690</v>
      </c>
      <c r="D994" s="2" t="s">
        <v>74</v>
      </c>
      <c r="E994" s="2" t="s">
        <v>14</v>
      </c>
      <c r="F994" s="2" t="s">
        <v>15</v>
      </c>
      <c r="G994" s="2" t="s">
        <v>827</v>
      </c>
      <c r="H994" s="2" t="s">
        <v>190</v>
      </c>
      <c r="I994" s="2" t="str">
        <f>IFERROR(__xludf.DUMMYFUNCTION("GOOGLETRANSLATE(C994,""fr"",""en"")"),"Practical, assistance not easy to find the guarantees covered by the car pass, please tell me the procedure to follow, by email, thank you for your attention")</f>
        <v>Practical, assistance not easy to find the guarantees covered by the car pass, please tell me the procedure to follow, by email, thank you for your attention</v>
      </c>
    </row>
    <row r="995" ht="15.75" customHeight="1">
      <c r="A995" s="2">
        <v>5.0</v>
      </c>
      <c r="B995" s="2" t="s">
        <v>2691</v>
      </c>
      <c r="C995" s="2" t="s">
        <v>2692</v>
      </c>
      <c r="D995" s="2" t="s">
        <v>795</v>
      </c>
      <c r="E995" s="2" t="s">
        <v>246</v>
      </c>
      <c r="F995" s="2" t="s">
        <v>15</v>
      </c>
      <c r="G995" s="2" t="s">
        <v>2309</v>
      </c>
      <c r="H995" s="2" t="s">
        <v>186</v>
      </c>
      <c r="I995" s="2" t="str">
        <f>IFERROR(__xludf.DUMMYFUNCTION("GOOGLETRANSLATE(C995,""fr"",""en"")"),"Unlike all the negative opinions I read on this insurance, for my part, I had no problems. Vaccine and medical care, everything was taken into account quickly and in accordance with my insurance contract. In addition, refund requests are simple to make vi"&amp;"a the customer area.")</f>
        <v>Unlike all the negative opinions I read on this insurance, for my part, I had no problems. Vaccine and medical care, everything was taken into account quickly and in accordance with my insurance contract. In addition, refund requests are simple to make via the customer area.</v>
      </c>
    </row>
    <row r="996" ht="15.75" customHeight="1">
      <c r="A996" s="2">
        <v>4.0</v>
      </c>
      <c r="B996" s="2" t="s">
        <v>2693</v>
      </c>
      <c r="C996" s="2" t="s">
        <v>2694</v>
      </c>
      <c r="D996" s="2" t="s">
        <v>87</v>
      </c>
      <c r="E996" s="2" t="s">
        <v>14</v>
      </c>
      <c r="F996" s="2" t="s">
        <v>15</v>
      </c>
      <c r="G996" s="2" t="s">
        <v>2695</v>
      </c>
      <c r="H996" s="2" t="s">
        <v>190</v>
      </c>
      <c r="I996" s="2" t="str">
        <f>IFERROR(__xludf.DUMMYFUNCTION("GOOGLETRANSLATE(C996,""fr"",""en"")"),"Always too expensive for a young license ...... but cheaper than elsewhere !! I thank Annie for patience and kindness when establishing this contract ... !!")</f>
        <v>Always too expensive for a young license ...... but cheaper than elsewhere !! I thank Annie for patience and kindness when establishing this contract ... !!</v>
      </c>
    </row>
    <row r="997" ht="15.75" customHeight="1">
      <c r="A997" s="2">
        <v>4.0</v>
      </c>
      <c r="B997" s="2" t="s">
        <v>2696</v>
      </c>
      <c r="C997" s="2" t="s">
        <v>2697</v>
      </c>
      <c r="D997" s="2" t="s">
        <v>79</v>
      </c>
      <c r="E997" s="2" t="s">
        <v>14</v>
      </c>
      <c r="F997" s="2" t="s">
        <v>15</v>
      </c>
      <c r="G997" s="2" t="s">
        <v>2698</v>
      </c>
      <c r="H997" s="2" t="s">
        <v>699</v>
      </c>
      <c r="I997" s="2" t="str">
        <f>IFERROR(__xludf.DUMMYFUNCTION("GOOGLETRANSLATE(C997,""fr"",""en"")"),"Never had a problem with the subscription went very well
Sending the Documents The provisional card sent the same day for my part
Not high price of all I have been there for 3 years and I was a young permit at this time
It was the least expensive of al"&amp;"l the others who allowed me to make sure
And I count my new car insured with them again once again")</f>
        <v>Never had a problem with the subscription went very well
Sending the Documents The provisional card sent the same day for my part
Not high price of all I have been there for 3 years and I was a young permit at this time
It was the least expensive of all the others who allowed me to make sure
And I count my new car insured with them again once again</v>
      </c>
    </row>
    <row r="998" ht="15.75" customHeight="1">
      <c r="A998" s="2">
        <v>3.0</v>
      </c>
      <c r="B998" s="2" t="s">
        <v>2699</v>
      </c>
      <c r="C998" s="2" t="s">
        <v>2700</v>
      </c>
      <c r="D998" s="2" t="s">
        <v>87</v>
      </c>
      <c r="E998" s="2" t="s">
        <v>14</v>
      </c>
      <c r="F998" s="2" t="s">
        <v>15</v>
      </c>
      <c r="G998" s="2" t="s">
        <v>2701</v>
      </c>
      <c r="H998" s="2" t="s">
        <v>851</v>
      </c>
      <c r="I998" s="2" t="str">
        <f>IFERROR(__xludf.DUMMYFUNCTION("GOOGLETRANSLATE(C998,""fr"",""en"")"),"For reasons of convenience I bought my vehicle on December 23, 2016 in accordance with its professional practice and the insurance code being assured until December 24, 2016 my mechanic gave it to me on the 24th and I see myself taxed by 20% of my premium"&amp;" for compliance with the date of acquisition of the vehicle
For a day when nothing could happen and the olive tree would not have reimbursed me anyway if a possible accident would have happened
My contract number 1080141098 Please come back to your deci"&amp;"sion - Pichou52")</f>
        <v>For reasons of convenience I bought my vehicle on December 23, 2016 in accordance with its professional practice and the insurance code being assured until December 24, 2016 my mechanic gave it to me on the 24th and I see myself taxed by 20% of my premium for compliance with the date of acquisition of the vehicle
For a day when nothing could happen and the olive tree would not have reimbursed me anyway if a possible accident would have happened
My contract number 1080141098 Please come back to your decision - Pichou52</v>
      </c>
    </row>
    <row r="999" ht="15.75" customHeight="1">
      <c r="A999" s="2">
        <v>4.0</v>
      </c>
      <c r="B999" s="2" t="s">
        <v>2702</v>
      </c>
      <c r="C999" s="2" t="s">
        <v>2703</v>
      </c>
      <c r="D999" s="2" t="s">
        <v>13</v>
      </c>
      <c r="E999" s="2" t="s">
        <v>14</v>
      </c>
      <c r="F999" s="2" t="s">
        <v>15</v>
      </c>
      <c r="G999" s="2" t="s">
        <v>2704</v>
      </c>
      <c r="H999" s="2" t="s">
        <v>190</v>
      </c>
      <c r="I999" s="2" t="str">
        <f>IFERROR(__xludf.DUMMYFUNCTION("GOOGLETRANSLATE(C999,""fr"",""en"")"),"The offer seems correct. At this stage, I seem to premature to say more. The prices seem to me to be in the range of what competition offers.")</f>
        <v>The offer seems correct. At this stage, I seem to premature to say more. The prices seem to me to be in the range of what competition offers.</v>
      </c>
    </row>
    <row r="1000" ht="15.75" customHeight="1">
      <c r="A1000" s="2">
        <v>3.0</v>
      </c>
      <c r="B1000" s="2" t="s">
        <v>2705</v>
      </c>
      <c r="C1000" s="2" t="s">
        <v>2706</v>
      </c>
      <c r="D1000" s="2" t="s">
        <v>45</v>
      </c>
      <c r="E1000" s="2" t="s">
        <v>14</v>
      </c>
      <c r="F1000" s="2" t="s">
        <v>15</v>
      </c>
      <c r="G1000" s="2" t="s">
        <v>2707</v>
      </c>
      <c r="H1000" s="2" t="s">
        <v>473</v>
      </c>
      <c r="I1000" s="2" t="str">
        <f>IFERROR(__xludf.DUMMYFUNCTION("GOOGLETRANSLATE(C1000,""fr"",""en"")"),"Help a lack of professionalism, I am removed from a driver without warning me and without any instructions on my part: Result we have been driving for 1 year and a half without insurance bravo")</f>
        <v>Help a lack of professionalism, I am removed from a driver without warning me and without any instructions on my part: Result we have been driving for 1 year and a half without insurance bravo</v>
      </c>
    </row>
    <row r="1001" ht="15.75" customHeight="1">
      <c r="A1001" s="2">
        <v>4.0</v>
      </c>
      <c r="B1001" s="2" t="s">
        <v>2708</v>
      </c>
      <c r="C1001" s="2" t="s">
        <v>2709</v>
      </c>
      <c r="D1001" s="2" t="s">
        <v>87</v>
      </c>
      <c r="E1001" s="2" t="s">
        <v>14</v>
      </c>
      <c r="F1001" s="2" t="s">
        <v>15</v>
      </c>
      <c r="G1001" s="2" t="s">
        <v>1436</v>
      </c>
      <c r="H1001" s="2" t="s">
        <v>110</v>
      </c>
      <c r="I1001" s="2" t="str">
        <f>IFERROR(__xludf.DUMMYFUNCTION("GOOGLETRANSLATE(C1001,""fr"",""en"")"),"Hello Miss, Sir,
There was a misunderstanding concerning the information that has been taken into account. The file had however been validated with your service.
In the process of your return.
Celine Chacelas
")</f>
        <v>Hello Miss, Sir,
There was a misunderstanding concerning the information that has been taken into account. The file had however been validated with your service.
In the process of your return.
Celine Chacelas
</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2022-12-16T15:48:26Z</dcterms:created>
</cp:coreProperties>
</file>